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worksheets/sheet81.xml" ContentType="application/vnd.openxmlformats-officedocument.spreadsheetml.worksheet+xml"/>
  <Override PartName="/xl/tables/table81.xml" ContentType="application/vnd.openxmlformats-officedocument.spreadsheetml.table+xml"/>
  <Override PartName="/xl/worksheets/sheet132.xml" ContentType="application/vnd.openxmlformats-officedocument.spreadsheetml.worksheet+xml"/>
  <Override PartName="/xl/tables/table132.xml" ContentType="application/vnd.openxmlformats-officedocument.spreadsheetml.table+xml"/>
  <Override PartName="/customXml/item1.xml" ContentType="application/xml"/>
  <Override PartName="/customXml/itemProps11.xml" ContentType="application/vnd.openxmlformats-officedocument.customXmlProperties+xml"/>
  <Override PartName="/xl/worksheets/sheet33.xml" ContentType="application/vnd.openxmlformats-officedocument.spreadsheetml.worksheet+xml"/>
  <Override PartName="/xl/tables/table33.xml" ContentType="application/vnd.openxmlformats-officedocument.spreadsheetml.table+xml"/>
  <Override PartName="/xl/worksheets/sheet74.xml" ContentType="application/vnd.openxmlformats-officedocument.spreadsheetml.worksheet+xml"/>
  <Override PartName="/xl/tables/table74.xml" ContentType="application/vnd.openxmlformats-officedocument.spreadsheetml.table+xml"/>
  <Override PartName="/xl/worksheets/sheet125.xml" ContentType="application/vnd.openxmlformats-officedocument.spreadsheetml.worksheet+xml"/>
  <Override PartName="/xl/tables/table125.xml" ContentType="application/vnd.openxmlformats-officedocument.spreadsheetml.table+xml"/>
  <Override PartName="/xl/calcChain.xml" ContentType="application/vnd.openxmlformats-officedocument.spreadsheetml.calcChain+xml"/>
  <Override PartName="/xl/worksheets/sheet26.xml" ContentType="application/vnd.openxmlformats-officedocument.spreadsheetml.worksheet+xml"/>
  <Override PartName="/xl/tables/table26.xml" ContentType="application/vnd.openxmlformats-officedocument.spreadsheetml.table+xml"/>
  <Override PartName="/xl/sharedStrings.xml" ContentType="application/vnd.openxmlformats-officedocument.spreadsheetml.sharedStrings+xml"/>
  <Override PartName="/customXml/item32.xml" ContentType="application/xml"/>
  <Override PartName="/customXml/itemProps32.xml" ContentType="application/vnd.openxmlformats-officedocument.customXmlProperties+xml"/>
  <Override PartName="/xl/worksheets/sheet17.xml" ContentType="application/vnd.openxmlformats-officedocument.spreadsheetml.worksheet+xml"/>
  <Override PartName="/xl/tables/table17.xml" ContentType="application/vnd.openxmlformats-officedocument.spreadsheetml.table+xml"/>
  <Override PartName="/xl/worksheets/sheet68.xml" ContentType="application/vnd.openxmlformats-officedocument.spreadsheetml.worksheet+xml"/>
  <Override PartName="/xl/tables/table68.xml" ContentType="application/vnd.openxmlformats-officedocument.spreadsheetml.table+xml"/>
  <Override PartName="/xl/worksheets/sheet119.xml" ContentType="application/vnd.openxmlformats-officedocument.spreadsheetml.worksheet+xml"/>
  <Override PartName="/xl/tables/table119.xml" ContentType="application/vnd.openxmlformats-officedocument.spreadsheetml.table+xml"/>
  <Override PartName="/xl/worksheets/sheet510.xml" ContentType="application/vnd.openxmlformats-officedocument.spreadsheetml.worksheet+xml"/>
  <Override PartName="/xl/tables/table510.xml" ContentType="application/vnd.openxmlformats-officedocument.spreadsheetml.table+xml"/>
  <Override PartName="/xl/styles.xml" ContentType="application/vnd.openxmlformats-officedocument.spreadsheetml.styles+xml"/>
  <Override PartName="/xl/worksheets/sheet1011.xml" ContentType="application/vnd.openxmlformats-officedocument.spreadsheetml.worksheet+xml"/>
  <Override PartName="/xl/tables/table1011.xml" ContentType="application/vnd.openxmlformats-officedocument.spreadsheetml.table+xml"/>
  <Override PartName="/customXml/item23.xml" ContentType="application/xml"/>
  <Override PartName="/customXml/itemProps23.xml" ContentType="application/vnd.openxmlformats-officedocument.customXmlProperties+xml"/>
  <Override PartName="/xl/worksheets/sheet412.xml" ContentType="application/vnd.openxmlformats-officedocument.spreadsheetml.worksheet+xml"/>
  <Override PartName="/xl/tables/table412.xml" ContentType="application/vnd.openxmlformats-officedocument.spreadsheetml.table+xml"/>
  <Override PartName="/xl/worksheets/sheet913.xml" ContentType="application/vnd.openxmlformats-officedocument.spreadsheetml.worksheet+xml"/>
  <Override PartName="/xl/tables/table913.xml" ContentType="application/vnd.openxmlformats-officedocument.spreadsheetml.table+xml"/>
  <Override PartName="/xl/theme/theme11.xml" ContentType="application/vnd.openxmlformats-officedocument.theme+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bookViews>
    <workbookView xWindow="-108" yWindow="-108" windowWidth="23256" windowHeight="12720" tabRatio="932" xr2:uid="{00000000-000D-0000-FFFF-FFFF00000000}"/>
  </bookViews>
  <sheets>
    <sheet name="January" sheetId="4" r:id="rId1"/>
    <sheet name="February" sheetId="5" r:id="rId2"/>
    <sheet name="March" sheetId="17" r:id="rId3"/>
    <sheet name="April" sheetId="18" r:id="rId4"/>
    <sheet name="May" sheetId="19" r:id="rId5"/>
    <sheet name="June" sheetId="20" r:id="rId6"/>
    <sheet name="July" sheetId="21" r:id="rId7"/>
    <sheet name="August" sheetId="22" r:id="rId8"/>
    <sheet name="September" sheetId="23" r:id="rId9"/>
    <sheet name="October" sheetId="24" r:id="rId10"/>
    <sheet name="November" sheetId="25" r:id="rId11"/>
    <sheet name="December" sheetId="15" r:id="rId12"/>
    <sheet name="Employee names" sheetId="16" r:id="rId13"/>
  </sheets>
  <definedNames>
    <definedName name="CalendarYear">January!$AH$6</definedName>
    <definedName name="ColumnTitle13">EmployeeName[[#Headers],[Employee Names]]</definedName>
    <definedName name="Employee_Absence_Title">January!$B$1</definedName>
    <definedName name="Key_name">January!$B$4</definedName>
    <definedName name="KeyCustom1">January!$N$4</definedName>
    <definedName name="KeyCustom1Label">January!$O$4</definedName>
    <definedName name="KeyCustom2">January!$R$4</definedName>
    <definedName name="KeyCustom2Label">January!$S$4</definedName>
    <definedName name="KeyPersonal">January!$G$4</definedName>
    <definedName name="KeyPersonalLabel">January!$H$4</definedName>
    <definedName name="KeySick">January!$K$4</definedName>
    <definedName name="KeySickLabel">January!$L$4</definedName>
    <definedName name="KeyVacation">January!$C$4</definedName>
    <definedName name="KeyVacationLabel">January!$D$4</definedName>
    <definedName name="MonthName" localSheetId="3">April!$B$7</definedName>
    <definedName name="MonthName" localSheetId="7">August!$B$2</definedName>
    <definedName name="MonthName" localSheetId="11">December!$B$2</definedName>
    <definedName name="MonthName" localSheetId="1">February!$B$2</definedName>
    <definedName name="MonthName" localSheetId="0">January!$B$2</definedName>
    <definedName name="MonthName" localSheetId="6">July!$B$2</definedName>
    <definedName name="MonthName" localSheetId="5">June!$B$2</definedName>
    <definedName name="MonthName" localSheetId="2">March!$B$2</definedName>
    <definedName name="MonthName" localSheetId="4">May!$B$4</definedName>
    <definedName name="MonthName" localSheetId="10">November!$B$2</definedName>
    <definedName name="MonthName" localSheetId="9">October!$B$2</definedName>
    <definedName name="MonthName" localSheetId="8">September!$B$2</definedName>
    <definedName name="_xlnm.Print_Titles" localSheetId="3">April!$7:$9</definedName>
    <definedName name="_xlnm.Print_Titles" localSheetId="7">August!$6:$8</definedName>
    <definedName name="_xlnm.Print_Titles" localSheetId="11">December!$6:$8</definedName>
    <definedName name="_xlnm.Print_Titles" localSheetId="1">February!$6:$8</definedName>
    <definedName name="_xlnm.Print_Titles" localSheetId="0">January!$6:$8</definedName>
    <definedName name="_xlnm.Print_Titles" localSheetId="6">July!$7:$8</definedName>
    <definedName name="_xlnm.Print_Titles" localSheetId="5">June!$6:$8</definedName>
    <definedName name="_xlnm.Print_Titles" localSheetId="2">March!$6:$8</definedName>
    <definedName name="_xlnm.Print_Titles" localSheetId="4">May!$4:$6</definedName>
    <definedName name="_xlnm.Print_Titles" localSheetId="10">November!$6:$8</definedName>
    <definedName name="_xlnm.Print_Titles" localSheetId="9">October!$6:$8</definedName>
    <definedName name="_xlnm.Print_Titles" localSheetId="8">September!$6:$8</definedName>
    <definedName name="Title1">January[[#Headers],[Employee name]]</definedName>
    <definedName name="Title10">October[[#Headers],[Employee name]]</definedName>
    <definedName name="Title11">November[[#Headers],[Employee name]]</definedName>
    <definedName name="Title12">December[[#Headers],[Employee name]]</definedName>
    <definedName name="Title2">February[[#Headers],[Employee name]]</definedName>
    <definedName name="Title3">March[[#Headers],[Employee name]]</definedName>
    <definedName name="Title4">#REF!</definedName>
    <definedName name="Title5">#REF!</definedName>
    <definedName name="Title6">June[[#Headers],[Employee name]]</definedName>
    <definedName name="Title7">July[[#Headers],[Employee name]]</definedName>
    <definedName name="Title8">August[[#Headers],[Employee name]]</definedName>
    <definedName name="Title9">September[[#Headers],[Employee name]]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6" i="4" l="1"/>
  <c r="AG7" i="4" l="1"/>
  <c r="AF7" i="4"/>
  <c r="AE7" i="4"/>
  <c r="AA7" i="4"/>
  <c r="Y7" i="4"/>
  <c r="V7" i="4"/>
  <c r="S7" i="4"/>
  <c r="R7" i="4"/>
  <c r="P7" i="4"/>
  <c r="M7" i="4"/>
  <c r="J7" i="4"/>
  <c r="G7" i="4"/>
  <c r="E7" i="4"/>
  <c r="N7" i="4"/>
  <c r="AD7" i="4"/>
  <c r="AC7" i="4"/>
  <c r="AB7" i="4"/>
  <c r="Z7" i="4"/>
  <c r="X7" i="4"/>
  <c r="W7" i="4"/>
  <c r="U7" i="4"/>
  <c r="T7" i="4"/>
  <c r="Q7" i="4"/>
  <c r="O7" i="4"/>
  <c r="L7" i="4"/>
  <c r="K7" i="4"/>
  <c r="H7" i="4"/>
  <c r="F7" i="4"/>
  <c r="D7" i="4"/>
  <c r="I7" i="4"/>
  <c r="C7" i="4"/>
  <c r="AG7" i="15" l="1"/>
  <c r="AF7" i="15"/>
  <c r="AE7" i="15"/>
  <c r="AD7" i="15"/>
  <c r="AC7" i="15"/>
  <c r="AB7" i="15"/>
  <c r="AA7" i="15"/>
  <c r="Z7" i="15"/>
  <c r="Y7" i="15"/>
  <c r="X7" i="15"/>
  <c r="W7" i="15"/>
  <c r="V7" i="15"/>
  <c r="U7" i="15"/>
  <c r="T7" i="15"/>
  <c r="S7" i="15"/>
  <c r="R7" i="15"/>
  <c r="Q7" i="15"/>
  <c r="P7" i="15"/>
  <c r="O7" i="15"/>
  <c r="N7" i="15"/>
  <c r="M7" i="15"/>
  <c r="L7" i="15"/>
  <c r="K7" i="15"/>
  <c r="J7" i="15"/>
  <c r="I7" i="15"/>
  <c r="H7" i="15"/>
  <c r="G7" i="15"/>
  <c r="F7" i="15"/>
  <c r="E7" i="15"/>
  <c r="D7" i="15"/>
  <c r="C7" i="15"/>
  <c r="AF7" i="25"/>
  <c r="AE7" i="25"/>
  <c r="AD7" i="25"/>
  <c r="AC7" i="25"/>
  <c r="AB7" i="25"/>
  <c r="AA7" i="25"/>
  <c r="Z7" i="25"/>
  <c r="Y7" i="25"/>
  <c r="X7" i="25"/>
  <c r="W7" i="25"/>
  <c r="V7" i="25"/>
  <c r="U7" i="25"/>
  <c r="T7" i="25"/>
  <c r="S7" i="25"/>
  <c r="R7" i="25"/>
  <c r="Q7" i="25"/>
  <c r="P7" i="25"/>
  <c r="O7" i="25"/>
  <c r="N7" i="25"/>
  <c r="M7" i="25"/>
  <c r="L7" i="25"/>
  <c r="K7" i="25"/>
  <c r="J7" i="25"/>
  <c r="I7" i="25"/>
  <c r="H7" i="25"/>
  <c r="G7" i="25"/>
  <c r="F7" i="25"/>
  <c r="E7" i="25"/>
  <c r="D7" i="25"/>
  <c r="C7" i="25"/>
  <c r="AG7" i="24"/>
  <c r="AF7" i="24"/>
  <c r="AE7" i="24"/>
  <c r="AD7" i="24"/>
  <c r="AC7" i="24"/>
  <c r="AB7" i="24"/>
  <c r="AA7" i="24"/>
  <c r="Z7" i="24"/>
  <c r="Y7" i="24"/>
  <c r="X7" i="24"/>
  <c r="W7" i="24"/>
  <c r="V7" i="24"/>
  <c r="U7" i="24"/>
  <c r="T7" i="24"/>
  <c r="S7" i="24"/>
  <c r="R7" i="24"/>
  <c r="Q7" i="24"/>
  <c r="P7" i="24"/>
  <c r="O7" i="24"/>
  <c r="N7" i="24"/>
  <c r="M7" i="24"/>
  <c r="L7" i="24"/>
  <c r="K7" i="24"/>
  <c r="J7" i="24"/>
  <c r="I7" i="24"/>
  <c r="H7" i="24"/>
  <c r="G7" i="24"/>
  <c r="F7" i="24"/>
  <c r="E7" i="24"/>
  <c r="D7" i="24"/>
  <c r="C7" i="24"/>
  <c r="AF7" i="23"/>
  <c r="AE7" i="23"/>
  <c r="AD7" i="23"/>
  <c r="AC7" i="23"/>
  <c r="AB7" i="23"/>
  <c r="AA7" i="23"/>
  <c r="Z7" i="23"/>
  <c r="Y7" i="23"/>
  <c r="X7" i="23"/>
  <c r="W7" i="23"/>
  <c r="V7" i="23"/>
  <c r="U7" i="23"/>
  <c r="T7" i="23"/>
  <c r="S7" i="23"/>
  <c r="R7" i="23"/>
  <c r="Q7" i="23"/>
  <c r="P7" i="23"/>
  <c r="O7" i="23"/>
  <c r="N7" i="23"/>
  <c r="M7" i="23"/>
  <c r="L7" i="23"/>
  <c r="K7" i="23"/>
  <c r="J7" i="23"/>
  <c r="I7" i="23"/>
  <c r="H7" i="23"/>
  <c r="G7" i="23"/>
  <c r="F7" i="23"/>
  <c r="E7" i="23"/>
  <c r="D7" i="23"/>
  <c r="C7" i="23"/>
  <c r="AG7" i="22"/>
  <c r="AF7" i="22"/>
  <c r="AE7" i="22"/>
  <c r="AD7" i="22"/>
  <c r="AC7" i="22"/>
  <c r="AB7" i="22"/>
  <c r="AA7" i="22"/>
  <c r="Z7" i="22"/>
  <c r="Y7" i="22"/>
  <c r="X7" i="22"/>
  <c r="W7" i="22"/>
  <c r="V7" i="22"/>
  <c r="U7" i="22"/>
  <c r="T7" i="22"/>
  <c r="S7" i="22"/>
  <c r="R7" i="22"/>
  <c r="Q7" i="22"/>
  <c r="P7" i="22"/>
  <c r="O7" i="22"/>
  <c r="N7" i="22"/>
  <c r="M7" i="22"/>
  <c r="L7" i="22"/>
  <c r="K7" i="22"/>
  <c r="J7" i="22"/>
  <c r="I7" i="22"/>
  <c r="H7" i="22"/>
  <c r="G7" i="22"/>
  <c r="F7" i="22"/>
  <c r="E7" i="22"/>
  <c r="D7" i="22"/>
  <c r="C7" i="22"/>
  <c r="AG7" i="21"/>
  <c r="AF7" i="21"/>
  <c r="AE7" i="21"/>
  <c r="AD7" i="21"/>
  <c r="AC7" i="21"/>
  <c r="AB7" i="21"/>
  <c r="AA7" i="21"/>
  <c r="Z7" i="21"/>
  <c r="Y7" i="21"/>
  <c r="X7" i="21"/>
  <c r="W7" i="21"/>
  <c r="V7" i="21"/>
  <c r="U7" i="21"/>
  <c r="T7" i="21"/>
  <c r="S7" i="21"/>
  <c r="R7" i="21"/>
  <c r="Q7" i="21"/>
  <c r="P7" i="21"/>
  <c r="O7" i="21"/>
  <c r="N7" i="21"/>
  <c r="M7" i="21"/>
  <c r="L7" i="21"/>
  <c r="K7" i="21"/>
  <c r="J7" i="21"/>
  <c r="I7" i="21"/>
  <c r="H7" i="21"/>
  <c r="G7" i="21"/>
  <c r="F7" i="21"/>
  <c r="E7" i="21"/>
  <c r="D7" i="21"/>
  <c r="C7" i="21"/>
  <c r="AF7" i="20"/>
  <c r="AE7" i="20"/>
  <c r="AD7" i="20"/>
  <c r="AC7" i="20"/>
  <c r="AB7" i="20"/>
  <c r="AA7" i="20"/>
  <c r="Z7" i="20"/>
  <c r="Y7" i="20"/>
  <c r="X7" i="20"/>
  <c r="W7" i="20"/>
  <c r="V7" i="20"/>
  <c r="U7" i="20"/>
  <c r="T7" i="20"/>
  <c r="S7" i="20"/>
  <c r="R7" i="20"/>
  <c r="Q7" i="20"/>
  <c r="P7" i="20"/>
  <c r="O7" i="20"/>
  <c r="N7" i="20"/>
  <c r="M7" i="20"/>
  <c r="L7" i="20"/>
  <c r="K7" i="20"/>
  <c r="J7" i="20"/>
  <c r="I7" i="20"/>
  <c r="H7" i="20"/>
  <c r="G7" i="20"/>
  <c r="F7" i="20"/>
  <c r="E7" i="20"/>
  <c r="D7" i="20"/>
  <c r="C7" i="20"/>
  <c r="AG7" i="19"/>
  <c r="AF7" i="19"/>
  <c r="AE7" i="19"/>
  <c r="AD7" i="19"/>
  <c r="AC7" i="19"/>
  <c r="AB7" i="19"/>
  <c r="AA7" i="19"/>
  <c r="Z7" i="19"/>
  <c r="Y7" i="19"/>
  <c r="X7" i="19"/>
  <c r="W7" i="19"/>
  <c r="V7" i="19"/>
  <c r="U7" i="19"/>
  <c r="T7" i="19"/>
  <c r="S7" i="19"/>
  <c r="R7" i="19"/>
  <c r="Q7" i="19"/>
  <c r="P7" i="19"/>
  <c r="O7" i="19"/>
  <c r="N7" i="19"/>
  <c r="M7" i="19"/>
  <c r="L7" i="19"/>
  <c r="K7" i="19"/>
  <c r="J7" i="19"/>
  <c r="I7" i="19"/>
  <c r="H7" i="19"/>
  <c r="G7" i="19"/>
  <c r="F7" i="19"/>
  <c r="E7" i="19"/>
  <c r="D7" i="19"/>
  <c r="C7" i="19"/>
  <c r="AF7" i="18"/>
  <c r="AE7" i="18"/>
  <c r="AD7" i="18"/>
  <c r="AC7" i="18"/>
  <c r="AB7" i="18"/>
  <c r="AA7" i="18"/>
  <c r="Z7" i="18"/>
  <c r="Y7" i="18"/>
  <c r="X7" i="18"/>
  <c r="W7" i="18"/>
  <c r="V7" i="18"/>
  <c r="U7" i="18"/>
  <c r="T7" i="18"/>
  <c r="S7" i="18"/>
  <c r="R7" i="18"/>
  <c r="Q7" i="18"/>
  <c r="P7" i="18"/>
  <c r="O7" i="18"/>
  <c r="N7" i="18"/>
  <c r="M7" i="18"/>
  <c r="L7" i="18"/>
  <c r="K7" i="18"/>
  <c r="J7" i="18"/>
  <c r="I7" i="18"/>
  <c r="H7" i="18"/>
  <c r="G7" i="18"/>
  <c r="F7" i="18"/>
  <c r="E7" i="18"/>
  <c r="D7" i="18"/>
  <c r="C7" i="18"/>
  <c r="AG7" i="17"/>
  <c r="AF7" i="17"/>
  <c r="AE7" i="17"/>
  <c r="AD7" i="17"/>
  <c r="AC7" i="17"/>
  <c r="AB7" i="17"/>
  <c r="AA7" i="17"/>
  <c r="Z7" i="17"/>
  <c r="Y7" i="17"/>
  <c r="X7" i="17"/>
  <c r="W7" i="17"/>
  <c r="V7" i="17"/>
  <c r="U7" i="17"/>
  <c r="T7" i="17"/>
  <c r="S7" i="17"/>
  <c r="R7" i="17"/>
  <c r="Q7" i="17"/>
  <c r="P7" i="17"/>
  <c r="O7" i="17"/>
  <c r="N7" i="17"/>
  <c r="M7" i="17"/>
  <c r="L7" i="17"/>
  <c r="K7" i="17"/>
  <c r="J7" i="17"/>
  <c r="I7" i="17"/>
  <c r="H7" i="17"/>
  <c r="G7" i="17"/>
  <c r="F7" i="17"/>
  <c r="E7" i="17"/>
  <c r="D7" i="17"/>
  <c r="C7" i="17"/>
  <c r="AE7" i="5" l="1"/>
  <c r="AD7" i="5"/>
  <c r="AC7" i="5"/>
  <c r="AB7" i="5"/>
  <c r="AA7" i="5"/>
  <c r="Z7" i="5"/>
  <c r="Y7" i="5"/>
  <c r="X7" i="5"/>
  <c r="W7" i="5"/>
  <c r="V7" i="5"/>
  <c r="U7" i="5"/>
  <c r="T7" i="5"/>
  <c r="S7" i="5"/>
  <c r="R7" i="5"/>
  <c r="Q7" i="5"/>
  <c r="P7" i="5"/>
  <c r="O7" i="5"/>
  <c r="N7" i="5"/>
  <c r="M7" i="5"/>
  <c r="L7" i="5"/>
  <c r="K7" i="5"/>
  <c r="J7" i="5"/>
  <c r="I7" i="5"/>
  <c r="H7" i="5"/>
  <c r="G7" i="5"/>
  <c r="F7" i="5"/>
  <c r="E7" i="5"/>
  <c r="D7" i="5"/>
  <c r="C7" i="5"/>
  <c r="AH6" i="15" l="1"/>
  <c r="AH6" i="25"/>
  <c r="AH6" i="24"/>
  <c r="AH6" i="23"/>
  <c r="AH6" i="22"/>
  <c r="AH6" i="21"/>
  <c r="B14" i="19"/>
  <c r="AH6" i="20"/>
  <c r="B14" i="18"/>
  <c r="B14" i="4"/>
  <c r="AG14" i="19"/>
  <c r="AF14" i="19"/>
  <c r="AE14" i="19"/>
  <c r="AD14" i="19"/>
  <c r="AC14" i="19"/>
  <c r="AB14" i="19"/>
  <c r="AA14" i="19"/>
  <c r="Z14" i="19"/>
  <c r="Y14" i="19"/>
  <c r="X14" i="19"/>
  <c r="W14" i="19"/>
  <c r="V14" i="19"/>
  <c r="U14" i="19"/>
  <c r="T14" i="19"/>
  <c r="S14" i="19"/>
  <c r="R14" i="19"/>
  <c r="Q14" i="19"/>
  <c r="P14" i="19"/>
  <c r="O14" i="19"/>
  <c r="N14" i="19"/>
  <c r="M14" i="19"/>
  <c r="L14" i="19"/>
  <c r="K14" i="19"/>
  <c r="J14" i="19"/>
  <c r="I14" i="19"/>
  <c r="H14" i="19"/>
  <c r="G14" i="19"/>
  <c r="F14" i="19"/>
  <c r="E14" i="19"/>
  <c r="D14" i="19"/>
  <c r="C14" i="19"/>
  <c r="AH13" i="19"/>
  <c r="AH12" i="19"/>
  <c r="AH11" i="19"/>
  <c r="AH10" i="19"/>
  <c r="AH9" i="19"/>
  <c r="AH6" i="19"/>
  <c r="AG14" i="18"/>
  <c r="AF14" i="18"/>
  <c r="AE14" i="18"/>
  <c r="AD14" i="18"/>
  <c r="AC14" i="18"/>
  <c r="AB14" i="18"/>
  <c r="AA14" i="18"/>
  <c r="Z14" i="18"/>
  <c r="Y14" i="18"/>
  <c r="X14" i="18"/>
  <c r="W14" i="18"/>
  <c r="V14" i="18"/>
  <c r="U14" i="18"/>
  <c r="T14" i="18"/>
  <c r="S14" i="18"/>
  <c r="R14" i="18"/>
  <c r="Q14" i="18"/>
  <c r="P14" i="18"/>
  <c r="O14" i="18"/>
  <c r="N14" i="18"/>
  <c r="M14" i="18"/>
  <c r="L14" i="18"/>
  <c r="K14" i="18"/>
  <c r="J14" i="18"/>
  <c r="I14" i="18"/>
  <c r="H14" i="18"/>
  <c r="G14" i="18"/>
  <c r="F14" i="18"/>
  <c r="E14" i="18"/>
  <c r="D14" i="18"/>
  <c r="C14" i="18"/>
  <c r="AH13" i="18"/>
  <c r="AH12" i="18"/>
  <c r="AH11" i="18"/>
  <c r="AH10" i="18"/>
  <c r="AH9" i="18"/>
  <c r="AH14" i="18" s="1"/>
  <c r="AH6" i="18"/>
  <c r="AH6" i="17"/>
  <c r="B14" i="5"/>
  <c r="AH11" i="4"/>
  <c r="AH12" i="4"/>
  <c r="AH14" i="19" l="1"/>
  <c r="B14" i="23"/>
  <c r="AG14" i="25"/>
  <c r="AF14" i="25"/>
  <c r="AE14" i="25"/>
  <c r="AD14" i="25"/>
  <c r="AC14" i="25"/>
  <c r="AB14" i="25"/>
  <c r="AA14" i="25"/>
  <c r="Z14" i="25"/>
  <c r="Y14" i="25"/>
  <c r="X14" i="25"/>
  <c r="W14" i="25"/>
  <c r="V14" i="25"/>
  <c r="U14" i="25"/>
  <c r="T14" i="25"/>
  <c r="S14" i="25"/>
  <c r="R14" i="25"/>
  <c r="Q14" i="25"/>
  <c r="P14" i="25"/>
  <c r="O14" i="25"/>
  <c r="N14" i="25"/>
  <c r="M14" i="25"/>
  <c r="L14" i="25"/>
  <c r="K14" i="25"/>
  <c r="J14" i="25"/>
  <c r="I14" i="25"/>
  <c r="H14" i="25"/>
  <c r="G14" i="25"/>
  <c r="F14" i="25"/>
  <c r="E14" i="25"/>
  <c r="D14" i="25"/>
  <c r="C14" i="25"/>
  <c r="B14" i="25"/>
  <c r="AH13" i="25"/>
  <c r="AH12" i="25"/>
  <c r="AH11" i="25"/>
  <c r="AH10" i="25"/>
  <c r="AH9" i="25"/>
  <c r="AG14" i="24"/>
  <c r="AF14" i="24"/>
  <c r="AE14" i="24"/>
  <c r="AD14" i="24"/>
  <c r="AC14" i="24"/>
  <c r="AB14" i="24"/>
  <c r="AA14" i="24"/>
  <c r="Z14" i="24"/>
  <c r="Y14" i="24"/>
  <c r="X14" i="24"/>
  <c r="W14" i="24"/>
  <c r="V14" i="24"/>
  <c r="U14" i="24"/>
  <c r="T14" i="24"/>
  <c r="S14" i="24"/>
  <c r="R14" i="24"/>
  <c r="Q14" i="24"/>
  <c r="P14" i="24"/>
  <c r="O14" i="24"/>
  <c r="N14" i="24"/>
  <c r="M14" i="24"/>
  <c r="L14" i="24"/>
  <c r="K14" i="24"/>
  <c r="J14" i="24"/>
  <c r="I14" i="24"/>
  <c r="H14" i="24"/>
  <c r="G14" i="24"/>
  <c r="F14" i="24"/>
  <c r="E14" i="24"/>
  <c r="D14" i="24"/>
  <c r="C14" i="24"/>
  <c r="B14" i="24"/>
  <c r="AH13" i="24"/>
  <c r="AH12" i="24"/>
  <c r="AH11" i="24"/>
  <c r="AH10" i="24"/>
  <c r="AH9" i="24"/>
  <c r="AG14" i="23"/>
  <c r="AF14" i="23"/>
  <c r="AE14" i="23"/>
  <c r="AD14" i="23"/>
  <c r="AC14" i="23"/>
  <c r="AB14" i="23"/>
  <c r="AA14" i="23"/>
  <c r="Z14" i="23"/>
  <c r="Y14" i="23"/>
  <c r="X14" i="23"/>
  <c r="W14" i="23"/>
  <c r="V14" i="23"/>
  <c r="U14" i="23"/>
  <c r="T14" i="23"/>
  <c r="S14" i="23"/>
  <c r="R14" i="23"/>
  <c r="Q14" i="23"/>
  <c r="P14" i="23"/>
  <c r="O14" i="23"/>
  <c r="N14" i="23"/>
  <c r="M14" i="23"/>
  <c r="L14" i="23"/>
  <c r="K14" i="23"/>
  <c r="J14" i="23"/>
  <c r="I14" i="23"/>
  <c r="H14" i="23"/>
  <c r="G14" i="23"/>
  <c r="F14" i="23"/>
  <c r="E14" i="23"/>
  <c r="D14" i="23"/>
  <c r="C14" i="23"/>
  <c r="AH13" i="23"/>
  <c r="AH12" i="23"/>
  <c r="AH11" i="23"/>
  <c r="AH10" i="23"/>
  <c r="AH9" i="23"/>
  <c r="AG14" i="22"/>
  <c r="AF14" i="22"/>
  <c r="AE14" i="22"/>
  <c r="AD14" i="22"/>
  <c r="AC14" i="22"/>
  <c r="AB14" i="22"/>
  <c r="AA14" i="22"/>
  <c r="Z14" i="22"/>
  <c r="Y14" i="22"/>
  <c r="X14" i="22"/>
  <c r="W14" i="22"/>
  <c r="V14" i="22"/>
  <c r="U14" i="22"/>
  <c r="T14" i="22"/>
  <c r="S14" i="22"/>
  <c r="R14" i="22"/>
  <c r="Q14" i="22"/>
  <c r="P14" i="22"/>
  <c r="O14" i="22"/>
  <c r="N14" i="22"/>
  <c r="M14" i="22"/>
  <c r="L14" i="22"/>
  <c r="K14" i="22"/>
  <c r="J14" i="22"/>
  <c r="I14" i="22"/>
  <c r="H14" i="22"/>
  <c r="G14" i="22"/>
  <c r="F14" i="22"/>
  <c r="E14" i="22"/>
  <c r="D14" i="22"/>
  <c r="C14" i="22"/>
  <c r="B14" i="22"/>
  <c r="AH13" i="22"/>
  <c r="AH12" i="22"/>
  <c r="AH11" i="22"/>
  <c r="AH10" i="22"/>
  <c r="AH9" i="22"/>
  <c r="AG14" i="21"/>
  <c r="AF14" i="21"/>
  <c r="AE14" i="21"/>
  <c r="AD14" i="21"/>
  <c r="AC14" i="21"/>
  <c r="AB14" i="21"/>
  <c r="AA14" i="21"/>
  <c r="Z14" i="21"/>
  <c r="Y14" i="21"/>
  <c r="X14" i="21"/>
  <c r="W14" i="21"/>
  <c r="V14" i="21"/>
  <c r="U14" i="21"/>
  <c r="T14" i="21"/>
  <c r="S14" i="21"/>
  <c r="R14" i="21"/>
  <c r="Q14" i="21"/>
  <c r="P14" i="21"/>
  <c r="O14" i="21"/>
  <c r="N14" i="21"/>
  <c r="M14" i="21"/>
  <c r="L14" i="21"/>
  <c r="K14" i="21"/>
  <c r="J14" i="21"/>
  <c r="I14" i="21"/>
  <c r="H14" i="21"/>
  <c r="G14" i="21"/>
  <c r="F14" i="21"/>
  <c r="E14" i="21"/>
  <c r="D14" i="21"/>
  <c r="C14" i="21"/>
  <c r="B14" i="21"/>
  <c r="AH13" i="21"/>
  <c r="AH12" i="21"/>
  <c r="AH11" i="21"/>
  <c r="AH10" i="21"/>
  <c r="AH9" i="21"/>
  <c r="AG14" i="20"/>
  <c r="AF14" i="20"/>
  <c r="AE14" i="20"/>
  <c r="AD14" i="20"/>
  <c r="AC14" i="20"/>
  <c r="AB14" i="20"/>
  <c r="AA14" i="20"/>
  <c r="Z14" i="20"/>
  <c r="Y14" i="20"/>
  <c r="X14" i="20"/>
  <c r="W14" i="20"/>
  <c r="V14" i="20"/>
  <c r="U14" i="20"/>
  <c r="T14" i="20"/>
  <c r="S14" i="20"/>
  <c r="R14" i="20"/>
  <c r="Q14" i="20"/>
  <c r="P14" i="20"/>
  <c r="O14" i="20"/>
  <c r="N14" i="20"/>
  <c r="M14" i="20"/>
  <c r="L14" i="20"/>
  <c r="K14" i="20"/>
  <c r="J14" i="20"/>
  <c r="I14" i="20"/>
  <c r="H14" i="20"/>
  <c r="G14" i="20"/>
  <c r="F14" i="20"/>
  <c r="E14" i="20"/>
  <c r="D14" i="20"/>
  <c r="C14" i="20"/>
  <c r="B14" i="20"/>
  <c r="AH13" i="20"/>
  <c r="AH12" i="20"/>
  <c r="AH11" i="20"/>
  <c r="AH10" i="20"/>
  <c r="AH9" i="20"/>
  <c r="AG14" i="17"/>
  <c r="AF14" i="17"/>
  <c r="AE14" i="17"/>
  <c r="AD14" i="17"/>
  <c r="AC14" i="17"/>
  <c r="AB14" i="17"/>
  <c r="AA14" i="17"/>
  <c r="Z14" i="17"/>
  <c r="Y14" i="17"/>
  <c r="X14" i="17"/>
  <c r="W14" i="17"/>
  <c r="V14" i="17"/>
  <c r="U14" i="17"/>
  <c r="T14" i="17"/>
  <c r="S14" i="17"/>
  <c r="R14" i="17"/>
  <c r="Q14" i="17"/>
  <c r="P14" i="17"/>
  <c r="O14" i="17"/>
  <c r="N14" i="17"/>
  <c r="M14" i="17"/>
  <c r="L14" i="17"/>
  <c r="K14" i="17"/>
  <c r="J14" i="17"/>
  <c r="I14" i="17"/>
  <c r="H14" i="17"/>
  <c r="G14" i="17"/>
  <c r="F14" i="17"/>
  <c r="E14" i="17"/>
  <c r="D14" i="17"/>
  <c r="C14" i="17"/>
  <c r="B14" i="17"/>
  <c r="AH13" i="17"/>
  <c r="AH12" i="17"/>
  <c r="AH11" i="17"/>
  <c r="AH10" i="17"/>
  <c r="AH9" i="17"/>
  <c r="AH14" i="23" l="1"/>
  <c r="AH14" i="17"/>
  <c r="AH14" i="21"/>
  <c r="AH14" i="22"/>
  <c r="AH14" i="25"/>
  <c r="AH14" i="20"/>
  <c r="AH14" i="24"/>
  <c r="AH6" i="5" l="1"/>
  <c r="C14" i="4" l="1"/>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G14" i="15" l="1"/>
  <c r="AF14" i="15"/>
  <c r="AH9" i="15"/>
  <c r="AH10" i="15"/>
  <c r="AH11" i="15"/>
  <c r="AH12" i="15"/>
  <c r="AH13" i="15"/>
  <c r="AH14" i="15" l="1"/>
  <c r="C14" i="15"/>
  <c r="D14" i="15"/>
  <c r="E14" i="15"/>
  <c r="F14" i="15"/>
  <c r="G14" i="15"/>
  <c r="H14" i="15"/>
  <c r="I14" i="15"/>
  <c r="J14" i="15"/>
  <c r="K14" i="15"/>
  <c r="L14" i="15"/>
  <c r="M14" i="15"/>
  <c r="N14" i="15"/>
  <c r="O14" i="15"/>
  <c r="P14" i="15"/>
  <c r="Q14" i="15"/>
  <c r="R14" i="15"/>
  <c r="S14" i="15"/>
  <c r="T14" i="15"/>
  <c r="U14" i="15"/>
  <c r="V14" i="15"/>
  <c r="W14" i="15"/>
  <c r="X14" i="15"/>
  <c r="Y14" i="15"/>
  <c r="Z14" i="15"/>
  <c r="AA14" i="15"/>
  <c r="AB14" i="15"/>
  <c r="AC14" i="15"/>
  <c r="AD14" i="15"/>
  <c r="AE14" i="15"/>
  <c r="B14" i="15" l="1"/>
  <c r="AH13" i="5" l="1"/>
  <c r="AH12" i="5"/>
  <c r="AH11" i="5"/>
  <c r="AH13" i="4"/>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AH10" i="5"/>
  <c r="AH9" i="5"/>
  <c r="AH14" i="5" l="1"/>
  <c r="AH9" i="4"/>
  <c r="AH10" i="4"/>
  <c r="AH14" i="4" l="1"/>
</calcChain>
</file>

<file path=xl/sharedStrings.xml><?xml version="1.0" encoding="utf-8"?>
<sst xmlns="http://schemas.openxmlformats.org/spreadsheetml/2006/main" count="653" uniqueCount="65">
  <si>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</si>
  <si>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</si>
  <si>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</si>
  <si>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</si>
  <si>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</si>
  <si>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</si>
  <si>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</si>
  <si>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</si>
  <si>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</si>
  <si>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</si>
  <si>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</si>
  <si>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</si>
  <si>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</si>
  <si>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</si>
  <si>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</si>
  <si>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</si>
  <si>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</si>
  <si>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</si>
  <si>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</si>
  <si>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</si>
  <si>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</si>
  <si>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</si>
  <si>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</si>
  <si>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</si>
  <si>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</si>
  <si>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</si>
  <si>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</si>
  <si>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</si>
  <si>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</si>
  <si>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</si>
  <si>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</si>
  <si>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S</t>
  </si>
  <si>
    <t>V</t>
  </si>
  <si>
    <t xml:space="preserve"> </t>
  </si>
  <si>
    <t xml:space="preserve">  </t>
  </si>
  <si>
    <t>P</t>
  </si>
  <si>
    <t>January</t>
  </si>
  <si>
    <t>Vacation</t>
  </si>
  <si>
    <t>Personal</t>
  </si>
  <si>
    <t>Sick</t>
  </si>
  <si>
    <t>Custom 1</t>
  </si>
  <si>
    <t>Custom 2</t>
  </si>
  <si>
    <t>February</t>
  </si>
  <si>
    <t>March</t>
  </si>
  <si>
    <t>April</t>
  </si>
  <si>
    <t>May</t>
  </si>
  <si>
    <t>June</t>
  </si>
  <si>
    <t>July</t>
  </si>
  <si>
    <t>August</t>
  </si>
  <si>
    <t>September</t>
  </si>
  <si>
    <t>October</t>
  </si>
  <si>
    <t>November</t>
  </si>
  <si>
    <t>December</t>
  </si>
  <si>
    <t>Employee Names</t>
  </si>
  <si>
    <t>Employee absence schedule</t>
  </si>
  <si>
    <t>Absence type key</t>
  </si>
  <si>
    <t>Dates of absence</t>
  </si>
  <si>
    <t>Harsimran Brar</t>
  </si>
  <si>
    <t>Jordan Mitchell</t>
  </si>
  <si>
    <t>Asaf Karten</t>
  </si>
  <si>
    <t>Vanja Jovanovic</t>
  </si>
  <si>
    <t>Madison Butler</t>
  </si>
  <si>
    <t>Employee name</t>
  </si>
  <si>
    <t>Total days</t>
  </si>
  <si>
    <t>Employee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</si>
</sst>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9" x14ac:knownFonts="1">
    <font>
      <sz val="11"/>
      <color theme="0"/>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26"/>
      <color theme="3" tint="-0.24994659260841701"/>
      <name val="Calibri"/>
      <family val="2"/>
      <scheme val="major"/>
    </font>
    <font>
      <b/>
      <sz val="18"/>
      <color theme="4" tint="-0.24994659260841701"/>
      <name val="Calibri"/>
      <family val="2"/>
      <scheme val="minor"/>
    </font>
    <font>
      <b/>
      <sz val="26"/>
      <color theme="3"/>
      <name val="Calibri"/>
      <family val="2"/>
      <scheme val="minor"/>
    </font>
    <font>
      <sz val="11"/>
      <color theme="4" tint="-0.499984740745262"/>
      <name val="Calibri"/>
      <family val="2"/>
      <scheme val="minor"/>
    </font>
    <font>
      <sz val="11"/>
      <color rgb="FF000000"/>
      <name val="Calibri"/>
      <family val="2"/>
      <scheme val="minor"/>
    </font>
    <font>
      <b/>
      <sz val="18"/>
      <color theme="3"/>
      <name val="Calibri"/>
      <family val="2"/>
      <scheme val="minor"/>
    </font>
    <font>
      <b/>
      <sz val="11"/>
      <color theme="0"/>
      <name val="Calibri"/>
      <family val="2"/>
      <scheme val="minor"/>
    </font>
    <font>
      <b/>
      <sz val="72"/>
      <color theme="6" tint="0.39997558519241921"/>
      <name val="Calibri"/>
      <family val="2"/>
      <scheme val="minor"/>
    </font>
    <font>
      <sz val="8"/>
      <name val="Calibri"/>
      <family val="2"/>
      <scheme val="minor"/>
    </font>
    <font>
      <b/>
      <sz val="18"/>
      <color theme="4" tint="9.9948118533890809E-2"/>
      <name val="Calibri"/>
      <family val="2"/>
      <scheme val="minor"/>
    </font>
    <font>
      <b/>
      <sz val="72"/>
      <color theme="4" tint="0.249977111117893"/>
      <name val="Calibri"/>
      <family val="2"/>
      <scheme val="minor"/>
    </font>
    <font>
      <b/>
      <sz val="11"/>
      <name val="Calibri"/>
      <family val="2"/>
      <scheme val="minor"/>
    </font>
    <font>
      <b/>
      <sz val="72"/>
      <color theme="7" tint="-0.249977111117893"/>
      <name val="Calibri"/>
      <family val="2"/>
      <scheme val="minor"/>
    </font>
    <font>
      <b/>
      <sz val="72"/>
      <color theme="8" tint="-0.249977111117893"/>
      <name val="Calibri"/>
      <family val="2"/>
      <scheme val="minor"/>
    </font>
  </fonts>
  <fills count="22">
    <fill>
      <patternFill patternType="none"/>
    </fill>
    <fill>
      <patternFill patternType="gray125"/>
    </fill>
    <fill>
      <patternFill patternType="solid">
        <fgColor theme="2"/>
        <bgColor indexed="64"/>
      </patternFill>
    </fill>
    <fill>
      <patternFill patternType="solid">
        <fgColor theme="7"/>
        <bgColor indexed="64"/>
      </patternFill>
    </fill>
    <fill>
      <patternFill patternType="solid">
        <fgColor theme="7" tint="0.79998168889431442"/>
        <bgColor indexed="65"/>
      </patternFill>
    </fill>
    <fill>
      <patternFill patternType="solid">
        <fgColor theme="7" tint="0.39997558519241921"/>
        <bgColor indexed="65"/>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39994506668294322"/>
        <bgColor indexed="64"/>
      </patternFill>
    </fill>
    <fill>
      <patternFill patternType="solid">
        <fgColor theme="7" tint="0.59996337778862885"/>
        <bgColor indexed="64"/>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tint="0.59999389629810485"/>
        <bgColor indexed="65"/>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rgb="FFF8E3E0"/>
        <bgColor indexed="64"/>
      </patternFill>
    </fill>
    <fill>
      <patternFill patternType="solid">
        <fgColor theme="5" tint="0.39994506668294322"/>
        <bgColor indexed="64"/>
      </patternFill>
    </fill>
    <fill>
      <patternFill patternType="solid">
        <fgColor theme="6" tint="0.59996337778862885"/>
        <bgColor indexed="64"/>
      </patternFill>
    </fill>
    <fill>
      <patternFill patternType="solid">
        <fgColor theme="0"/>
        <bgColor indexed="64"/>
      </patternFill>
    </fill>
  </fills>
  <borders count="5">
    <border>
      <left/>
      <right/>
      <top/>
      <bottom/>
      <diagonal/>
    </border>
    <border>
      <left/>
      <right/>
      <top/>
      <bottom style="thin">
        <color theme="4"/>
      </bottom>
      <diagonal/>
    </border>
    <border>
      <left/>
      <right/>
      <top style="thin">
        <color theme="4"/>
      </top>
      <bottom/>
      <diagonal/>
    </border>
    <border>
      <left/>
      <right/>
      <top style="thin">
        <color auto="1"/>
      </top>
      <bottom/>
      <diagonal/>
    </border>
    <border>
      <left/>
      <right/>
      <top/>
      <bottom style="thin">
        <color auto="1"/>
      </bottom>
      <diagonal/>
    </border>
  </borders>
  <cellStyleXfs count="28">
    <xf numFmtId="0" fontId="0" fillId="0" borderId="0">
      <alignment horizontal="left" vertical="center"/>
    </xf>
    <xf numFmtId="0" fontId="7" fillId="0" borderId="0" applyNumberFormat="0" applyFill="0" applyBorder="0" applyProtection="0">
      <alignment vertical="top"/>
    </xf>
    <xf numFmtId="0" fontId="5" fillId="0" borderId="0" applyNumberFormat="0" applyFill="0" applyBorder="0" applyProtection="0">
      <alignment vertical="top"/>
    </xf>
    <xf numFmtId="0" fontId="6" fillId="2" borderId="0" applyNumberFormat="0" applyBorder="0" applyProtection="0">
      <alignment horizontal="center" vertical="center"/>
    </xf>
    <xf numFmtId="0" fontId="2" fillId="20" borderId="0" applyNumberFormat="0" applyProtection="0">
      <alignment horizontal="right" vertical="center" indent="1"/>
    </xf>
    <xf numFmtId="0" fontId="3" fillId="0" borderId="0" applyNumberFormat="0" applyFill="0" applyBorder="0" applyProtection="0">
      <alignment horizontal="left" vertical="center" indent="2"/>
    </xf>
    <xf numFmtId="0" fontId="4" fillId="3" borderId="0" applyNumberFormat="0" applyBorder="0" applyAlignment="0" applyProtection="0"/>
    <xf numFmtId="0" fontId="1" fillId="4" borderId="0" applyNumberFormat="0" applyBorder="0" applyProtection="0">
      <alignment horizontal="center" vertical="center"/>
    </xf>
    <xf numFmtId="0" fontId="2" fillId="9" borderId="0" applyNumberFormat="0" applyBorder="0" applyAlignment="0" applyProtection="0"/>
    <xf numFmtId="0" fontId="1" fillId="5" borderId="0" applyNumberFormat="0" applyBorder="0" applyAlignment="0" applyProtection="0"/>
    <xf numFmtId="0" fontId="4" fillId="7" borderId="0" applyNumberFormat="0" applyBorder="0" applyAlignment="0" applyProtection="0"/>
    <xf numFmtId="0" fontId="1" fillId="6" borderId="0" applyNumberFormat="0" applyBorder="0" applyAlignment="0" applyProtection="0"/>
    <xf numFmtId="0" fontId="2" fillId="15" borderId="0" applyNumberFormat="0" applyBorder="0" applyAlignment="0" applyProtection="0"/>
    <xf numFmtId="0" fontId="1" fillId="8" borderId="0" applyNumberFormat="0" applyBorder="0" applyAlignment="0" applyProtection="0"/>
    <xf numFmtId="0" fontId="4" fillId="15" borderId="0" applyNumberFormat="0" applyBorder="0" applyAlignment="0" applyProtection="0"/>
    <xf numFmtId="0" fontId="1" fillId="18" borderId="0" applyNumberFormat="0" applyBorder="0" applyAlignment="0" applyProtection="0"/>
    <xf numFmtId="0" fontId="2" fillId="17"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2" fillId="10" borderId="0" applyNumberFormat="0" applyBorder="0" applyAlignment="0" applyProtection="0"/>
    <xf numFmtId="0" fontId="4" fillId="11" borderId="0" applyNumberFormat="0" applyBorder="0" applyAlignment="0" applyProtection="0"/>
    <xf numFmtId="0" fontId="1" fillId="2" borderId="0" applyNumberFormat="0" applyBorder="0" applyAlignment="0" applyProtection="0"/>
    <xf numFmtId="0" fontId="2" fillId="12" borderId="0" applyNumberFormat="0" applyBorder="0" applyProtection="0">
      <alignment horizontal="left" vertical="center" indent="1"/>
    </xf>
    <xf numFmtId="0" fontId="2" fillId="13" borderId="0" applyNumberFormat="0" applyBorder="0" applyAlignment="0" applyProtection="0"/>
    <xf numFmtId="0" fontId="2" fillId="14" borderId="0" applyNumberFormat="0" applyBorder="0" applyAlignment="0" applyProtection="0"/>
    <xf numFmtId="1" fontId="1" fillId="0" borderId="0" applyFill="0" applyBorder="0" applyProtection="0">
      <alignment horizontal="center" vertical="center"/>
    </xf>
    <xf numFmtId="0" fontId="1" fillId="0" borderId="0" applyNumberFormat="0" applyFill="0" applyBorder="0">
      <alignment horizontal="left" vertical="center" wrapText="1" indent="2"/>
    </xf>
    <xf numFmtId="0" fontId="8" fillId="0" borderId="0">
      <alignment horizontal="center"/>
    </xf>
  </cellStyleXfs>
  <cellXfs count="37">
    <xf numFmtId="0" fontId="0" fillId="0" borderId="0" xfId="0">
      <alignment horizontal="left" vertical="center"/>
    </xf>
    <xf numFmtId="0" fontId="0" fillId="0" borderId="0" xfId="0" applyAlignment="1">
      <alignment horizontal="center" vertical="center"/>
    </xf>
    <xf numFmtId="0" fontId="1" fillId="0" borderId="0" xfId="26" applyFill="1" applyBorder="1">
      <alignment horizontal="left" vertical="center" wrapText="1" indent="2"/>
    </xf>
    <xf numFmtId="1" fontId="1" fillId="0" borderId="0" xfId="25" applyFill="1" applyBorder="1" applyProtection="1">
      <alignment horizontal="center" vertical="center"/>
    </xf>
    <xf numFmtId="164" fontId="0" fillId="0" borderId="0" xfId="0" applyNumberFormat="1" applyAlignment="1">
      <alignment horizontal="center" vertical="center"/>
    </xf>
    <xf numFmtId="0" fontId="0" fillId="0" borderId="0" xfId="0" applyAlignment="1">
      <alignment horizontal="left" vertical="center" indent="1"/>
    </xf>
    <xf numFmtId="0" fontId="9" fillId="0" borderId="0" xfId="0" applyFont="1" applyAlignment="1"/>
    <xf numFmtId="0" fontId="6" fillId="0" borderId="0" xfId="3" applyFill="1" applyProtection="1">
      <alignment horizontal="center" vertical="center"/>
    </xf>
    <xf numFmtId="0" fontId="2" fillId="0" borderId="0" xfId="4" applyFill="1" applyAlignment="1" applyProtection="1">
      <alignment horizontal="left" vertical="center" indent="1"/>
    </xf>
    <xf numFmtId="0" fontId="0" fillId="0" borderId="1" xfId="0" applyBorder="1">
      <alignment horizontal="left" vertical="center"/>
    </xf>
    <xf numFmtId="0" fontId="7" fillId="0" borderId="2" xfId="1" applyBorder="1" applyAlignment="1" applyProtection="1">
      <alignment vertical="center"/>
    </xf>
    <xf numFmtId="0" fontId="0" fillId="0" borderId="2" xfId="0" applyBorder="1">
      <alignment horizontal="left" vertical="center"/>
    </xf>
    <xf numFmtId="0" fontId="0" fillId="0" borderId="0" xfId="0" applyAlignment="1">
      <alignment horizontal="left" vertical="top"/>
    </xf>
    <xf numFmtId="0" fontId="10" fillId="0" borderId="0" xfId="1" applyFont="1" applyAlignment="1" applyProtection="1">
      <alignment horizontal="left" indent="1"/>
    </xf>
    <xf numFmtId="0" fontId="0" fillId="0" borderId="0" xfId="0" applyAlignment="1">
      <alignment horizontal="left" wrapText="1" indent="1"/>
    </xf>
    <xf numFmtId="0" fontId="0" fillId="0" borderId="0" xfId="0" applyAlignment="1">
      <alignment horizontal="left" indent="1"/>
    </xf>
    <xf numFmtId="0" fontId="0" fillId="0" borderId="3" xfId="0" applyBorder="1" applyAlignment="1">
      <alignment horizontal="left" indent="1"/>
    </xf>
    <xf numFmtId="0" fontId="0" fillId="0" borderId="4" xfId="0" applyBorder="1">
      <alignment horizontal="left" vertical="center"/>
    </xf>
    <xf numFmtId="0" fontId="8" fillId="0" borderId="4" xfId="27" applyBorder="1">
      <alignment horizontal="center"/>
    </xf>
    <xf numFmtId="164" fontId="11" fillId="9" borderId="0" xfId="8" applyNumberFormat="1" applyFont="1" applyAlignment="1" applyProtection="1">
      <alignment horizontal="center" vertical="center"/>
    </xf>
    <xf numFmtId="164" fontId="11" fillId="3" borderId="0" xfId="24" applyNumberFormat="1" applyFont="1" applyFill="1" applyAlignment="1" applyProtection="1">
      <alignment horizontal="center" vertical="center"/>
    </xf>
    <xf numFmtId="0" fontId="4" fillId="0" borderId="0" xfId="0" applyFont="1" applyAlignment="1">
      <alignment horizontal="center" vertical="center"/>
    </xf>
    <xf numFmtId="0" fontId="1" fillId="0" borderId="0" xfId="21" applyFill="1" applyBorder="1" applyAlignment="1" applyProtection="1">
      <alignment horizontal="left" vertical="center" indent="1"/>
    </xf>
    <xf numFmtId="0" fontId="1" fillId="0" borderId="0" xfId="0" applyFont="1" applyAlignment="1">
      <alignment horizontal="center" vertical="center"/>
    </xf>
    <xf numFmtId="0" fontId="1" fillId="21" borderId="0" xfId="21" applyFill="1" applyBorder="1" applyAlignment="1" applyProtection="1">
      <alignment horizontal="center" vertical="center"/>
    </xf>
    <xf numFmtId="0" fontId="12" fillId="0" borderId="0" xfId="3" applyFont="1" applyFill="1" applyAlignment="1" applyProtection="1">
      <alignment horizontal="left" vertical="top"/>
    </xf>
    <xf numFmtId="0" fontId="14" fillId="0" borderId="0" xfId="1" applyFont="1" applyAlignment="1" applyProtection="1">
      <alignment horizontal="left" indent="1"/>
    </xf>
    <xf numFmtId="0" fontId="15" fillId="0" borderId="0" xfId="3" applyFont="1" applyFill="1" applyAlignment="1" applyProtection="1">
      <alignment vertical="top"/>
    </xf>
    <xf numFmtId="0" fontId="15" fillId="0" borderId="0" xfId="3" applyFont="1" applyFill="1" applyAlignment="1" applyProtection="1">
      <alignment horizontal="left" vertical="top"/>
    </xf>
    <xf numFmtId="0" fontId="16" fillId="10" borderId="0" xfId="19" applyFont="1" applyAlignment="1" applyProtection="1">
      <alignment horizontal="center" vertical="center"/>
    </xf>
    <xf numFmtId="0" fontId="16" fillId="13" borderId="0" xfId="23" applyFont="1" applyAlignment="1" applyProtection="1">
      <alignment horizontal="center" vertical="center"/>
    </xf>
    <xf numFmtId="0" fontId="16" fillId="15" borderId="0" xfId="12" applyFont="1" applyAlignment="1" applyProtection="1">
      <alignment horizontal="center" vertical="center"/>
    </xf>
    <xf numFmtId="0" fontId="17" fillId="0" borderId="0" xfId="3" applyFont="1" applyFill="1" applyAlignment="1" applyProtection="1">
      <alignment horizontal="left" vertical="top"/>
    </xf>
    <xf numFmtId="0" fontId="18" fillId="0" borderId="0" xfId="3" applyFont="1" applyFill="1" applyAlignment="1" applyProtection="1">
      <alignment horizontal="left" vertical="top"/>
    </xf>
    <xf numFmtId="0" fontId="18" fillId="0" borderId="0" xfId="3" applyFont="1" applyFill="1" applyAlignment="1" applyProtection="1">
      <alignment vertical="top"/>
    </xf>
    <xf numFmtId="0" fontId="6" fillId="0" borderId="0" xfId="3" applyFill="1" applyAlignment="1" applyProtection="1">
      <alignment horizontal="left" vertical="center"/>
    </xf>
    <xf numFmtId="0" fontId="1" fillId="0" borderId="0" xfId="21" applyFill="1" applyAlignment="1" applyProtection="1">
      <alignment horizontal="left" vertical="center" indent="1"/>
    </xf>
  </cellXfs>
  <cellStyles count="28">
    <cellStyle name="20% - Accent1" xfId="15" builtinId="30" customBuiltin="1"/>
    <cellStyle name="20% - Accent3" xfId="21" builtinId="38" customBuiltin="1"/>
    <cellStyle name="20% - Accent4" xfId="7" builtinId="42" customBuiltin="1"/>
    <cellStyle name="20% - Accent6" xfId="11" builtinId="50" customBuiltin="1"/>
    <cellStyle name="40% - Accent1" xfId="16" builtinId="31" customBuiltin="1"/>
    <cellStyle name="40% - Accent2" xfId="19" builtinId="35" customBuiltin="1"/>
    <cellStyle name="40% - Accent3" xfId="22" builtinId="39" customBuiltin="1"/>
    <cellStyle name="40% - Accent4" xfId="8" builtinId="43" customBuiltin="1"/>
    <cellStyle name="40% - Accent5" xfId="24" builtinId="47" customBuiltin="1"/>
    <cellStyle name="40% - Accent6" xfId="12" builtinId="51" customBuiltin="1"/>
    <cellStyle name="60% - Accent1" xfId="17" builtinId="32" customBuiltin="1"/>
    <cellStyle name="60% - Accent3" xfId="23" builtinId="40" customBuiltin="1"/>
    <cellStyle name="60% - Accent4" xfId="9" builtinId="44" customBuiltin="1"/>
    <cellStyle name="60% - Accent6" xfId="13" builtinId="52" customBuiltin="1"/>
    <cellStyle name="Accent1" xfId="14" builtinId="29" customBuiltin="1"/>
    <cellStyle name="Accent2" xfId="18" builtinId="33" customBuiltin="1"/>
    <cellStyle name="Accent3" xfId="20" builtinId="37" customBuiltin="1"/>
    <cellStyle name="Accent4" xfId="6" builtinId="41" customBuiltin="1"/>
    <cellStyle name="Accent6" xfId="10" builtinId="49" customBuiltin="1"/>
    <cellStyle name="Employee" xfId="26" xr:uid="{00000000-0005-0000-0000-000013000000}"/>
    <cellStyle name="Heading 1" xfId="2" builtinId="16" customBuiltin="1"/>
    <cellStyle name="Heading 2" xfId="3" builtinId="17" customBuiltin="1"/>
    <cellStyle name="Heading 3" xfId="4" builtinId="18" customBuiltin="1"/>
    <cellStyle name="Heading 4" xfId="5" builtinId="19" customBuiltin="1"/>
    <cellStyle name="Label" xfId="27" xr:uid="{00000000-0005-0000-0000-000018000000}"/>
    <cellStyle name="Normal" xfId="0" builtinId="0" customBuiltin="1"/>
    <cellStyle name="Title" xfId="1" builtinId="15" customBuiltin="1"/>
    <cellStyle name="Total" xfId="25" builtinId="25" customBuiltin="1"/>
  </cellStyles>
  <dxfs count="911">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color theme="3"/>
      </font>
      <border>
        <vertical/>
        <horizontal/>
      </border>
    </dxf>
    <dxf>
      <font>
        <color theme="0"/>
      </font>
      <border>
        <vertical/>
        <horizontal/>
      </border>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4"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alignment horizontal="left" vertical="center" textRotation="0" wrapText="0" indent="1" justifyLastLine="0" shrinkToFit="0" readingOrder="0"/>
    </dxf>
    <dxf>
      <fill>
        <patternFill patternType="none">
          <fgColor indexed="64"/>
          <bgColor indexed="65"/>
        </patternFill>
      </fill>
      <protection locked="1" hidden="0"/>
    </dxf>
    <dxf>
      <protection locked="1" hidden="0"/>
    </dxf>
    <dxf>
      <protection locked="1" hidden="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numFmt numFmtId="164"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fill>
        <patternFill patternType="none">
          <fgColor indexed="64"/>
          <bgColor indexed="65"/>
        </patternFill>
      </fill>
    </dxf>
    <dxf>
      <protection locked="1" hidden="0"/>
    </dxf>
    <dxf>
      <protection locked="1" hidden="0"/>
    </dxf>
    <dxf>
      <alignment horizontal="center" vertical="center" textRotation="0" wrapText="0" indent="0" justifyLastLine="0" shrinkToFit="0" readingOrder="0"/>
    </dxf>
    <dxf>
      <fill>
        <patternFill patternType="solid">
          <bgColor theme="5" tint="0.39994506668294322"/>
        </patternFill>
      </fill>
      <border diagonalUp="0" diagonalDown="0">
        <left/>
        <right/>
        <top style="thin">
          <color theme="5" tint="0.59996337778862885"/>
        </top>
        <bottom style="thick">
          <color theme="5"/>
        </bottom>
        <vertical style="thick">
          <color theme="0"/>
        </vertical>
        <horizontal style="thin">
          <color theme="5" tint="0.59996337778862885"/>
        </horizontal>
      </border>
    </dxf>
    <dxf>
      <font>
        <color theme="1"/>
      </font>
      <fill>
        <patternFill patternType="solid">
          <bgColor theme="5" tint="0.39994506668294322"/>
        </patternFill>
      </fill>
      <border diagonalUp="0" diagonalDown="0">
        <left/>
        <right/>
        <top style="thin">
          <color theme="5" tint="0.59996337778862885"/>
        </top>
        <bottom style="thick">
          <color theme="5"/>
        </bottom>
        <vertical style="thick">
          <color theme="0"/>
        </vertical>
        <horizontal style="thin">
          <color theme="5" tint="0.59996337778862885"/>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top style="thick">
          <color theme="5" tint="0.59996337778862885"/>
        </top>
        <bottom style="thick">
          <color theme="5" tint="0.59996337778862885"/>
        </bottom>
        <vertical style="thin">
          <color theme="0"/>
        </vertical>
        <horizontal style="thick">
          <color theme="5" tint="0.59996337778862885"/>
        </horizontal>
      </border>
    </dxf>
    <dxf>
      <fill>
        <patternFill>
          <bgColor theme="5" tint="0.79998168889431442"/>
        </patternFill>
      </fill>
      <border>
        <top style="thick">
          <color theme="0"/>
        </top>
        <bottom style="thick">
          <color theme="0"/>
        </bottom>
        <horizontal style="thick">
          <color theme="0"/>
        </horizontal>
      </border>
    </dxf>
    <dxf>
      <fill>
        <patternFill patternType="none">
          <fgColor auto="1"/>
          <bgColor auto="1"/>
        </patternFill>
      </fill>
      <border>
        <top style="thick">
          <color theme="0"/>
        </top>
        <bottom style="thick">
          <color theme="0"/>
        </bottom>
        <horizontal style="thick">
          <color theme="0"/>
        </horizontal>
      </border>
    </dxf>
    <dxf>
      <font>
        <b/>
        <i val="0"/>
        <color theme="1"/>
      </font>
      <fill>
        <patternFill patternType="none">
          <bgColor auto="1"/>
        </patternFill>
      </fill>
      <border diagonalUp="0" diagonalDown="0">
        <left/>
        <right/>
        <top style="thin">
          <color theme="5" tint="0.59996337778862885"/>
        </top>
        <bottom style="thin">
          <color theme="5" tint="0.59996337778862885"/>
        </bottom>
        <vertical/>
        <horizontal style="thin">
          <color theme="5" tint="0.59996337778862885"/>
        </horizontal>
      </border>
    </dxf>
    <dxf>
      <font>
        <color theme="1"/>
      </font>
      <fill>
        <patternFill patternType="none">
          <bgColor auto="1"/>
        </patternFill>
      </fill>
      <border>
        <left/>
        <right/>
        <top style="thin">
          <color theme="5" tint="0.59996337778862885"/>
        </top>
        <bottom style="thin">
          <color theme="5" tint="0.59996337778862885"/>
        </bottom>
        <vertical/>
        <horizontal style="thin">
          <color theme="5" tint="0.59996337778862885"/>
        </horizontal>
      </border>
    </dxf>
    <dxf>
      <font>
        <color theme="1"/>
      </font>
      <fill>
        <patternFill>
          <bgColor theme="5" tint="0.39994506668294322"/>
        </patternFill>
      </fill>
      <border diagonalUp="0" diagonalDown="0">
        <left style="thin">
          <color theme="0"/>
        </left>
        <right style="thin">
          <color theme="0"/>
        </right>
        <top style="thick">
          <color theme="0"/>
        </top>
        <bottom style="thick">
          <color theme="5"/>
        </bottom>
        <vertical style="thick">
          <color theme="0"/>
        </vertical>
        <horizontal/>
      </border>
    </dxf>
    <dxf>
      <font>
        <color theme="0"/>
      </font>
      <fill>
        <patternFill>
          <bgColor theme="5" tint="-0.24994659260841701"/>
        </patternFill>
      </fill>
      <border>
        <top style="thin">
          <color theme="5" tint="0.59996337778862885"/>
        </top>
        <bottom style="thin">
          <color theme="5" tint="0.59996337778862885"/>
        </bottom>
        <horizontal style="thin">
          <color theme="5" tint="0.59996337778862885"/>
        </horizontal>
      </border>
    </dxf>
    <dxf>
      <font>
        <b/>
        <i val="0"/>
        <color theme="0"/>
      </font>
      <border diagonalUp="0" diagonalDown="0">
        <left/>
        <right/>
        <top/>
        <bottom style="thick">
          <color theme="0"/>
        </bottom>
        <vertical style="thick">
          <color theme="0"/>
        </vertical>
        <horizontal style="thick">
          <color theme="0"/>
        </horizontal>
      </border>
    </dxf>
    <dxf>
      <fill>
        <patternFill patternType="solid">
          <fgColor theme="5" tint="0.39994506668294322"/>
          <bgColor theme="5" tint="0.39991454817346722"/>
        </patternFill>
      </fill>
      <border diagonalUp="0" diagonalDown="0">
        <left/>
        <right/>
        <top style="thin">
          <color theme="5" tint="0.59996337778862885"/>
        </top>
        <bottom style="thick">
          <color theme="5"/>
        </bottom>
        <vertical style="thick">
          <color theme="0"/>
        </vertical>
        <horizontal style="thin">
          <color theme="5" tint="0.59996337778862885"/>
        </horizontal>
      </border>
    </dxf>
    <dxf>
      <font>
        <color theme="1"/>
      </font>
      <fill>
        <patternFill patternType="solid">
          <fgColor theme="5" tint="0.39994506668294322"/>
          <bgColor theme="5" tint="0.39991454817346722"/>
        </patternFill>
      </fill>
      <border diagonalUp="0" diagonalDown="0">
        <left/>
        <right/>
        <top style="thin">
          <color theme="5" tint="0.59996337778862885"/>
        </top>
        <bottom style="thick">
          <color theme="5"/>
        </bottom>
        <vertical style="thick">
          <color theme="0"/>
        </vertical>
        <horizontal style="thin">
          <color theme="5" tint="0.59996337778862885"/>
        </horizontal>
      </border>
    </dxf>
    <dxf>
      <font>
        <color auto="1"/>
      </font>
      <fill>
        <patternFill patternType="none">
          <bgColor auto="1"/>
        </patternFill>
      </fill>
      <border diagonalUp="0" diagonalDown="0">
        <left/>
        <right/>
        <top style="thin">
          <color theme="5" tint="0.59996337778862885"/>
        </top>
        <bottom style="thin">
          <color theme="5" tint="0.59996337778862885"/>
        </bottom>
        <vertical/>
        <horizontal style="thin">
          <color theme="5" tint="0.59996337778862885"/>
        </horizontal>
      </border>
    </dxf>
    <dxf>
      <font>
        <color auto="1"/>
      </font>
      <fill>
        <patternFill patternType="none">
          <bgColor auto="1"/>
        </patternFill>
      </fill>
      <border diagonalUp="0" diagonalDown="0">
        <left/>
        <right/>
        <top style="thin">
          <color theme="5" tint="0.59996337778862885"/>
        </top>
        <bottom style="thin">
          <color theme="5" tint="0.59996337778862885"/>
        </bottom>
        <vertical/>
        <horizontal style="thin">
          <color theme="5" tint="0.59996337778862885"/>
        </horizontal>
      </border>
    </dxf>
    <dxf>
      <fill>
        <patternFill>
          <bgColor theme="5" tint="0.79998168889431442"/>
        </patternFill>
      </fill>
      <border>
        <top style="thick">
          <color theme="0"/>
        </top>
        <bottom style="thick">
          <color theme="0"/>
        </bottom>
        <horizontal style="thick">
          <color theme="0"/>
        </horizontal>
      </border>
    </dxf>
    <dxf>
      <fill>
        <patternFill patternType="none">
          <fgColor auto="1"/>
          <bgColor auto="1"/>
        </patternFill>
      </fill>
      <border>
        <top style="thick">
          <color theme="0"/>
        </top>
        <bottom style="thick">
          <color theme="0"/>
        </bottom>
        <horizontal style="thick">
          <color theme="0"/>
        </horizontal>
      </border>
    </dxf>
    <dxf>
      <font>
        <color auto="1"/>
      </font>
      <fill>
        <patternFill>
          <fgColor theme="5" tint="0.39994506668294322"/>
          <bgColor theme="5" tint="0.39991454817346722"/>
        </patternFill>
      </fill>
      <border diagonalUp="0" diagonalDown="0">
        <left style="thin">
          <color theme="0"/>
        </left>
        <right style="thin">
          <color theme="0"/>
        </right>
        <top style="thin">
          <color theme="5" tint="0.59996337778862885"/>
        </top>
        <bottom style="thick">
          <color theme="5"/>
        </bottom>
        <vertical style="thick">
          <color theme="0"/>
        </vertical>
        <horizontal style="thin">
          <color theme="5" tint="0.59996337778862885"/>
        </horizontal>
      </border>
    </dxf>
    <dxf>
      <font>
        <color theme="0"/>
      </font>
      <fill>
        <patternFill>
          <fgColor theme="5" tint="-0.24994659260841701"/>
          <bgColor theme="5" tint="-0.24994659260841701"/>
        </patternFill>
      </fill>
      <border>
        <top style="thin">
          <color theme="5" tint="0.59996337778862885"/>
        </top>
        <bottom style="thin">
          <color theme="5" tint="0.59996337778862885"/>
        </bottom>
        <horizontal style="thin">
          <color theme="5" tint="0.59996337778862885"/>
        </horizontal>
      </border>
    </dxf>
    <dxf>
      <font>
        <b/>
        <i val="0"/>
        <color auto="1"/>
      </font>
      <border diagonalUp="0" diagonalDown="0">
        <left style="thin">
          <color theme="0"/>
        </left>
        <right/>
        <top style="thin">
          <color theme="0"/>
        </top>
        <bottom style="thin">
          <color theme="0"/>
        </bottom>
        <vertical style="thick">
          <color theme="0"/>
        </vertical>
        <horizontal style="thick">
          <color theme="0"/>
        </horizontal>
      </border>
    </dxf>
  </dxfs>
  <tableStyles count="2" defaultTableStyle="Employee Absence Table" defaultPivotStyle="PivotStyleLight16">
    <tableStyle name="Employee Absence Table" pivot="0" count="9" xr9:uid="{00000000-0011-0000-FFFF-FFFF00000000}">
      <tableStyleElement type="wholeTable" dxfId="910"/>
      <tableStyleElement type="headerRow" dxfId="909"/>
      <tableStyleElement type="totalRow" dxfId="908"/>
      <tableStyleElement type="firstRowStripe" dxfId="907"/>
      <tableStyleElement type="secondRowStripe" dxfId="906"/>
      <tableStyleElement type="firstHeaderCell" dxfId="905"/>
      <tableStyleElement type="lastHeaderCell" dxfId="904"/>
      <tableStyleElement type="firstTotalCell" dxfId="903"/>
      <tableStyleElement type="lastTotalCell" dxfId="902"/>
    </tableStyle>
    <tableStyle name="Employee Absence Table 2" pivot="0" count="13" xr9:uid="{3374F2B5-EC6B-E245-A90B-F84953DFCF99}">
      <tableStyleElement type="wholeTable" dxfId="901"/>
      <tableStyleElement type="headerRow" dxfId="900"/>
      <tableStyleElement type="totalRow" dxfId="899"/>
      <tableStyleElement type="firstColumn" dxfId="898"/>
      <tableStyleElement type="lastColumn" dxfId="897"/>
      <tableStyleElement type="firstRowStripe" dxfId="896"/>
      <tableStyleElement type="secondRowStripe" dxfId="895"/>
      <tableStyleElement type="firstColumnStripe" dxfId="894"/>
      <tableStyleElement type="secondColumnStripe" dxfId="893"/>
      <tableStyleElement type="firstHeaderCell" dxfId="892"/>
      <tableStyleElement type="lastHeaderCell" dxfId="891"/>
      <tableStyleElement type="firstTotalCell" dxfId="890"/>
      <tableStyleElement type="lastTotalCell" dxfId="8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xl/worksheets/sheet81.xml" Id="rId8" /><Relationship Type="http://schemas.openxmlformats.org/officeDocument/2006/relationships/worksheet" Target="/xl/worksheets/sheet132.xml" Id="rId13" /><Relationship Type="http://schemas.openxmlformats.org/officeDocument/2006/relationships/customXml" Target="/customXml/item1.xml" Id="rId18" /><Relationship Type="http://schemas.openxmlformats.org/officeDocument/2006/relationships/worksheet" Target="/xl/worksheets/sheet33.xml" Id="rId3" /><Relationship Type="http://schemas.openxmlformats.org/officeDocument/2006/relationships/worksheet" Target="/xl/worksheets/sheet74.xml" Id="rId7" /><Relationship Type="http://schemas.openxmlformats.org/officeDocument/2006/relationships/worksheet" Target="/xl/worksheets/sheet125.xml" Id="rId12" /><Relationship Type="http://schemas.openxmlformats.org/officeDocument/2006/relationships/calcChain" Target="/xl/calcChain.xml" Id="rId17" /><Relationship Type="http://schemas.openxmlformats.org/officeDocument/2006/relationships/worksheet" Target="/xl/worksheets/sheet26.xml" Id="rId2" /><Relationship Type="http://schemas.openxmlformats.org/officeDocument/2006/relationships/sharedStrings" Target="/xl/sharedStrings.xml" Id="rId16" /><Relationship Type="http://schemas.openxmlformats.org/officeDocument/2006/relationships/customXml" Target="/customXml/item32.xml" Id="rId20" /><Relationship Type="http://schemas.openxmlformats.org/officeDocument/2006/relationships/worksheet" Target="/xl/worksheets/sheet17.xml" Id="rId1" /><Relationship Type="http://schemas.openxmlformats.org/officeDocument/2006/relationships/worksheet" Target="/xl/worksheets/sheet68.xml" Id="rId6" /><Relationship Type="http://schemas.openxmlformats.org/officeDocument/2006/relationships/worksheet" Target="/xl/worksheets/sheet119.xml" Id="rId11" /><Relationship Type="http://schemas.openxmlformats.org/officeDocument/2006/relationships/worksheet" Target="/xl/worksheets/sheet510.xml" Id="rId5" /><Relationship Type="http://schemas.openxmlformats.org/officeDocument/2006/relationships/styles" Target="/xl/styles.xml" Id="rId15" /><Relationship Type="http://schemas.openxmlformats.org/officeDocument/2006/relationships/worksheet" Target="/xl/worksheets/sheet1011.xml" Id="rId10" /><Relationship Type="http://schemas.openxmlformats.org/officeDocument/2006/relationships/customXml" Target="/customXml/item23.xml" Id="rId19" /><Relationship Type="http://schemas.openxmlformats.org/officeDocument/2006/relationships/worksheet" Target="/xl/worksheets/sheet412.xml" Id="rId4" /><Relationship Type="http://schemas.openxmlformats.org/officeDocument/2006/relationships/worksheet" Target="/xl/worksheets/sheet913.xml" Id="rId9" /><Relationship Type="http://schemas.openxmlformats.org/officeDocument/2006/relationships/theme" Target="/xl/theme/theme11.xml" Id="rId14" /></Relationships>
</file>

<file path=xl/tables/table10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9000000}" name="October" displayName="October" ref="B8:AH14" totalsRowCount="1" headerRowDxfId="268" dataDxfId="267" totalsRowDxfId="266">
  <tableColumns count="33">
    <tableColumn id="1" xr3:uid="{00000000-0010-0000-0900-000001000000}" name="Employee name" totalsRowFunction="custom" dataDxfId="265" totalsRowDxfId="264" dataCellStyle="Employee">
      <totalsRowFormula>MonthName&amp;" Total"</totalsRowFormula>
    </tableColumn>
    <tableColumn id="2" xr3:uid="{00000000-0010-0000-0900-000002000000}" name="1" totalsRowFunction="count" dataDxfId="263" totalsRowDxfId="262"/>
    <tableColumn id="3" xr3:uid="{00000000-0010-0000-0900-000003000000}" name="2" totalsRowFunction="count" dataDxfId="261" totalsRowDxfId="260"/>
    <tableColumn id="4" xr3:uid="{00000000-0010-0000-0900-000004000000}" name="3" totalsRowFunction="count" dataDxfId="259" totalsRowDxfId="258"/>
    <tableColumn id="5" xr3:uid="{00000000-0010-0000-0900-000005000000}" name="4" totalsRowFunction="count" dataDxfId="257" totalsRowDxfId="256"/>
    <tableColumn id="6" xr3:uid="{00000000-0010-0000-0900-000006000000}" name="5" totalsRowFunction="count" dataDxfId="255" totalsRowDxfId="254"/>
    <tableColumn id="7" xr3:uid="{00000000-0010-0000-0900-000007000000}" name="6" totalsRowFunction="count" dataDxfId="253" totalsRowDxfId="252"/>
    <tableColumn id="8" xr3:uid="{00000000-0010-0000-0900-000008000000}" name="7" totalsRowFunction="count" dataDxfId="251" totalsRowDxfId="250"/>
    <tableColumn id="9" xr3:uid="{00000000-0010-0000-0900-000009000000}" name="8" totalsRowFunction="count" dataDxfId="249" totalsRowDxfId="248"/>
    <tableColumn id="10" xr3:uid="{00000000-0010-0000-0900-00000A000000}" name="9" totalsRowFunction="count" dataDxfId="247" totalsRowDxfId="246"/>
    <tableColumn id="11" xr3:uid="{00000000-0010-0000-0900-00000B000000}" name="10" totalsRowFunction="count" dataDxfId="245" totalsRowDxfId="244"/>
    <tableColumn id="12" xr3:uid="{00000000-0010-0000-0900-00000C000000}" name="11" totalsRowFunction="count" dataDxfId="243" totalsRowDxfId="242"/>
    <tableColumn id="13" xr3:uid="{00000000-0010-0000-0900-00000D000000}" name="12" totalsRowFunction="count" dataDxfId="241" totalsRowDxfId="240"/>
    <tableColumn id="14" xr3:uid="{00000000-0010-0000-0900-00000E000000}" name="13" totalsRowFunction="count" dataDxfId="239" totalsRowDxfId="238"/>
    <tableColumn id="15" xr3:uid="{00000000-0010-0000-0900-00000F000000}" name="14" totalsRowFunction="count" dataDxfId="237" totalsRowDxfId="236"/>
    <tableColumn id="16" xr3:uid="{00000000-0010-0000-0900-000010000000}" name="15" totalsRowFunction="count" dataDxfId="235" totalsRowDxfId="234"/>
    <tableColumn id="17" xr3:uid="{00000000-0010-0000-0900-000011000000}" name="16" totalsRowFunction="count" dataDxfId="233" totalsRowDxfId="232"/>
    <tableColumn id="18" xr3:uid="{00000000-0010-0000-0900-000012000000}" name="17" totalsRowFunction="count" dataDxfId="231" totalsRowDxfId="230"/>
    <tableColumn id="19" xr3:uid="{00000000-0010-0000-0900-000013000000}" name="18" totalsRowFunction="count" dataDxfId="229" totalsRowDxfId="228"/>
    <tableColumn id="20" xr3:uid="{00000000-0010-0000-0900-000014000000}" name="19" totalsRowFunction="count" dataDxfId="227" totalsRowDxfId="226"/>
    <tableColumn id="21" xr3:uid="{00000000-0010-0000-0900-000015000000}" name="20" totalsRowFunction="count" dataDxfId="225" totalsRowDxfId="224"/>
    <tableColumn id="22" xr3:uid="{00000000-0010-0000-0900-000016000000}" name="21" totalsRowFunction="count" dataDxfId="223" totalsRowDxfId="222"/>
    <tableColumn id="23" xr3:uid="{00000000-0010-0000-0900-000017000000}" name="22" totalsRowFunction="count" dataDxfId="221" totalsRowDxfId="220"/>
    <tableColumn id="24" xr3:uid="{00000000-0010-0000-0900-000018000000}" name="23" totalsRowFunction="count" dataDxfId="219" totalsRowDxfId="218"/>
    <tableColumn id="25" xr3:uid="{00000000-0010-0000-0900-000019000000}" name="24" totalsRowFunction="count" dataDxfId="217" totalsRowDxfId="216"/>
    <tableColumn id="26" xr3:uid="{00000000-0010-0000-0900-00001A000000}" name="25" totalsRowFunction="count" dataDxfId="215" totalsRowDxfId="214"/>
    <tableColumn id="27" xr3:uid="{00000000-0010-0000-0900-00001B000000}" name="26" totalsRowFunction="count" dataDxfId="213" totalsRowDxfId="212"/>
    <tableColumn id="28" xr3:uid="{00000000-0010-0000-0900-00001C000000}" name="27" totalsRowFunction="count" dataDxfId="211" totalsRowDxfId="210"/>
    <tableColumn id="29" xr3:uid="{00000000-0010-0000-0900-00001D000000}" name="28" totalsRowFunction="count" dataDxfId="209" totalsRowDxfId="208"/>
    <tableColumn id="30" xr3:uid="{00000000-0010-0000-0900-00001E000000}" name="29" totalsRowFunction="count" dataDxfId="207" totalsRowDxfId="206"/>
    <tableColumn id="31" xr3:uid="{00000000-0010-0000-0900-00001F000000}" name="30" totalsRowFunction="sum" dataDxfId="205" totalsRowDxfId="204"/>
    <tableColumn id="32" xr3:uid="{00000000-0010-0000-0900-000020000000}" name="31" totalsRowFunction="sum" dataDxfId="203" totalsRowDxfId="202" dataCellStyle="Total"/>
    <tableColumn id="33" xr3:uid="{00000000-0010-0000-0900-000021000000}" name="Total days" totalsRowFunction="sum" dataDxfId="201" totalsRowDxfId="200" dataCellStyle="Total">
      <calculatedColumnFormula>COUNTA(October[[#This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A000000}" name="November" displayName="November" ref="B8:AH14" totalsRowCount="1" headerRowDxfId="199" dataDxfId="198" totalsRowDxfId="197">
  <tableColumns count="33">
    <tableColumn id="1" xr3:uid="{00000000-0010-0000-0A00-000001000000}" name="Employee name" totalsRowFunction="custom" dataDxfId="196" totalsRowDxfId="195" dataCellStyle="Employee">
      <totalsRowFormula>MonthName&amp;" Total"</totalsRowFormula>
    </tableColumn>
    <tableColumn id="2" xr3:uid="{00000000-0010-0000-0A00-000002000000}" name="1" totalsRowFunction="count" dataDxfId="194" totalsRowDxfId="193"/>
    <tableColumn id="3" xr3:uid="{00000000-0010-0000-0A00-000003000000}" name="2" totalsRowFunction="count" dataDxfId="192" totalsRowDxfId="191"/>
    <tableColumn id="4" xr3:uid="{00000000-0010-0000-0A00-000004000000}" name="3" totalsRowFunction="count" dataDxfId="190" totalsRowDxfId="189"/>
    <tableColumn id="5" xr3:uid="{00000000-0010-0000-0A00-000005000000}" name="4" totalsRowFunction="count" dataDxfId="188" totalsRowDxfId="187"/>
    <tableColumn id="6" xr3:uid="{00000000-0010-0000-0A00-000006000000}" name="5" totalsRowFunction="count" dataDxfId="186" totalsRowDxfId="185"/>
    <tableColumn id="7" xr3:uid="{00000000-0010-0000-0A00-000007000000}" name="6" totalsRowFunction="count" dataDxfId="184" totalsRowDxfId="183"/>
    <tableColumn id="8" xr3:uid="{00000000-0010-0000-0A00-000008000000}" name="7" totalsRowFunction="count" dataDxfId="182" totalsRowDxfId="181"/>
    <tableColumn id="9" xr3:uid="{00000000-0010-0000-0A00-000009000000}" name="8" totalsRowFunction="count" dataDxfId="180" totalsRowDxfId="179"/>
    <tableColumn id="10" xr3:uid="{00000000-0010-0000-0A00-00000A000000}" name="9" totalsRowFunction="count" dataDxfId="178" totalsRowDxfId="177"/>
    <tableColumn id="11" xr3:uid="{00000000-0010-0000-0A00-00000B000000}" name="10" totalsRowFunction="count" dataDxfId="176" totalsRowDxfId="175"/>
    <tableColumn id="12" xr3:uid="{00000000-0010-0000-0A00-00000C000000}" name="11" totalsRowFunction="count" dataDxfId="174" totalsRowDxfId="173"/>
    <tableColumn id="13" xr3:uid="{00000000-0010-0000-0A00-00000D000000}" name="12" totalsRowFunction="count" dataDxfId="172" totalsRowDxfId="171"/>
    <tableColumn id="14" xr3:uid="{00000000-0010-0000-0A00-00000E000000}" name="13" totalsRowFunction="count" dataDxfId="170" totalsRowDxfId="169"/>
    <tableColumn id="15" xr3:uid="{00000000-0010-0000-0A00-00000F000000}" name="14" totalsRowFunction="count" dataDxfId="168" totalsRowDxfId="167"/>
    <tableColumn id="16" xr3:uid="{00000000-0010-0000-0A00-000010000000}" name="15" totalsRowFunction="count" dataDxfId="166" totalsRowDxfId="165"/>
    <tableColumn id="17" xr3:uid="{00000000-0010-0000-0A00-000011000000}" name="16" totalsRowFunction="count" dataDxfId="164" totalsRowDxfId="163"/>
    <tableColumn id="18" xr3:uid="{00000000-0010-0000-0A00-000012000000}" name="17" totalsRowFunction="count" dataDxfId="162" totalsRowDxfId="161"/>
    <tableColumn id="19" xr3:uid="{00000000-0010-0000-0A00-000013000000}" name="18" totalsRowFunction="count" dataDxfId="160" totalsRowDxfId="159"/>
    <tableColumn id="20" xr3:uid="{00000000-0010-0000-0A00-000014000000}" name="19" totalsRowFunction="count" dataDxfId="158" totalsRowDxfId="157"/>
    <tableColumn id="21" xr3:uid="{00000000-0010-0000-0A00-000015000000}" name="20" totalsRowFunction="count" dataDxfId="156" totalsRowDxfId="155"/>
    <tableColumn id="22" xr3:uid="{00000000-0010-0000-0A00-000016000000}" name="21" totalsRowFunction="count" dataDxfId="154" totalsRowDxfId="153"/>
    <tableColumn id="23" xr3:uid="{00000000-0010-0000-0A00-000017000000}" name="22" totalsRowFunction="count" dataDxfId="152" totalsRowDxfId="151"/>
    <tableColumn id="24" xr3:uid="{00000000-0010-0000-0A00-000018000000}" name="23" totalsRowFunction="count" dataDxfId="150" totalsRowDxfId="149"/>
    <tableColumn id="25" xr3:uid="{00000000-0010-0000-0A00-000019000000}" name="24" totalsRowFunction="count" dataDxfId="148" totalsRowDxfId="147"/>
    <tableColumn id="26" xr3:uid="{00000000-0010-0000-0A00-00001A000000}" name="25" totalsRowFunction="count" dataDxfId="146" totalsRowDxfId="145"/>
    <tableColumn id="27" xr3:uid="{00000000-0010-0000-0A00-00001B000000}" name="26" totalsRowFunction="count" dataDxfId="144" totalsRowDxfId="143"/>
    <tableColumn id="28" xr3:uid="{00000000-0010-0000-0A00-00001C000000}" name="27" totalsRowFunction="count" dataDxfId="142" totalsRowDxfId="141"/>
    <tableColumn id="29" xr3:uid="{00000000-0010-0000-0A00-00001D000000}" name="28" totalsRowFunction="count" dataDxfId="140" totalsRowDxfId="139"/>
    <tableColumn id="30" xr3:uid="{00000000-0010-0000-0A00-00001E000000}" name="29" totalsRowFunction="count" dataDxfId="138" totalsRowDxfId="137"/>
    <tableColumn id="31" xr3:uid="{00000000-0010-0000-0A00-00001F000000}" name="30" totalsRowFunction="sum" dataDxfId="136" totalsRowDxfId="135"/>
    <tableColumn id="32" xr3:uid="{00000000-0010-0000-0A00-000020000000}" name=" " totalsRowFunction="sum" dataDxfId="134" totalsRowDxfId="133" dataCellStyle="Total"/>
    <tableColumn id="33" xr3:uid="{00000000-0010-0000-0A00-000021000000}" name="Total days" totalsRowFunction="sum" dataDxfId="132" totalsRowDxfId="131" dataCellStyle="Total">
      <calculatedColumnFormula>COUNTA(November[[#This Row],[1]:[ ]])</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December" displayName="December" ref="B8:AH14" totalsRowCount="1" headerRowDxfId="130" dataDxfId="129" totalsRowDxfId="128">
  <tableColumns count="33">
    <tableColumn id="1" xr3:uid="{00000000-0010-0000-0B00-000001000000}" name="Employee name" totalsRowFunction="custom" dataDxfId="127" totalsRowDxfId="126" dataCellStyle="Employee">
      <totalsRowFormula>MonthName&amp;" Total"</totalsRowFormula>
    </tableColumn>
    <tableColumn id="2" xr3:uid="{00000000-0010-0000-0B00-000002000000}" name="1" totalsRowFunction="count" dataDxfId="125" totalsRowDxfId="124"/>
    <tableColumn id="3" xr3:uid="{00000000-0010-0000-0B00-000003000000}" name="2" totalsRowFunction="count" dataDxfId="123" totalsRowDxfId="122"/>
    <tableColumn id="4" xr3:uid="{00000000-0010-0000-0B00-000004000000}" name="3" totalsRowFunction="count" dataDxfId="121" totalsRowDxfId="120"/>
    <tableColumn id="5" xr3:uid="{00000000-0010-0000-0B00-000005000000}" name="4" totalsRowFunction="count" dataDxfId="119" totalsRowDxfId="118"/>
    <tableColumn id="6" xr3:uid="{00000000-0010-0000-0B00-000006000000}" name="5" totalsRowFunction="count" dataDxfId="117" totalsRowDxfId="116"/>
    <tableColumn id="7" xr3:uid="{00000000-0010-0000-0B00-000007000000}" name="6" totalsRowFunction="count" dataDxfId="115" totalsRowDxfId="114"/>
    <tableColumn id="8" xr3:uid="{00000000-0010-0000-0B00-000008000000}" name="7" totalsRowFunction="count" dataDxfId="113" totalsRowDxfId="112"/>
    <tableColumn id="9" xr3:uid="{00000000-0010-0000-0B00-000009000000}" name="8" totalsRowFunction="count" dataDxfId="111" totalsRowDxfId="110"/>
    <tableColumn id="10" xr3:uid="{00000000-0010-0000-0B00-00000A000000}" name="9" totalsRowFunction="count" dataDxfId="109" totalsRowDxfId="108"/>
    <tableColumn id="11" xr3:uid="{00000000-0010-0000-0B00-00000B000000}" name="10" totalsRowFunction="count" dataDxfId="107" totalsRowDxfId="106"/>
    <tableColumn id="12" xr3:uid="{00000000-0010-0000-0B00-00000C000000}" name="11" totalsRowFunction="count" dataDxfId="105" totalsRowDxfId="104"/>
    <tableColumn id="13" xr3:uid="{00000000-0010-0000-0B00-00000D000000}" name="12" totalsRowFunction="count" dataDxfId="103" totalsRowDxfId="102"/>
    <tableColumn id="14" xr3:uid="{00000000-0010-0000-0B00-00000E000000}" name="13" totalsRowFunction="count" dataDxfId="101" totalsRowDxfId="100"/>
    <tableColumn id="15" xr3:uid="{00000000-0010-0000-0B00-00000F000000}" name="14" totalsRowFunction="count" dataDxfId="99" totalsRowDxfId="98"/>
    <tableColumn id="16" xr3:uid="{00000000-0010-0000-0B00-000010000000}" name="15" totalsRowFunction="count" dataDxfId="97" totalsRowDxfId="96"/>
    <tableColumn id="17" xr3:uid="{00000000-0010-0000-0B00-000011000000}" name="16" totalsRowFunction="count" dataDxfId="95" totalsRowDxfId="94"/>
    <tableColumn id="18" xr3:uid="{00000000-0010-0000-0B00-000012000000}" name="17" totalsRowFunction="count" dataDxfId="93" totalsRowDxfId="92"/>
    <tableColumn id="19" xr3:uid="{00000000-0010-0000-0B00-000013000000}" name="18" totalsRowFunction="count" dataDxfId="91" totalsRowDxfId="90"/>
    <tableColumn id="20" xr3:uid="{00000000-0010-0000-0B00-000014000000}" name="19" totalsRowFunction="count" dataDxfId="89" totalsRowDxfId="88"/>
    <tableColumn id="21" xr3:uid="{00000000-0010-0000-0B00-000015000000}" name="20" totalsRowFunction="count" dataDxfId="87" totalsRowDxfId="86"/>
    <tableColumn id="22" xr3:uid="{00000000-0010-0000-0B00-000016000000}" name="21" totalsRowFunction="count" dataDxfId="85" totalsRowDxfId="84"/>
    <tableColumn id="23" xr3:uid="{00000000-0010-0000-0B00-000017000000}" name="22" totalsRowFunction="count" dataDxfId="83" totalsRowDxfId="82"/>
    <tableColumn id="24" xr3:uid="{00000000-0010-0000-0B00-000018000000}" name="23" totalsRowFunction="count" dataDxfId="81" totalsRowDxfId="80"/>
    <tableColumn id="25" xr3:uid="{00000000-0010-0000-0B00-000019000000}" name="24" totalsRowFunction="count" dataDxfId="79" totalsRowDxfId="78"/>
    <tableColumn id="26" xr3:uid="{00000000-0010-0000-0B00-00001A000000}" name="25" totalsRowFunction="count" dataDxfId="77" totalsRowDxfId="76"/>
    <tableColumn id="27" xr3:uid="{00000000-0010-0000-0B00-00001B000000}" name="26" totalsRowFunction="count" dataDxfId="75" totalsRowDxfId="74"/>
    <tableColumn id="28" xr3:uid="{00000000-0010-0000-0B00-00001C000000}" name="27" totalsRowFunction="count" dataDxfId="73" totalsRowDxfId="72"/>
    <tableColumn id="29" xr3:uid="{00000000-0010-0000-0B00-00001D000000}" name="28" totalsRowFunction="count" dataDxfId="71" totalsRowDxfId="70"/>
    <tableColumn id="30" xr3:uid="{00000000-0010-0000-0B00-00001E000000}" name="29" totalsRowFunction="count" dataDxfId="69" totalsRowDxfId="68"/>
    <tableColumn id="31" xr3:uid="{00000000-0010-0000-0B00-00001F000000}" name="30" totalsRowFunction="sum" dataDxfId="67" totalsRowDxfId="66"/>
    <tableColumn id="32" xr3:uid="{00000000-0010-0000-0B00-000020000000}" name="31" totalsRowFunction="sum" dataDxfId="65" totalsRowDxfId="64" dataCellStyle="Total"/>
    <tableColumn id="33" xr3:uid="{00000000-0010-0000-0B00-000021000000}" name="Total days" totalsRowFunction="sum" dataDxfId="63" totalsRowDxfId="62" dataCellStyle="Total">
      <calculatedColumnFormula>COUNTA(December[[#This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s a list of names and calendar dates to record employees' absenteeism and specific absence type, such as V=Vacation, S=Sick, P=Personal and two placeholders for custom entries"/>
    </ext>
  </extLst>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mployeeName" displayName="EmployeeName" ref="B3:B8" totalsRowShown="0" dataCellStyle="Employee">
  <autoFilter ref="B3:B8" xr:uid="{00000000-0009-0000-0100-00000D000000}"/>
  <tableColumns count="1">
    <tableColumn id="1" xr3:uid="{00000000-0010-0000-0C00-000001000000}" name="Employee Names" dataCellStyle="Employee"/>
  </tableColumns>
  <tableStyleInfo name="Employee Absence Table" showFirstColumn="1" showLastColumn="1" showRowStripes="1" showColumnStripes="0"/>
  <extLst>
    <ext xmlns:x14="http://schemas.microsoft.com/office/spreadsheetml/2009/9/main" uri="{504A1905-F514-4f6f-8877-14C23A59335A}">
      <x14:table altTextSummary="Enter employee names in this table. These names are used as options in each month's absence schedule columm B"/>
    </ext>
  </extLst>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January" displayName="January" ref="B8:AH14" totalsRowCount="1" headerRowDxfId="888" dataDxfId="887" totalsRowDxfId="886">
  <autoFilter ref="B8:AH1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00000000-0010-0000-0000-000001000000}" name="Employee name" totalsRowFunction="custom" dataDxfId="885" totalsRowDxfId="884" dataCellStyle="Employee">
      <totalsRowFormula>MonthName&amp;" total"</totalsRowFormula>
    </tableColumn>
    <tableColumn id="2" xr3:uid="{00000000-0010-0000-0000-000002000000}" name="1" totalsRowFunction="custom" dataDxfId="883" totalsRowDxfId="882" dataCellStyle="Total">
      <totalsRowFormula>SUBTOTAL(103,January!$C$9:$C$13)</totalsRowFormula>
    </tableColumn>
    <tableColumn id="3" xr3:uid="{00000000-0010-0000-0000-000003000000}" name="2" totalsRowFunction="custom" dataDxfId="881" totalsRowDxfId="880" dataCellStyle="Total">
      <totalsRowFormula>SUBTOTAL(103,January!$D$9:$D$13)</totalsRowFormula>
    </tableColumn>
    <tableColumn id="4" xr3:uid="{00000000-0010-0000-0000-000004000000}" name="3" totalsRowFunction="custom" dataDxfId="879" totalsRowDxfId="878" dataCellStyle="Total">
      <totalsRowFormula>SUBTOTAL(103,January!$E$9:$E$13)</totalsRowFormula>
    </tableColumn>
    <tableColumn id="5" xr3:uid="{00000000-0010-0000-0000-000005000000}" name="4" totalsRowFunction="custom" dataDxfId="877" totalsRowDxfId="876" dataCellStyle="Total">
      <totalsRowFormula>SUBTOTAL(103,January!$F$9:$F$13)</totalsRowFormula>
    </tableColumn>
    <tableColumn id="6" xr3:uid="{00000000-0010-0000-0000-000006000000}" name="5" totalsRowFunction="custom" totalsRowDxfId="875" dataCellStyle="Total">
      <totalsRowFormula>SUBTOTAL(103,January!$G$9:$G$13)</totalsRowFormula>
    </tableColumn>
    <tableColumn id="7" xr3:uid="{00000000-0010-0000-0000-000007000000}" name="6" totalsRowFunction="custom" dataDxfId="874" totalsRowDxfId="873" dataCellStyle="Total">
      <totalsRowFormula>SUBTOTAL(103,January!$H$9:$H$13)</totalsRowFormula>
    </tableColumn>
    <tableColumn id="8" xr3:uid="{00000000-0010-0000-0000-000008000000}" name="7" totalsRowFunction="custom" dataDxfId="872" totalsRowDxfId="871" dataCellStyle="Total">
      <totalsRowFormula>SUBTOTAL(103,January!$I$9:$I$13)</totalsRowFormula>
    </tableColumn>
    <tableColumn id="9" xr3:uid="{00000000-0010-0000-0000-000009000000}" name="8" totalsRowFunction="custom" dataDxfId="870" totalsRowDxfId="869" dataCellStyle="Total">
      <totalsRowFormula>SUBTOTAL(103,January!$J$9:$J$13)</totalsRowFormula>
    </tableColumn>
    <tableColumn id="10" xr3:uid="{00000000-0010-0000-0000-00000A000000}" name="9" totalsRowFunction="custom" dataDxfId="868" totalsRowDxfId="867" dataCellStyle="Total">
      <totalsRowFormula>SUBTOTAL(103,January!$K$9:$K$13)</totalsRowFormula>
    </tableColumn>
    <tableColumn id="11" xr3:uid="{00000000-0010-0000-0000-00000B000000}" name="10" totalsRowFunction="custom" dataDxfId="866" totalsRowDxfId="865" dataCellStyle="Total">
      <totalsRowFormula>SUBTOTAL(103,January!$L$9:$L$13)</totalsRowFormula>
    </tableColumn>
    <tableColumn id="12" xr3:uid="{00000000-0010-0000-0000-00000C000000}" name="11" totalsRowFunction="custom" dataDxfId="864" totalsRowDxfId="863" dataCellStyle="Total">
      <totalsRowFormula>SUBTOTAL(103,January!$M$9:$M$13)</totalsRowFormula>
    </tableColumn>
    <tableColumn id="13" xr3:uid="{00000000-0010-0000-0000-00000D000000}" name="12" totalsRowFunction="custom" dataDxfId="862" totalsRowDxfId="861" dataCellStyle="Total">
      <totalsRowFormula>SUBTOTAL(103,January!$N$9:$N$13)</totalsRowFormula>
    </tableColumn>
    <tableColumn id="14" xr3:uid="{00000000-0010-0000-0000-00000E000000}" name="13" totalsRowFunction="custom" dataDxfId="860" totalsRowDxfId="859" dataCellStyle="Total">
      <totalsRowFormula>SUBTOTAL(103,January!$O$9:$O$13)</totalsRowFormula>
    </tableColumn>
    <tableColumn id="15" xr3:uid="{00000000-0010-0000-0000-00000F000000}" name="14" totalsRowFunction="custom" dataDxfId="858" totalsRowDxfId="857" dataCellStyle="Total">
      <totalsRowFormula>SUBTOTAL(103,January!$P$9:$P$13)</totalsRowFormula>
    </tableColumn>
    <tableColumn id="16" xr3:uid="{00000000-0010-0000-0000-000010000000}" name="15" totalsRowFunction="custom" dataDxfId="856" totalsRowDxfId="855" dataCellStyle="Total">
      <totalsRowFormula>SUBTOTAL(103,January!$Q$9:$Q$13)</totalsRowFormula>
    </tableColumn>
    <tableColumn id="17" xr3:uid="{00000000-0010-0000-0000-000011000000}" name="16" totalsRowFunction="custom" dataDxfId="854" totalsRowDxfId="853" dataCellStyle="Total">
      <totalsRowFormula>SUBTOTAL(103,January!$R$9:$R$13)</totalsRowFormula>
    </tableColumn>
    <tableColumn id="18" xr3:uid="{00000000-0010-0000-0000-000012000000}" name="17" totalsRowFunction="custom" dataDxfId="852" totalsRowDxfId="851" dataCellStyle="Total">
      <totalsRowFormula>SUBTOTAL(103,January!$S$9:$S$13)</totalsRowFormula>
    </tableColumn>
    <tableColumn id="19" xr3:uid="{00000000-0010-0000-0000-000013000000}" name="18" totalsRowFunction="custom" dataDxfId="850" totalsRowDxfId="849" dataCellStyle="Total">
      <totalsRowFormula>SUBTOTAL(103,January!$T$9:$T$13)</totalsRowFormula>
    </tableColumn>
    <tableColumn id="20" xr3:uid="{00000000-0010-0000-0000-000014000000}" name="19" totalsRowFunction="custom" dataDxfId="848" totalsRowDxfId="847" dataCellStyle="Total">
      <totalsRowFormula>SUBTOTAL(103,January!$U$9:$U$13)</totalsRowFormula>
    </tableColumn>
    <tableColumn id="21" xr3:uid="{00000000-0010-0000-0000-000015000000}" name="20" totalsRowFunction="custom" dataDxfId="846" totalsRowDxfId="845" dataCellStyle="Total">
      <totalsRowFormula>SUBTOTAL(103,January!$V$9:$V$13)</totalsRowFormula>
    </tableColumn>
    <tableColumn id="22" xr3:uid="{00000000-0010-0000-0000-000016000000}" name="21" totalsRowFunction="custom" dataDxfId="844" totalsRowDxfId="843" dataCellStyle="Total">
      <totalsRowFormula>SUBTOTAL(103,January!$W$9:$W$13)</totalsRowFormula>
    </tableColumn>
    <tableColumn id="23" xr3:uid="{00000000-0010-0000-0000-000017000000}" name="22" totalsRowFunction="custom" dataDxfId="842" totalsRowDxfId="841" dataCellStyle="Total">
      <totalsRowFormula>SUBTOTAL(103,January!$X$9:$X$13)</totalsRowFormula>
    </tableColumn>
    <tableColumn id="24" xr3:uid="{00000000-0010-0000-0000-000018000000}" name="23" totalsRowFunction="custom" dataDxfId="840" totalsRowDxfId="839" dataCellStyle="Total">
      <totalsRowFormula>SUBTOTAL(103,January!$Y$9:$Y$13)</totalsRowFormula>
    </tableColumn>
    <tableColumn id="25" xr3:uid="{00000000-0010-0000-0000-000019000000}" name="24" totalsRowFunction="custom" dataDxfId="838" totalsRowDxfId="837" dataCellStyle="Total">
      <totalsRowFormula>SUBTOTAL(103,January!$Z$9:$Z$13)</totalsRowFormula>
    </tableColumn>
    <tableColumn id="26" xr3:uid="{00000000-0010-0000-0000-00001A000000}" name="25" totalsRowFunction="custom" dataDxfId="836" totalsRowDxfId="835" dataCellStyle="Total">
      <totalsRowFormula>SUBTOTAL(103,January!$AA$9:$AA$13)</totalsRowFormula>
    </tableColumn>
    <tableColumn id="27" xr3:uid="{00000000-0010-0000-0000-00001B000000}" name="26" totalsRowFunction="custom" dataDxfId="834" totalsRowDxfId="833" dataCellStyle="Total">
      <totalsRowFormula>SUBTOTAL(103,January!$AB$9:$AB$13)</totalsRowFormula>
    </tableColumn>
    <tableColumn id="28" xr3:uid="{00000000-0010-0000-0000-00001C000000}" name="27" totalsRowFunction="custom" dataDxfId="832" totalsRowDxfId="831" dataCellStyle="Total">
      <totalsRowFormula>SUBTOTAL(103,January!$AC$9:$AC$13)</totalsRowFormula>
    </tableColumn>
    <tableColumn id="29" xr3:uid="{00000000-0010-0000-0000-00001D000000}" name="28" totalsRowFunction="custom" dataDxfId="830" totalsRowDxfId="829" dataCellStyle="Total">
      <totalsRowFormula>SUBTOTAL(103,January!$AD$9:$AD$13)</totalsRowFormula>
    </tableColumn>
    <tableColumn id="30" xr3:uid="{00000000-0010-0000-0000-00001E000000}" name="29" totalsRowFunction="custom" dataDxfId="828" totalsRowDxfId="827" dataCellStyle="Total">
      <totalsRowFormula>SUBTOTAL(103,January!$AE$9:$AE$13)</totalsRowFormula>
    </tableColumn>
    <tableColumn id="31" xr3:uid="{00000000-0010-0000-0000-00001F000000}" name="30" totalsRowFunction="custom" dataDxfId="826" totalsRowDxfId="825" dataCellStyle="Total">
      <totalsRowFormula>SUBTOTAL(103,January!$AF$9:$AF$13)</totalsRowFormula>
    </tableColumn>
    <tableColumn id="32" xr3:uid="{00000000-0010-0000-0000-000020000000}" name="31" totalsRowFunction="custom" dataDxfId="824" totalsRowDxfId="823" dataCellStyle="Total">
      <totalsRowFormula>SUBTOTAL(103,January!$AG$9:$AG$13)</totalsRowFormula>
    </tableColumn>
    <tableColumn id="33" xr3:uid="{00000000-0010-0000-0000-000021000000}" name="Total days" totalsRowFunction="sum" dataDxfId="822" totalsRowDxfId="821" dataCellStyle="Total">
      <calculatedColumnFormula>COUNTA(January!$C9:$AG9)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ebruary" displayName="February" ref="B8:AH14" totalsRowCount="1" headerRowDxfId="820" dataDxfId="819" totalsRowDxfId="818">
  <tableColumns count="33">
    <tableColumn id="1" xr3:uid="{00000000-0010-0000-0100-000001000000}" name="Employee name" totalsRowFunction="custom" dataDxfId="817" totalsRowDxfId="816" dataCellStyle="Employee">
      <totalsRowFormula>MonthName&amp;" total"</totalsRowFormula>
    </tableColumn>
    <tableColumn id="2" xr3:uid="{00000000-0010-0000-0100-000002000000}" name="1" totalsRowFunction="count" dataDxfId="815" totalsRowDxfId="814" dataCellStyle="Total"/>
    <tableColumn id="3" xr3:uid="{00000000-0010-0000-0100-000003000000}" name="2" totalsRowFunction="count" dataDxfId="813" totalsRowDxfId="812" dataCellStyle="Total"/>
    <tableColumn id="4" xr3:uid="{00000000-0010-0000-0100-000004000000}" name="3" totalsRowFunction="count" dataDxfId="811" totalsRowDxfId="810" dataCellStyle="Total"/>
    <tableColumn id="5" xr3:uid="{00000000-0010-0000-0100-000005000000}" name="4" totalsRowFunction="count" dataDxfId="809" totalsRowDxfId="808" dataCellStyle="Total"/>
    <tableColumn id="6" xr3:uid="{00000000-0010-0000-0100-000006000000}" name="5" totalsRowFunction="count" dataDxfId="807" totalsRowDxfId="806" dataCellStyle="Total"/>
    <tableColumn id="7" xr3:uid="{00000000-0010-0000-0100-000007000000}" name="6" totalsRowFunction="count" dataDxfId="805" totalsRowDxfId="804" dataCellStyle="Total"/>
    <tableColumn id="8" xr3:uid="{00000000-0010-0000-0100-000008000000}" name="7" totalsRowFunction="count" dataDxfId="803" totalsRowDxfId="802" dataCellStyle="Total"/>
    <tableColumn id="9" xr3:uid="{00000000-0010-0000-0100-000009000000}" name="8" totalsRowFunction="count" dataDxfId="801" totalsRowDxfId="800" dataCellStyle="Total"/>
    <tableColumn id="10" xr3:uid="{00000000-0010-0000-0100-00000A000000}" name="9" totalsRowFunction="count" dataDxfId="799" totalsRowDxfId="798" dataCellStyle="Total"/>
    <tableColumn id="11" xr3:uid="{00000000-0010-0000-0100-00000B000000}" name="10" totalsRowFunction="count" dataDxfId="797" totalsRowDxfId="796" dataCellStyle="Total"/>
    <tableColumn id="12" xr3:uid="{00000000-0010-0000-0100-00000C000000}" name="11" totalsRowFunction="count" dataDxfId="795" totalsRowDxfId="794" dataCellStyle="Total"/>
    <tableColumn id="13" xr3:uid="{00000000-0010-0000-0100-00000D000000}" name="12" totalsRowFunction="count" dataDxfId="793" totalsRowDxfId="792" dataCellStyle="Total"/>
    <tableColumn id="14" xr3:uid="{00000000-0010-0000-0100-00000E000000}" name="13" totalsRowFunction="count" dataDxfId="791" totalsRowDxfId="790" dataCellStyle="Total"/>
    <tableColumn id="15" xr3:uid="{00000000-0010-0000-0100-00000F000000}" name="14" totalsRowFunction="count" dataDxfId="789" totalsRowDxfId="788" dataCellStyle="Total"/>
    <tableColumn id="16" xr3:uid="{00000000-0010-0000-0100-000010000000}" name="15" totalsRowFunction="count" dataDxfId="787" totalsRowDxfId="786" dataCellStyle="Total"/>
    <tableColumn id="17" xr3:uid="{00000000-0010-0000-0100-000011000000}" name="16" totalsRowFunction="count" dataDxfId="785" totalsRowDxfId="784" dataCellStyle="Total"/>
    <tableColumn id="18" xr3:uid="{00000000-0010-0000-0100-000012000000}" name="17" totalsRowFunction="count" dataDxfId="783" totalsRowDxfId="782" dataCellStyle="Total"/>
    <tableColumn id="19" xr3:uid="{00000000-0010-0000-0100-000013000000}" name="18" totalsRowFunction="count" dataDxfId="781" totalsRowDxfId="780" dataCellStyle="Total"/>
    <tableColumn id="20" xr3:uid="{00000000-0010-0000-0100-000014000000}" name="19" totalsRowFunction="count" dataDxfId="779" totalsRowDxfId="778" dataCellStyle="Total"/>
    <tableColumn id="21" xr3:uid="{00000000-0010-0000-0100-000015000000}" name="20" totalsRowFunction="count" dataDxfId="777" totalsRowDxfId="776" dataCellStyle="Total"/>
    <tableColumn id="22" xr3:uid="{00000000-0010-0000-0100-000016000000}" name="21" totalsRowFunction="count" dataDxfId="775" totalsRowDxfId="774" dataCellStyle="Total"/>
    <tableColumn id="23" xr3:uid="{00000000-0010-0000-0100-000017000000}" name="22" totalsRowFunction="count" dataDxfId="773" totalsRowDxfId="772" dataCellStyle="Total"/>
    <tableColumn id="24" xr3:uid="{00000000-0010-0000-0100-000018000000}" name="23" totalsRowFunction="count" dataDxfId="771" totalsRowDxfId="770" dataCellStyle="Total"/>
    <tableColumn id="25" xr3:uid="{00000000-0010-0000-0100-000019000000}" name="24" totalsRowFunction="count" dataDxfId="769" totalsRowDxfId="768" dataCellStyle="Total"/>
    <tableColumn id="26" xr3:uid="{00000000-0010-0000-0100-00001A000000}" name="25" totalsRowFunction="count" dataDxfId="767" totalsRowDxfId="766" dataCellStyle="Total"/>
    <tableColumn id="27" xr3:uid="{00000000-0010-0000-0100-00001B000000}" name="26" totalsRowFunction="count" dataDxfId="765" totalsRowDxfId="764" dataCellStyle="Total"/>
    <tableColumn id="28" xr3:uid="{00000000-0010-0000-0100-00001C000000}" name="27" totalsRowFunction="count" dataDxfId="763" totalsRowDxfId="762" dataCellStyle="Total"/>
    <tableColumn id="29" xr3:uid="{00000000-0010-0000-0100-00001D000000}" name="28" totalsRowFunction="count" dataDxfId="761" totalsRowDxfId="760" dataCellStyle="Total"/>
    <tableColumn id="30" xr3:uid="{00000000-0010-0000-0100-00001E000000}" name="29" totalsRowFunction="count" dataDxfId="759" totalsRowDxfId="758" dataCellStyle="Total"/>
    <tableColumn id="31" xr3:uid="{00000000-0010-0000-0100-00001F000000}" name=" " dataDxfId="757" totalsRowDxfId="756" dataCellStyle="Total"/>
    <tableColumn id="32" xr3:uid="{00000000-0010-0000-0100-000020000000}" name="  " dataDxfId="755" totalsRowDxfId="754" dataCellStyle="Total"/>
    <tableColumn id="33" xr3:uid="{00000000-0010-0000-0100-000021000000}" name="Total days" totalsRowFunction="sum" dataDxfId="753" totalsRowDxfId="752" dataCellStyle="Total">
      <calculatedColumnFormula>COUNTA(February[[#This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March" displayName="March" ref="B8:AH14" totalsRowCount="1" headerRowDxfId="751" dataDxfId="750" totalsRowDxfId="749">
  <tableColumns count="33">
    <tableColumn id="1" xr3:uid="{00000000-0010-0000-0200-000001000000}" name="Employee name" totalsRowFunction="custom" dataDxfId="748" totalsRowDxfId="747" dataCellStyle="Employee">
      <totalsRowFormula>MonthName&amp;" Total"</totalsRowFormula>
    </tableColumn>
    <tableColumn id="2" xr3:uid="{00000000-0010-0000-0200-000002000000}" name="1" totalsRowFunction="count" dataDxfId="746" totalsRowDxfId="745"/>
    <tableColumn id="3" xr3:uid="{00000000-0010-0000-0200-000003000000}" name="2" totalsRowFunction="count" dataDxfId="744" totalsRowDxfId="743"/>
    <tableColumn id="4" xr3:uid="{00000000-0010-0000-0200-000004000000}" name="3" totalsRowFunction="count" dataDxfId="742" totalsRowDxfId="741"/>
    <tableColumn id="5" xr3:uid="{00000000-0010-0000-0200-000005000000}" name="4" totalsRowFunction="count" dataDxfId="740" totalsRowDxfId="739"/>
    <tableColumn id="6" xr3:uid="{00000000-0010-0000-0200-000006000000}" name="5" totalsRowFunction="count" dataDxfId="738" totalsRowDxfId="737"/>
    <tableColumn id="7" xr3:uid="{00000000-0010-0000-0200-000007000000}" name="6" totalsRowFunction="count" dataDxfId="736" totalsRowDxfId="735"/>
    <tableColumn id="8" xr3:uid="{00000000-0010-0000-0200-000008000000}" name="7" totalsRowFunction="count" dataDxfId="734" totalsRowDxfId="733"/>
    <tableColumn id="9" xr3:uid="{00000000-0010-0000-0200-000009000000}" name="8" totalsRowFunction="count" dataDxfId="732" totalsRowDxfId="731"/>
    <tableColumn id="10" xr3:uid="{00000000-0010-0000-0200-00000A000000}" name="9" totalsRowFunction="count" dataDxfId="730" totalsRowDxfId="729"/>
    <tableColumn id="11" xr3:uid="{00000000-0010-0000-0200-00000B000000}" name="10" totalsRowFunction="count" dataDxfId="728" totalsRowDxfId="727"/>
    <tableColumn id="12" xr3:uid="{00000000-0010-0000-0200-00000C000000}" name="11" totalsRowFunction="count" dataDxfId="726" totalsRowDxfId="725"/>
    <tableColumn id="13" xr3:uid="{00000000-0010-0000-0200-00000D000000}" name="12" totalsRowFunction="count" dataDxfId="724" totalsRowDxfId="723"/>
    <tableColumn id="14" xr3:uid="{00000000-0010-0000-0200-00000E000000}" name="13" totalsRowFunction="count" dataDxfId="722" totalsRowDxfId="721"/>
    <tableColumn id="15" xr3:uid="{00000000-0010-0000-0200-00000F000000}" name="14" totalsRowFunction="count" dataDxfId="720" totalsRowDxfId="719"/>
    <tableColumn id="16" xr3:uid="{00000000-0010-0000-0200-000010000000}" name="15" totalsRowFunction="count" dataDxfId="718" totalsRowDxfId="717"/>
    <tableColumn id="17" xr3:uid="{00000000-0010-0000-0200-000011000000}" name="16" totalsRowFunction="count" dataDxfId="716" totalsRowDxfId="715"/>
    <tableColumn id="18" xr3:uid="{00000000-0010-0000-0200-000012000000}" name="17" totalsRowFunction="count" dataDxfId="714" totalsRowDxfId="713"/>
    <tableColumn id="19" xr3:uid="{00000000-0010-0000-0200-000013000000}" name="18" totalsRowFunction="count" dataDxfId="712" totalsRowDxfId="711"/>
    <tableColumn id="20" xr3:uid="{00000000-0010-0000-0200-000014000000}" name="19" totalsRowFunction="count" dataDxfId="710" totalsRowDxfId="709"/>
    <tableColumn id="21" xr3:uid="{00000000-0010-0000-0200-000015000000}" name="20" totalsRowFunction="count" dataDxfId="708" totalsRowDxfId="707"/>
    <tableColumn id="22" xr3:uid="{00000000-0010-0000-0200-000016000000}" name="21" totalsRowFunction="count" dataDxfId="706" totalsRowDxfId="705"/>
    <tableColumn id="23" xr3:uid="{00000000-0010-0000-0200-000017000000}" name="22" totalsRowFunction="count" dataDxfId="704" totalsRowDxfId="703"/>
    <tableColumn id="24" xr3:uid="{00000000-0010-0000-0200-000018000000}" name="23" totalsRowFunction="count" dataDxfId="702" totalsRowDxfId="701"/>
    <tableColumn id="25" xr3:uid="{00000000-0010-0000-0200-000019000000}" name="24" totalsRowFunction="count" dataDxfId="700" totalsRowDxfId="699"/>
    <tableColumn id="26" xr3:uid="{00000000-0010-0000-0200-00001A000000}" name="25" totalsRowFunction="count" dataDxfId="698" totalsRowDxfId="697"/>
    <tableColumn id="27" xr3:uid="{00000000-0010-0000-0200-00001B000000}" name="26" totalsRowFunction="count" dataDxfId="696" totalsRowDxfId="695"/>
    <tableColumn id="28" xr3:uid="{00000000-0010-0000-0200-00001C000000}" name="27" totalsRowFunction="count" dataDxfId="694" totalsRowDxfId="693"/>
    <tableColumn id="29" xr3:uid="{00000000-0010-0000-0200-00001D000000}" name="28" totalsRowFunction="count" dataDxfId="692" totalsRowDxfId="691"/>
    <tableColumn id="30" xr3:uid="{00000000-0010-0000-0200-00001E000000}" name="29" totalsRowFunction="count" dataDxfId="690" totalsRowDxfId="689"/>
    <tableColumn id="31" xr3:uid="{00000000-0010-0000-0200-00001F000000}" name="30" totalsRowFunction="sum" dataDxfId="688" totalsRowDxfId="687"/>
    <tableColumn id="32" xr3:uid="{00000000-0010-0000-0200-000020000000}" name="31" totalsRowFunction="sum" dataDxfId="686" totalsRowDxfId="685" dataCellStyle="Total"/>
    <tableColumn id="33" xr3:uid="{00000000-0010-0000-0200-000021000000}" name="Total days" totalsRowFunction="sum" dataDxfId="684" totalsRowDxfId="683" dataCellStyle="Total">
      <calculatedColumnFormula>COUNTA(March[[#This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4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0214BC2-F1A9-794B-922E-B532EC6BBFDF}" name="March5" displayName="March5" ref="B8:AH14" totalsRowCount="1" headerRowDxfId="682" dataDxfId="681" totalsRowDxfId="680">
  <tableColumns count="33">
    <tableColumn id="1" xr3:uid="{5251F992-E710-C643-B160-C37BB2131D31}" name="Employee name" totalsRowFunction="custom" dataDxfId="679" totalsRowDxfId="678" dataCellStyle="Employee">
      <totalsRowFormula>MonthName&amp;" Total"</totalsRowFormula>
    </tableColumn>
    <tableColumn id="2" xr3:uid="{9AEC3AA3-9F0E-4B4E-A8ED-026BAE9C428F}" name="1" totalsRowFunction="count" dataDxfId="677" totalsRowDxfId="676"/>
    <tableColumn id="3" xr3:uid="{55750F7A-05DD-CB41-95C5-BE1F874725AE}" name="2" totalsRowFunction="count" dataDxfId="675" totalsRowDxfId="674"/>
    <tableColumn id="4" xr3:uid="{259912E4-C37B-5145-B99B-93F989E18A49}" name="3" totalsRowFunction="count" dataDxfId="673" totalsRowDxfId="672"/>
    <tableColumn id="5" xr3:uid="{44743504-4BFF-3B46-87DE-A0AE5C8C9FC0}" name="4" totalsRowFunction="count" dataDxfId="671" totalsRowDxfId="670"/>
    <tableColumn id="6" xr3:uid="{471BE969-F222-D642-8D1A-B386CCC29AB2}" name="5" totalsRowFunction="count" dataDxfId="669" totalsRowDxfId="668"/>
    <tableColumn id="7" xr3:uid="{35FEC3F2-5280-D342-A070-AB9A3C3BCF0A}" name="6" totalsRowFunction="count" dataDxfId="667" totalsRowDxfId="666"/>
    <tableColumn id="8" xr3:uid="{D4047C63-7046-5242-9483-0BC31BD18200}" name="7" totalsRowFunction="count" dataDxfId="665" totalsRowDxfId="664"/>
    <tableColumn id="9" xr3:uid="{79A2B7D0-444A-5942-9296-2BD32E471C66}" name="8" totalsRowFunction="count" dataDxfId="663" totalsRowDxfId="662"/>
    <tableColumn id="10" xr3:uid="{B46D113E-7D39-5A43-BAA4-11739C4AD0C2}" name="9" totalsRowFunction="count" dataDxfId="661" totalsRowDxfId="660"/>
    <tableColumn id="11" xr3:uid="{977EC8E9-AEB6-3E40-BE79-A406D4D3444D}" name="10" totalsRowFunction="count" dataDxfId="659" totalsRowDxfId="658"/>
    <tableColumn id="12" xr3:uid="{42883C66-F682-394E-8D72-6C0286CB27EA}" name="11" totalsRowFunction="count" dataDxfId="657" totalsRowDxfId="656"/>
    <tableColumn id="13" xr3:uid="{9A10401F-4CF0-8641-BCEB-2237315C8881}" name="12" totalsRowFunction="count" dataDxfId="655" totalsRowDxfId="654"/>
    <tableColumn id="14" xr3:uid="{9C8C4D04-BE8B-FB44-9666-B515D905B2D6}" name="13" totalsRowFunction="count" dataDxfId="653" totalsRowDxfId="652"/>
    <tableColumn id="15" xr3:uid="{E996717D-17EC-B048-A561-2AD987D342D0}" name="14" totalsRowFunction="count" dataDxfId="651" totalsRowDxfId="650"/>
    <tableColumn id="16" xr3:uid="{3BFEBF2B-F60F-A142-86F2-75C9DC96AFDB}" name="15" totalsRowFunction="count" dataDxfId="649" totalsRowDxfId="648"/>
    <tableColumn id="17" xr3:uid="{0C97EF54-1361-BE43-8F7F-1BCE23E1AB5A}" name="16" totalsRowFunction="count" dataDxfId="647" totalsRowDxfId="646"/>
    <tableColumn id="18" xr3:uid="{257791F4-E1CB-0642-BD3B-FB1B81C57DF1}" name="17" totalsRowFunction="count" dataDxfId="645" totalsRowDxfId="644"/>
    <tableColumn id="19" xr3:uid="{BB7AB6EF-7B76-5946-B53A-22DB3EB1F3FC}" name="18" totalsRowFunction="count" dataDxfId="643" totalsRowDxfId="642"/>
    <tableColumn id="20" xr3:uid="{85AEA6C3-1E60-234F-8E68-DD23536D850B}" name="19" totalsRowFunction="count" dataDxfId="641" totalsRowDxfId="640"/>
    <tableColumn id="21" xr3:uid="{A73B9507-91D4-9B42-8C0E-1E0FB67905F8}" name="20" totalsRowFunction="count" dataDxfId="639" totalsRowDxfId="638"/>
    <tableColumn id="22" xr3:uid="{5C7BDCBF-0A5A-4549-B80B-C8343893EAF7}" name="21" totalsRowFunction="count" dataDxfId="637" totalsRowDxfId="636"/>
    <tableColumn id="23" xr3:uid="{EC439ECF-E0C6-5D41-9DA2-07E3E82FF691}" name="22" totalsRowFunction="count" dataDxfId="635" totalsRowDxfId="634"/>
    <tableColumn id="24" xr3:uid="{97854A72-AEC9-604B-B1D4-06EC15436469}" name="23" totalsRowFunction="count" dataDxfId="633" totalsRowDxfId="632"/>
    <tableColumn id="25" xr3:uid="{F701FD79-E584-DF4B-83E9-A152532FDD15}" name="24" totalsRowFunction="count" dataDxfId="631" totalsRowDxfId="630"/>
    <tableColumn id="26" xr3:uid="{C662F6C1-F102-5942-8719-E32AD8792020}" name="25" totalsRowFunction="count" dataDxfId="629" totalsRowDxfId="628"/>
    <tableColumn id="27" xr3:uid="{50B9E2E5-9F39-0F45-AE9B-4555A77D295D}" name="26" totalsRowFunction="count" dataDxfId="627" totalsRowDxfId="626"/>
    <tableColumn id="28" xr3:uid="{3E4AF3CF-CB70-0842-B373-83CF59CBDA1D}" name="27" totalsRowFunction="count" dataDxfId="625" totalsRowDxfId="624"/>
    <tableColumn id="29" xr3:uid="{C5FCD875-31A1-4B41-AAF6-09E535D80C81}" name="28" totalsRowFunction="count" dataDxfId="623" totalsRowDxfId="622"/>
    <tableColumn id="30" xr3:uid="{84F06E67-080B-CA42-8EEC-59690B041A03}" name="29" totalsRowFunction="count" dataDxfId="621" totalsRowDxfId="620"/>
    <tableColumn id="31" xr3:uid="{284765D5-58F9-F440-84EA-ACE449176ACA}" name="30" totalsRowFunction="sum" dataDxfId="619" totalsRowDxfId="618"/>
    <tableColumn id="32" xr3:uid="{9C77C5AD-4E19-B843-B9BE-2909F268D667}" name=" " totalsRowFunction="sum" dataDxfId="617" totalsRowDxfId="616" dataCellStyle="Total"/>
    <tableColumn id="33" xr3:uid="{0DA7656D-8525-2046-AEDA-1F40E411BD0D}" name="Total days" totalsRowFunction="sum" dataDxfId="615" totalsRowDxfId="614" dataCellStyle="Total">
      <calculatedColumnFormula>COUNTA(March5[[#This Row],[1]:[ ]])</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5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E83FD69-EC79-6B43-9728-DBC90C3FDC77}" name="March58" displayName="March58" ref="B8:AH14" totalsRowCount="1" headerRowDxfId="613" dataDxfId="612" totalsRowDxfId="611">
  <tableColumns count="33">
    <tableColumn id="1" xr3:uid="{5910D0B6-76A8-1646-97A8-4AE2D1756125}" name="Employee name" totalsRowFunction="custom" dataDxfId="610" totalsRowDxfId="609" dataCellStyle="Employee">
      <totalsRowFormula>MonthName&amp;" Total"</totalsRowFormula>
    </tableColumn>
    <tableColumn id="2" xr3:uid="{69C27970-12EA-0E42-AF5F-351BA83FD215}" name="1" totalsRowFunction="count" dataDxfId="608" totalsRowDxfId="607"/>
    <tableColumn id="3" xr3:uid="{2DB67051-6E13-964F-86B0-B00AA9A5BFAF}" name="2" totalsRowFunction="count" dataDxfId="606" totalsRowDxfId="605"/>
    <tableColumn id="4" xr3:uid="{CF201FDD-65B9-BE4B-BE51-45EFCA258036}" name="3" totalsRowFunction="count" dataDxfId="604" totalsRowDxfId="603"/>
    <tableColumn id="5" xr3:uid="{E03823B4-0CCA-7D47-BCFD-4BB07A97D88C}" name="4" totalsRowFunction="count" dataDxfId="602" totalsRowDxfId="601"/>
    <tableColumn id="6" xr3:uid="{5F39FD90-2520-0847-B186-6CA5B07A072F}" name="5" totalsRowFunction="count" dataDxfId="600" totalsRowDxfId="599"/>
    <tableColumn id="7" xr3:uid="{D7992C25-6255-D54A-8B77-C3032B2914E8}" name="6" totalsRowFunction="count" dataDxfId="598" totalsRowDxfId="597"/>
    <tableColumn id="8" xr3:uid="{161AB8A2-4451-FA40-9408-833AFFC6D7CD}" name="7" totalsRowFunction="count" dataDxfId="596" totalsRowDxfId="595"/>
    <tableColumn id="9" xr3:uid="{82432B13-145C-AC4E-A84F-0C211DED3AEE}" name="8" totalsRowFunction="count" dataDxfId="594" totalsRowDxfId="593"/>
    <tableColumn id="10" xr3:uid="{994E3A00-A93E-8A4C-A93F-5DF73DB59AA5}" name="9" totalsRowFunction="count" dataDxfId="592" totalsRowDxfId="591"/>
    <tableColumn id="11" xr3:uid="{ADA642AC-6B5D-4749-B631-64A63466A02A}" name="10" totalsRowFunction="count" dataDxfId="590" totalsRowDxfId="589"/>
    <tableColumn id="12" xr3:uid="{E1D9D052-9150-4B4A-873C-04B0C9F0EAA0}" name="11" totalsRowFunction="count" dataDxfId="588" totalsRowDxfId="587"/>
    <tableColumn id="13" xr3:uid="{7804DD46-EEB3-7047-A68F-A81094B2F0E0}" name="12" totalsRowFunction="count" dataDxfId="586" totalsRowDxfId="585"/>
    <tableColumn id="14" xr3:uid="{39F98B96-5BF4-7747-A3D2-F58049C2C331}" name="13" totalsRowFunction="count" dataDxfId="584" totalsRowDxfId="583"/>
    <tableColumn id="15" xr3:uid="{8908FF7E-1791-CA41-8CF3-4A9F971974C3}" name="14" totalsRowFunction="count" dataDxfId="582" totalsRowDxfId="581"/>
    <tableColumn id="16" xr3:uid="{773FDBBE-AB42-A546-8329-8BDAEF4D06C4}" name="15" totalsRowFunction="count" dataDxfId="580" totalsRowDxfId="579"/>
    <tableColumn id="17" xr3:uid="{01EE92EC-B490-AF40-BDB2-290F1B1C3C58}" name="16" totalsRowFunction="count" dataDxfId="578" totalsRowDxfId="577"/>
    <tableColumn id="18" xr3:uid="{DF22A54C-2BE2-1340-BC66-FDDF323ABBE0}" name="17" totalsRowFunction="count" dataDxfId="576" totalsRowDxfId="575"/>
    <tableColumn id="19" xr3:uid="{BB1CDCA3-E15B-8D4E-ABE5-0D5BE02A950E}" name="18" totalsRowFunction="count" dataDxfId="574" totalsRowDxfId="573"/>
    <tableColumn id="20" xr3:uid="{4D5E657B-D9D2-8C4A-A4EB-E29B4B8BCF70}" name="19" totalsRowFunction="count" dataDxfId="572" totalsRowDxfId="571"/>
    <tableColumn id="21" xr3:uid="{B5D1019E-86BD-A146-A976-653D87FAC02B}" name="20" totalsRowFunction="count" dataDxfId="570" totalsRowDxfId="569"/>
    <tableColumn id="22" xr3:uid="{D1F7F5A1-B363-AC44-9332-4BA33D6CCEA8}" name="21" totalsRowFunction="count" dataDxfId="568" totalsRowDxfId="567"/>
    <tableColumn id="23" xr3:uid="{0EEDA366-AE45-0947-A354-D1B1BEB67F28}" name="22" totalsRowFunction="count" dataDxfId="566" totalsRowDxfId="565"/>
    <tableColumn id="24" xr3:uid="{8DB56569-FE6B-4249-B364-D76AC1D9BE79}" name="23" totalsRowFunction="count" dataDxfId="564" totalsRowDxfId="563"/>
    <tableColumn id="25" xr3:uid="{5BECBC0C-925A-8245-AD6D-847781A68957}" name="24" totalsRowFunction="count" dataDxfId="562" totalsRowDxfId="561"/>
    <tableColumn id="26" xr3:uid="{7D745BDB-6C53-8B4B-BA72-5FBDCB5D9CCC}" name="25" totalsRowFunction="count" dataDxfId="560" totalsRowDxfId="559"/>
    <tableColumn id="27" xr3:uid="{FA6FFB4C-5E6D-DA4E-8F87-EEC900B26695}" name="26" totalsRowFunction="count" dataDxfId="558" totalsRowDxfId="557"/>
    <tableColumn id="28" xr3:uid="{A50BDA94-D72B-C043-A8B2-E1E178EA827F}" name="27" totalsRowFunction="count" dataDxfId="556" totalsRowDxfId="555"/>
    <tableColumn id="29" xr3:uid="{D68B12D0-F485-FF42-B2E6-30EC0E2C418D}" name="28" totalsRowFunction="count" dataDxfId="554" totalsRowDxfId="553"/>
    <tableColumn id="30" xr3:uid="{695C2584-A6A5-D742-A768-02D19E90DEBC}" name="29" totalsRowFunction="count" dataDxfId="552" totalsRowDxfId="551"/>
    <tableColumn id="31" xr3:uid="{0B002160-8CE9-4B4E-A7A4-CFE8C54F8781}" name="30" totalsRowFunction="sum" dataDxfId="550" totalsRowDxfId="549"/>
    <tableColumn id="32" xr3:uid="{9A241B27-F77F-9E49-9678-7978D0423F17}" name="31" totalsRowFunction="sum" dataDxfId="548" totalsRowDxfId="547" dataCellStyle="Total"/>
    <tableColumn id="33" xr3:uid="{C85EB010-29D3-FD4A-9882-B705BDC3D2EF}" name="Total days" totalsRowFunction="sum" dataDxfId="546" totalsRowDxfId="545" dataCellStyle="Total">
      <calculatedColumnFormula>COUNTA(March58[[#This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June" displayName="June" ref="B8:AH14" totalsRowCount="1" headerRowDxfId="544" dataDxfId="543" totalsRowDxfId="542">
  <tableColumns count="33">
    <tableColumn id="1" xr3:uid="{00000000-0010-0000-0500-000001000000}" name="Employee name" totalsRowFunction="custom" dataDxfId="541" totalsRowDxfId="540" dataCellStyle="Employee">
      <totalsRowFormula>MonthName&amp;" Total"</totalsRowFormula>
    </tableColumn>
    <tableColumn id="2" xr3:uid="{00000000-0010-0000-0500-000002000000}" name="1" totalsRowFunction="count" dataDxfId="539" totalsRowDxfId="538"/>
    <tableColumn id="3" xr3:uid="{00000000-0010-0000-0500-000003000000}" name="2" totalsRowFunction="count" dataDxfId="537" totalsRowDxfId="536"/>
    <tableColumn id="4" xr3:uid="{00000000-0010-0000-0500-000004000000}" name="3" totalsRowFunction="count" dataDxfId="535" totalsRowDxfId="534"/>
    <tableColumn id="5" xr3:uid="{00000000-0010-0000-0500-000005000000}" name="4" totalsRowFunction="count" dataDxfId="533" totalsRowDxfId="532"/>
    <tableColumn id="6" xr3:uid="{00000000-0010-0000-0500-000006000000}" name="5" totalsRowFunction="count" dataDxfId="531" totalsRowDxfId="530"/>
    <tableColumn id="7" xr3:uid="{00000000-0010-0000-0500-000007000000}" name="6" totalsRowFunction="count" dataDxfId="529" totalsRowDxfId="528"/>
    <tableColumn id="8" xr3:uid="{00000000-0010-0000-0500-000008000000}" name="7" totalsRowFunction="count" dataDxfId="527" totalsRowDxfId="526"/>
    <tableColumn id="9" xr3:uid="{00000000-0010-0000-0500-000009000000}" name="8" totalsRowFunction="count" dataDxfId="525" totalsRowDxfId="524"/>
    <tableColumn id="10" xr3:uid="{00000000-0010-0000-0500-00000A000000}" name="9" totalsRowFunction="count" dataDxfId="523" totalsRowDxfId="522"/>
    <tableColumn id="11" xr3:uid="{00000000-0010-0000-0500-00000B000000}" name="10" totalsRowFunction="count" dataDxfId="521" totalsRowDxfId="520"/>
    <tableColumn id="12" xr3:uid="{00000000-0010-0000-0500-00000C000000}" name="11" totalsRowFunction="count" dataDxfId="519" totalsRowDxfId="518"/>
    <tableColumn id="13" xr3:uid="{00000000-0010-0000-0500-00000D000000}" name="12" totalsRowFunction="count" dataDxfId="517" totalsRowDxfId="516"/>
    <tableColumn id="14" xr3:uid="{00000000-0010-0000-0500-00000E000000}" name="13" totalsRowFunction="count" dataDxfId="515" totalsRowDxfId="514"/>
    <tableColumn id="15" xr3:uid="{00000000-0010-0000-0500-00000F000000}" name="14" totalsRowFunction="count" dataDxfId="513" totalsRowDxfId="512"/>
    <tableColumn id="16" xr3:uid="{00000000-0010-0000-0500-000010000000}" name="15" totalsRowFunction="count" dataDxfId="511" totalsRowDxfId="510"/>
    <tableColumn id="17" xr3:uid="{00000000-0010-0000-0500-000011000000}" name="16" totalsRowFunction="count" dataDxfId="509" totalsRowDxfId="508"/>
    <tableColumn id="18" xr3:uid="{00000000-0010-0000-0500-000012000000}" name="17" totalsRowFunction="count" dataDxfId="507" totalsRowDxfId="506"/>
    <tableColumn id="19" xr3:uid="{00000000-0010-0000-0500-000013000000}" name="18" totalsRowFunction="count" dataDxfId="505" totalsRowDxfId="504"/>
    <tableColumn id="20" xr3:uid="{00000000-0010-0000-0500-000014000000}" name="19" totalsRowFunction="count" dataDxfId="503" totalsRowDxfId="502"/>
    <tableColumn id="21" xr3:uid="{00000000-0010-0000-0500-000015000000}" name="20" totalsRowFunction="count" dataDxfId="501" totalsRowDxfId="500"/>
    <tableColumn id="22" xr3:uid="{00000000-0010-0000-0500-000016000000}" name="21" totalsRowFunction="count" dataDxfId="499" totalsRowDxfId="498"/>
    <tableColumn id="23" xr3:uid="{00000000-0010-0000-0500-000017000000}" name="22" totalsRowFunction="count" dataDxfId="497" totalsRowDxfId="496"/>
    <tableColumn id="24" xr3:uid="{00000000-0010-0000-0500-000018000000}" name="23" totalsRowFunction="count" dataDxfId="495" totalsRowDxfId="494"/>
    <tableColumn id="25" xr3:uid="{00000000-0010-0000-0500-000019000000}" name="24" totalsRowFunction="count" dataDxfId="493" totalsRowDxfId="492"/>
    <tableColumn id="26" xr3:uid="{00000000-0010-0000-0500-00001A000000}" name="25" totalsRowFunction="count" dataDxfId="491" totalsRowDxfId="490"/>
    <tableColumn id="27" xr3:uid="{00000000-0010-0000-0500-00001B000000}" name="26" totalsRowFunction="count" dataDxfId="489" totalsRowDxfId="488"/>
    <tableColumn id="28" xr3:uid="{00000000-0010-0000-0500-00001C000000}" name="27" totalsRowFunction="count" dataDxfId="487" totalsRowDxfId="486"/>
    <tableColumn id="29" xr3:uid="{00000000-0010-0000-0500-00001D000000}" name="28" totalsRowFunction="count" dataDxfId="485" totalsRowDxfId="484"/>
    <tableColumn id="30" xr3:uid="{00000000-0010-0000-0500-00001E000000}" name="29" totalsRowFunction="count" dataDxfId="483" totalsRowDxfId="482"/>
    <tableColumn id="31" xr3:uid="{00000000-0010-0000-0500-00001F000000}" name="30" totalsRowFunction="sum" dataDxfId="481" totalsRowDxfId="480"/>
    <tableColumn id="32" xr3:uid="{00000000-0010-0000-0500-000020000000}" name=" " totalsRowFunction="sum" dataDxfId="479" totalsRowDxfId="478" dataCellStyle="Total"/>
    <tableColumn id="33" xr3:uid="{00000000-0010-0000-0500-000021000000}" name="Total days" totalsRowFunction="sum" dataDxfId="477" totalsRowDxfId="476" dataCellStyle="Total">
      <calculatedColumnFormula>COUNTA(June[[#This Row],[1]:[ ]])</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6000000}" name="July" displayName="July" ref="B8:AH14" totalsRowCount="1" headerRowDxfId="475" dataDxfId="474" totalsRowDxfId="473">
  <tableColumns count="33">
    <tableColumn id="1" xr3:uid="{00000000-0010-0000-0600-000001000000}" name="Employee name" totalsRowFunction="custom" dataDxfId="472" totalsRowDxfId="471" dataCellStyle="Employee">
      <totalsRowFormula>MonthName&amp;" Total"</totalsRowFormula>
    </tableColumn>
    <tableColumn id="2" xr3:uid="{00000000-0010-0000-0600-000002000000}" name="1" totalsRowFunction="count" dataDxfId="470" totalsRowDxfId="469"/>
    <tableColumn id="3" xr3:uid="{00000000-0010-0000-0600-000003000000}" name="2" totalsRowFunction="count" dataDxfId="468" totalsRowDxfId="467"/>
    <tableColumn id="4" xr3:uid="{00000000-0010-0000-0600-000004000000}" name="3" totalsRowFunction="count" dataDxfId="466" totalsRowDxfId="465"/>
    <tableColumn id="5" xr3:uid="{00000000-0010-0000-0600-000005000000}" name="4" totalsRowFunction="count" dataDxfId="464" totalsRowDxfId="463"/>
    <tableColumn id="6" xr3:uid="{00000000-0010-0000-0600-000006000000}" name="5" totalsRowFunction="count" dataDxfId="462" totalsRowDxfId="461"/>
    <tableColumn id="7" xr3:uid="{00000000-0010-0000-0600-000007000000}" name="6" totalsRowFunction="count" dataDxfId="460" totalsRowDxfId="459"/>
    <tableColumn id="8" xr3:uid="{00000000-0010-0000-0600-000008000000}" name="7" totalsRowFunction="count" dataDxfId="458" totalsRowDxfId="457"/>
    <tableColumn id="9" xr3:uid="{00000000-0010-0000-0600-000009000000}" name="8" totalsRowFunction="count" dataDxfId="456" totalsRowDxfId="455"/>
    <tableColumn id="10" xr3:uid="{00000000-0010-0000-0600-00000A000000}" name="9" totalsRowFunction="count" dataDxfId="454" totalsRowDxfId="453"/>
    <tableColumn id="11" xr3:uid="{00000000-0010-0000-0600-00000B000000}" name="10" totalsRowFunction="count" dataDxfId="452" totalsRowDxfId="451"/>
    <tableColumn id="12" xr3:uid="{00000000-0010-0000-0600-00000C000000}" name="11" totalsRowFunction="count" dataDxfId="450" totalsRowDxfId="449"/>
    <tableColumn id="13" xr3:uid="{00000000-0010-0000-0600-00000D000000}" name="12" totalsRowFunction="count" dataDxfId="448" totalsRowDxfId="447"/>
    <tableColumn id="14" xr3:uid="{00000000-0010-0000-0600-00000E000000}" name="13" totalsRowFunction="count" dataDxfId="446" totalsRowDxfId="445"/>
    <tableColumn id="15" xr3:uid="{00000000-0010-0000-0600-00000F000000}" name="14" totalsRowFunction="count" dataDxfId="444" totalsRowDxfId="443"/>
    <tableColumn id="16" xr3:uid="{00000000-0010-0000-0600-000010000000}" name="15" totalsRowFunction="count" dataDxfId="442" totalsRowDxfId="441"/>
    <tableColumn id="17" xr3:uid="{00000000-0010-0000-0600-000011000000}" name="16" totalsRowFunction="count" dataDxfId="440" totalsRowDxfId="439"/>
    <tableColumn id="18" xr3:uid="{00000000-0010-0000-0600-000012000000}" name="17" totalsRowFunction="count" dataDxfId="438" totalsRowDxfId="437"/>
    <tableColumn id="19" xr3:uid="{00000000-0010-0000-0600-000013000000}" name="18" totalsRowFunction="count" dataDxfId="436" totalsRowDxfId="435"/>
    <tableColumn id="20" xr3:uid="{00000000-0010-0000-0600-000014000000}" name="19" totalsRowFunction="count" dataDxfId="434" totalsRowDxfId="433"/>
    <tableColumn id="21" xr3:uid="{00000000-0010-0000-0600-000015000000}" name="20" totalsRowFunction="count" dataDxfId="432" totalsRowDxfId="431"/>
    <tableColumn id="22" xr3:uid="{00000000-0010-0000-0600-000016000000}" name="21" totalsRowFunction="count" dataDxfId="430" totalsRowDxfId="429"/>
    <tableColumn id="23" xr3:uid="{00000000-0010-0000-0600-000017000000}" name="22" totalsRowFunction="count" dataDxfId="428" totalsRowDxfId="427"/>
    <tableColumn id="24" xr3:uid="{00000000-0010-0000-0600-000018000000}" name="23" totalsRowFunction="count" dataDxfId="426" totalsRowDxfId="425"/>
    <tableColumn id="25" xr3:uid="{00000000-0010-0000-0600-000019000000}" name="24" totalsRowFunction="count" dataDxfId="424" totalsRowDxfId="423"/>
    <tableColumn id="26" xr3:uid="{00000000-0010-0000-0600-00001A000000}" name="25" totalsRowFunction="count" dataDxfId="422" totalsRowDxfId="421"/>
    <tableColumn id="27" xr3:uid="{00000000-0010-0000-0600-00001B000000}" name="26" totalsRowFunction="count" dataDxfId="420" totalsRowDxfId="419"/>
    <tableColumn id="28" xr3:uid="{00000000-0010-0000-0600-00001C000000}" name="27" totalsRowFunction="count" dataDxfId="418" totalsRowDxfId="417"/>
    <tableColumn id="29" xr3:uid="{00000000-0010-0000-0600-00001D000000}" name="28" totalsRowFunction="count" dataDxfId="416" totalsRowDxfId="415"/>
    <tableColumn id="30" xr3:uid="{00000000-0010-0000-0600-00001E000000}" name="29" totalsRowFunction="count" dataDxfId="414" totalsRowDxfId="413"/>
    <tableColumn id="31" xr3:uid="{00000000-0010-0000-0600-00001F000000}" name="30" totalsRowFunction="sum" dataDxfId="412" totalsRowDxfId="411"/>
    <tableColumn id="32" xr3:uid="{00000000-0010-0000-0600-000020000000}" name="31" totalsRowFunction="sum" dataDxfId="410" totalsRowDxfId="409" dataCellStyle="Total"/>
    <tableColumn id="33" xr3:uid="{00000000-0010-0000-0600-000021000000}" name="Total days" totalsRowFunction="sum" dataDxfId="408" totalsRowDxfId="407" dataCellStyle="Total">
      <calculatedColumnFormula>COUNTA(July[[#This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7000000}" name="August" displayName="August" ref="B8:AH14" totalsRowCount="1" headerRowDxfId="406" dataDxfId="405" totalsRowDxfId="404">
  <tableColumns count="33">
    <tableColumn id="1" xr3:uid="{00000000-0010-0000-0700-000001000000}" name="Employee name" totalsRowFunction="custom" dataDxfId="403" totalsRowDxfId="402" dataCellStyle="Employee">
      <totalsRowFormula>MonthName&amp;" Total"</totalsRowFormula>
    </tableColumn>
    <tableColumn id="2" xr3:uid="{00000000-0010-0000-0700-000002000000}" name="1" totalsRowFunction="count" dataDxfId="401" totalsRowDxfId="400"/>
    <tableColumn id="3" xr3:uid="{00000000-0010-0000-0700-000003000000}" name="2" totalsRowFunction="count" dataDxfId="399" totalsRowDxfId="398"/>
    <tableColumn id="4" xr3:uid="{00000000-0010-0000-0700-000004000000}" name="3" totalsRowFunction="count" dataDxfId="397" totalsRowDxfId="396"/>
    <tableColumn id="5" xr3:uid="{00000000-0010-0000-0700-000005000000}" name="4" totalsRowFunction="count" dataDxfId="395" totalsRowDxfId="394"/>
    <tableColumn id="6" xr3:uid="{00000000-0010-0000-0700-000006000000}" name="5" totalsRowFunction="count" dataDxfId="393" totalsRowDxfId="392"/>
    <tableColumn id="7" xr3:uid="{00000000-0010-0000-0700-000007000000}" name="6" totalsRowFunction="count" dataDxfId="391" totalsRowDxfId="390"/>
    <tableColumn id="8" xr3:uid="{00000000-0010-0000-0700-000008000000}" name="7" totalsRowFunction="count" dataDxfId="389" totalsRowDxfId="388"/>
    <tableColumn id="9" xr3:uid="{00000000-0010-0000-0700-000009000000}" name="8" totalsRowFunction="count" dataDxfId="387" totalsRowDxfId="386"/>
    <tableColumn id="10" xr3:uid="{00000000-0010-0000-0700-00000A000000}" name="9" totalsRowFunction="count" dataDxfId="385" totalsRowDxfId="384"/>
    <tableColumn id="11" xr3:uid="{00000000-0010-0000-0700-00000B000000}" name="10" totalsRowFunction="count" dataDxfId="383" totalsRowDxfId="382"/>
    <tableColumn id="12" xr3:uid="{00000000-0010-0000-0700-00000C000000}" name="11" totalsRowFunction="count" dataDxfId="381" totalsRowDxfId="380"/>
    <tableColumn id="13" xr3:uid="{00000000-0010-0000-0700-00000D000000}" name="12" totalsRowFunction="count" dataDxfId="379" totalsRowDxfId="378"/>
    <tableColumn id="14" xr3:uid="{00000000-0010-0000-0700-00000E000000}" name="13" totalsRowFunction="count" dataDxfId="377" totalsRowDxfId="376"/>
    <tableColumn id="15" xr3:uid="{00000000-0010-0000-0700-00000F000000}" name="14" totalsRowFunction="count" dataDxfId="375" totalsRowDxfId="374"/>
    <tableColumn id="16" xr3:uid="{00000000-0010-0000-0700-000010000000}" name="15" totalsRowFunction="count" dataDxfId="373" totalsRowDxfId="372"/>
    <tableColumn id="17" xr3:uid="{00000000-0010-0000-0700-000011000000}" name="16" totalsRowFunction="count" dataDxfId="371" totalsRowDxfId="370"/>
    <tableColumn id="18" xr3:uid="{00000000-0010-0000-0700-000012000000}" name="17" totalsRowFunction="count" dataDxfId="369" totalsRowDxfId="368"/>
    <tableColumn id="19" xr3:uid="{00000000-0010-0000-0700-000013000000}" name="18" totalsRowFunction="count" dataDxfId="367" totalsRowDxfId="366"/>
    <tableColumn id="20" xr3:uid="{00000000-0010-0000-0700-000014000000}" name="19" totalsRowFunction="count" dataDxfId="365" totalsRowDxfId="364"/>
    <tableColumn id="21" xr3:uid="{00000000-0010-0000-0700-000015000000}" name="20" totalsRowFunction="count" dataDxfId="363" totalsRowDxfId="362"/>
    <tableColumn id="22" xr3:uid="{00000000-0010-0000-0700-000016000000}" name="21" totalsRowFunction="count" dataDxfId="361" totalsRowDxfId="360"/>
    <tableColumn id="23" xr3:uid="{00000000-0010-0000-0700-000017000000}" name="22" totalsRowFunction="count" dataDxfId="359" totalsRowDxfId="358"/>
    <tableColumn id="24" xr3:uid="{00000000-0010-0000-0700-000018000000}" name="23" totalsRowFunction="count" dataDxfId="357" totalsRowDxfId="356"/>
    <tableColumn id="25" xr3:uid="{00000000-0010-0000-0700-000019000000}" name="24" totalsRowFunction="count" dataDxfId="355" totalsRowDxfId="354"/>
    <tableColumn id="26" xr3:uid="{00000000-0010-0000-0700-00001A000000}" name="25" totalsRowFunction="count" dataDxfId="353" totalsRowDxfId="352"/>
    <tableColumn id="27" xr3:uid="{00000000-0010-0000-0700-00001B000000}" name="26" totalsRowFunction="count" dataDxfId="351" totalsRowDxfId="350"/>
    <tableColumn id="28" xr3:uid="{00000000-0010-0000-0700-00001C000000}" name="27" totalsRowFunction="count" dataDxfId="349" totalsRowDxfId="348"/>
    <tableColumn id="29" xr3:uid="{00000000-0010-0000-0700-00001D000000}" name="28" totalsRowFunction="count" dataDxfId="347" totalsRowDxfId="346"/>
    <tableColumn id="30" xr3:uid="{00000000-0010-0000-0700-00001E000000}" name="29" totalsRowFunction="count" dataDxfId="345" totalsRowDxfId="344"/>
    <tableColumn id="31" xr3:uid="{00000000-0010-0000-0700-00001F000000}" name="30" totalsRowFunction="sum" dataDxfId="343" totalsRowDxfId="342"/>
    <tableColumn id="32" xr3:uid="{00000000-0010-0000-0700-000020000000}" name="31" totalsRowFunction="sum" dataDxfId="341" totalsRowDxfId="340" dataCellStyle="Total"/>
    <tableColumn id="33" xr3:uid="{00000000-0010-0000-0700-000021000000}" name="Total days" totalsRowFunction="sum" dataDxfId="339" totalsRowDxfId="338" dataCellStyle="Total">
      <calculatedColumnFormula>COUNTA(August[[#This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9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8000000}" name="September" displayName="September" ref="B8:AH14" totalsRowCount="1" headerRowDxfId="337" dataDxfId="336" totalsRowDxfId="335">
  <tableColumns count="33">
    <tableColumn id="1" xr3:uid="{00000000-0010-0000-0800-000001000000}" name="Employee name" totalsRowFunction="custom" dataDxfId="334" totalsRowDxfId="333" dataCellStyle="Employee">
      <totalsRowFormula>MonthName&amp;" Total"</totalsRowFormula>
    </tableColumn>
    <tableColumn id="2" xr3:uid="{00000000-0010-0000-0800-000002000000}" name="1" totalsRowFunction="count" dataDxfId="332" totalsRowDxfId="331"/>
    <tableColumn id="3" xr3:uid="{00000000-0010-0000-0800-000003000000}" name="2" totalsRowFunction="count" dataDxfId="330" totalsRowDxfId="329"/>
    <tableColumn id="4" xr3:uid="{00000000-0010-0000-0800-000004000000}" name="3" totalsRowFunction="count" dataDxfId="328" totalsRowDxfId="327"/>
    <tableColumn id="5" xr3:uid="{00000000-0010-0000-0800-000005000000}" name="4" totalsRowFunction="count" dataDxfId="326" totalsRowDxfId="325"/>
    <tableColumn id="6" xr3:uid="{00000000-0010-0000-0800-000006000000}" name="5" totalsRowFunction="count" dataDxfId="324" totalsRowDxfId="323"/>
    <tableColumn id="7" xr3:uid="{00000000-0010-0000-0800-000007000000}" name="6" totalsRowFunction="count" dataDxfId="322" totalsRowDxfId="321"/>
    <tableColumn id="8" xr3:uid="{00000000-0010-0000-0800-000008000000}" name="7" totalsRowFunction="count" dataDxfId="320" totalsRowDxfId="319"/>
    <tableColumn id="9" xr3:uid="{00000000-0010-0000-0800-000009000000}" name="8" totalsRowFunction="count" dataDxfId="318" totalsRowDxfId="317"/>
    <tableColumn id="10" xr3:uid="{00000000-0010-0000-0800-00000A000000}" name="9" totalsRowFunction="count" dataDxfId="316" totalsRowDxfId="315"/>
    <tableColumn id="11" xr3:uid="{00000000-0010-0000-0800-00000B000000}" name="10" totalsRowFunction="count" dataDxfId="314" totalsRowDxfId="313"/>
    <tableColumn id="12" xr3:uid="{00000000-0010-0000-0800-00000C000000}" name="11" totalsRowFunction="count" dataDxfId="312" totalsRowDxfId="311"/>
    <tableColumn id="13" xr3:uid="{00000000-0010-0000-0800-00000D000000}" name="12" totalsRowFunction="count" dataDxfId="310" totalsRowDxfId="309"/>
    <tableColumn id="14" xr3:uid="{00000000-0010-0000-0800-00000E000000}" name="13" totalsRowFunction="count" dataDxfId="308" totalsRowDxfId="307"/>
    <tableColumn id="15" xr3:uid="{00000000-0010-0000-0800-00000F000000}" name="14" totalsRowFunction="count" dataDxfId="306" totalsRowDxfId="305"/>
    <tableColumn id="16" xr3:uid="{00000000-0010-0000-0800-000010000000}" name="15" totalsRowFunction="count" dataDxfId="304" totalsRowDxfId="303"/>
    <tableColumn id="17" xr3:uid="{00000000-0010-0000-0800-000011000000}" name="16" totalsRowFunction="count" dataDxfId="302" totalsRowDxfId="301"/>
    <tableColumn id="18" xr3:uid="{00000000-0010-0000-0800-000012000000}" name="17" totalsRowFunction="count" dataDxfId="300" totalsRowDxfId="299"/>
    <tableColumn id="19" xr3:uid="{00000000-0010-0000-0800-000013000000}" name="18" totalsRowFunction="count" dataDxfId="298" totalsRowDxfId="297"/>
    <tableColumn id="20" xr3:uid="{00000000-0010-0000-0800-000014000000}" name="19" totalsRowFunction="count" dataDxfId="296" totalsRowDxfId="295"/>
    <tableColumn id="21" xr3:uid="{00000000-0010-0000-0800-000015000000}" name="20" totalsRowFunction="count" dataDxfId="294" totalsRowDxfId="293"/>
    <tableColumn id="22" xr3:uid="{00000000-0010-0000-0800-000016000000}" name="21" totalsRowFunction="count" dataDxfId="292" totalsRowDxfId="291"/>
    <tableColumn id="23" xr3:uid="{00000000-0010-0000-0800-000017000000}" name="22" totalsRowFunction="count" dataDxfId="290" totalsRowDxfId="289"/>
    <tableColumn id="24" xr3:uid="{00000000-0010-0000-0800-000018000000}" name="23" totalsRowFunction="count" dataDxfId="288" totalsRowDxfId="287"/>
    <tableColumn id="25" xr3:uid="{00000000-0010-0000-0800-000019000000}" name="24" totalsRowFunction="count" dataDxfId="286" totalsRowDxfId="285"/>
    <tableColumn id="26" xr3:uid="{00000000-0010-0000-0800-00001A000000}" name="25" totalsRowFunction="count" dataDxfId="284" totalsRowDxfId="283"/>
    <tableColumn id="27" xr3:uid="{00000000-0010-0000-0800-00001B000000}" name="26" totalsRowFunction="count" dataDxfId="282" totalsRowDxfId="281"/>
    <tableColumn id="28" xr3:uid="{00000000-0010-0000-0800-00001C000000}" name="27" totalsRowFunction="count" dataDxfId="280" totalsRowDxfId="279"/>
    <tableColumn id="29" xr3:uid="{00000000-0010-0000-0800-00001D000000}" name="28" totalsRowFunction="count" dataDxfId="278" totalsRowDxfId="277"/>
    <tableColumn id="30" xr3:uid="{00000000-0010-0000-0800-00001E000000}" name="29" totalsRowFunction="count" dataDxfId="276" totalsRowDxfId="275"/>
    <tableColumn id="31" xr3:uid="{00000000-0010-0000-0800-00001F000000}" name="30" totalsRowFunction="sum" dataDxfId="274" totalsRowDxfId="273"/>
    <tableColumn id="32" xr3:uid="{00000000-0010-0000-0800-000020000000}" name=" " totalsRowFunction="sum" dataDxfId="272" totalsRowDxfId="271" dataCellStyle="Total"/>
    <tableColumn id="33" xr3:uid="{00000000-0010-0000-0800-000021000000}" name="Total days" totalsRowFunction="sum" dataDxfId="270" totalsRowDxfId="269" dataCellStyle="Total">
      <calculatedColumnFormula>COUNTA(September[[#This Row],[1]:[ ]])</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heme/theme11.xml><?xml version="1.0" encoding="utf-8"?>
<a:theme xmlns:a="http://schemas.openxmlformats.org/drawingml/2006/main" name="Office Theme">
  <a:themeElements>
    <a:clrScheme name="TM03987167">
      <a:dk1>
        <a:srgbClr val="000000"/>
      </a:dk1>
      <a:lt1>
        <a:srgbClr val="FFFFFF"/>
      </a:lt1>
      <a:dk2>
        <a:srgbClr val="44546A"/>
      </a:dk2>
      <a:lt2>
        <a:srgbClr val="E7E6E6"/>
      </a:lt2>
      <a:accent1>
        <a:srgbClr val="1F452F"/>
      </a:accent1>
      <a:accent2>
        <a:srgbClr val="709A97"/>
      </a:accent2>
      <a:accent3>
        <a:srgbClr val="1B417C"/>
      </a:accent3>
      <a:accent4>
        <a:srgbClr val="D8A141"/>
      </a:accent4>
      <a:accent5>
        <a:srgbClr val="CAAFF3"/>
      </a:accent5>
      <a:accent6>
        <a:srgbClr val="EF5C37"/>
      </a:accent6>
      <a:hlink>
        <a:srgbClr val="0563C1"/>
      </a:hlink>
      <a:folHlink>
        <a:srgbClr val="954F72"/>
      </a:folHlink>
    </a:clrScheme>
    <a:fontScheme name="Employee Absence Schedule">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11.xml.rels>&#65279;<?xml version="1.0" encoding="utf-8"?><Relationships xmlns="http://schemas.openxmlformats.org/package/2006/relationships"><Relationship Type="http://schemas.openxmlformats.org/officeDocument/2006/relationships/table" Target="/xl/tables/table1011.xml" Id="rId2" /><Relationship Type="http://schemas.openxmlformats.org/officeDocument/2006/relationships/printerSettings" Target="/xl/printerSettings/printerSettings1011.bin" Id="rId1" /></Relationships>
</file>

<file path=xl/worksheets/_rels/sheet119.xml.rels>&#65279;<?xml version="1.0" encoding="utf-8"?><Relationships xmlns="http://schemas.openxmlformats.org/package/2006/relationships"><Relationship Type="http://schemas.openxmlformats.org/officeDocument/2006/relationships/table" Target="/xl/tables/table119.xml" Id="rId2" /><Relationship Type="http://schemas.openxmlformats.org/officeDocument/2006/relationships/printerSettings" Target="/xl/printerSettings/printerSettings119.bin" Id="rId1" /></Relationships>
</file>

<file path=xl/worksheets/_rels/sheet125.xml.rels>&#65279;<?xml version="1.0" encoding="utf-8"?><Relationships xmlns="http://schemas.openxmlformats.org/package/2006/relationships"><Relationship Type="http://schemas.openxmlformats.org/officeDocument/2006/relationships/table" Target="/xl/tables/table125.xml" Id="rId2" /><Relationship Type="http://schemas.openxmlformats.org/officeDocument/2006/relationships/printerSettings" Target="/xl/printerSettings/printerSettings125.bin" Id="rId1" /></Relationships>
</file>

<file path=xl/worksheets/_rels/sheet132.xml.rels>&#65279;<?xml version="1.0" encoding="utf-8"?><Relationships xmlns="http://schemas.openxmlformats.org/package/2006/relationships"><Relationship Type="http://schemas.openxmlformats.org/officeDocument/2006/relationships/table" Target="/xl/tables/table132.xml" Id="rId2" /><Relationship Type="http://schemas.openxmlformats.org/officeDocument/2006/relationships/printerSettings" Target="/xl/printerSettings/printerSettings132.bin" Id="rId1" /></Relationships>
</file>

<file path=xl/worksheets/_rels/sheet17.xml.rels>&#65279;<?xml version="1.0" encoding="utf-8"?><Relationships xmlns="http://schemas.openxmlformats.org/package/2006/relationships"><Relationship Type="http://schemas.openxmlformats.org/officeDocument/2006/relationships/table" Target="/xl/tables/table17.xml" Id="rId2" /><Relationship Type="http://schemas.openxmlformats.org/officeDocument/2006/relationships/printerSettings" Target="/xl/printerSettings/printerSettings17.bin" Id="rId1" /></Relationships>
</file>

<file path=xl/worksheets/_rels/sheet26.xml.rels>&#65279;<?xml version="1.0" encoding="utf-8"?><Relationships xmlns="http://schemas.openxmlformats.org/package/2006/relationships"><Relationship Type="http://schemas.openxmlformats.org/officeDocument/2006/relationships/table" Target="/xl/tables/table26.xml" Id="rId2" /><Relationship Type="http://schemas.openxmlformats.org/officeDocument/2006/relationships/printerSettings" Target="/xl/printerSettings/printerSettings26.bin" Id="rId1" /></Relationships>
</file>

<file path=xl/worksheets/_rels/sheet33.xml.rels>&#65279;<?xml version="1.0" encoding="utf-8"?><Relationships xmlns="http://schemas.openxmlformats.org/package/2006/relationships"><Relationship Type="http://schemas.openxmlformats.org/officeDocument/2006/relationships/table" Target="/xl/tables/table33.xml" Id="rId2" /><Relationship Type="http://schemas.openxmlformats.org/officeDocument/2006/relationships/printerSettings" Target="/xl/printerSettings/printerSettings33.bin" Id="rId1" /></Relationships>
</file>

<file path=xl/worksheets/_rels/sheet412.xml.rels>&#65279;<?xml version="1.0" encoding="utf-8"?><Relationships xmlns="http://schemas.openxmlformats.org/package/2006/relationships"><Relationship Type="http://schemas.openxmlformats.org/officeDocument/2006/relationships/table" Target="/xl/tables/table412.xml" Id="rId2" /><Relationship Type="http://schemas.openxmlformats.org/officeDocument/2006/relationships/printerSettings" Target="/xl/printerSettings/printerSettings412.bin" Id="rId1" /></Relationships>
</file>

<file path=xl/worksheets/_rels/sheet510.xml.rels>&#65279;<?xml version="1.0" encoding="utf-8"?><Relationships xmlns="http://schemas.openxmlformats.org/package/2006/relationships"><Relationship Type="http://schemas.openxmlformats.org/officeDocument/2006/relationships/table" Target="/xl/tables/table510.xml" Id="rId2" /><Relationship Type="http://schemas.openxmlformats.org/officeDocument/2006/relationships/printerSettings" Target="/xl/printerSettings/printerSettings510.bin" Id="rId1" /></Relationships>
</file>

<file path=xl/worksheets/_rels/sheet68.xml.rels>&#65279;<?xml version="1.0" encoding="utf-8"?><Relationships xmlns="http://schemas.openxmlformats.org/package/2006/relationships"><Relationship Type="http://schemas.openxmlformats.org/officeDocument/2006/relationships/table" Target="/xl/tables/table68.xml" Id="rId2" /><Relationship Type="http://schemas.openxmlformats.org/officeDocument/2006/relationships/printerSettings" Target="/xl/printerSettings/printerSettings68.bin" Id="rId1" /></Relationships>
</file>

<file path=xl/worksheets/_rels/sheet74.xml.rels>&#65279;<?xml version="1.0" encoding="utf-8"?><Relationships xmlns="http://schemas.openxmlformats.org/package/2006/relationships"><Relationship Type="http://schemas.openxmlformats.org/officeDocument/2006/relationships/table" Target="/xl/tables/table74.xml" Id="rId2" /><Relationship Type="http://schemas.openxmlformats.org/officeDocument/2006/relationships/printerSettings" Target="/xl/printerSettings/printerSettings74.bin" Id="rId1" /></Relationships>
</file>

<file path=xl/worksheets/_rels/sheet81.xml.rels>&#65279;<?xml version="1.0" encoding="utf-8"?><Relationships xmlns="http://schemas.openxmlformats.org/package/2006/relationships"><Relationship Type="http://schemas.openxmlformats.org/officeDocument/2006/relationships/table" Target="/xl/tables/table81.xml" Id="rId2" /><Relationship Type="http://schemas.openxmlformats.org/officeDocument/2006/relationships/printerSettings" Target="/xl/printerSettings/printerSettings81.bin" Id="rId1" /></Relationships>
</file>

<file path=xl/worksheets/_rels/sheet913.xml.rels>&#65279;<?xml version="1.0" encoding="utf-8"?><Relationships xmlns="http://schemas.openxmlformats.org/package/2006/relationships"><Relationship Type="http://schemas.openxmlformats.org/officeDocument/2006/relationships/table" Target="/xl/tables/table913.xml" Id="rId2" /><Relationship Type="http://schemas.openxmlformats.org/officeDocument/2006/relationships/printerSettings" Target="/xl/printerSettings/printerSettings913.bin" Id="rId1" /></Relationships>
</file>

<file path=xl/worksheets/sheet10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pageSetUpPr fitToPage="1"/>
  </sheetPr>
  <dimension ref="B1:AH14"/>
  <sheetViews>
    <sheetView showGridLines="0" zoomScaleNormal="100" workbookViewId="0"/>
  </sheetViews>
  <sheetFormatPr defaultColWidth="8.77734375" defaultRowHeight="30" customHeight="1" x14ac:dyDescent="0.3"/>
  <cols>
    <col min="1" max="1" width="2.6640625" customWidth="1"/>
    <col min="2" max="2" width="25.6640625" customWidth="1"/>
    <col min="3" max="33" width="4.6640625" customWidth="1"/>
    <col min="34" max="34" width="13.44140625" customWidth="1"/>
    <col min="35" max="35" width="2.6640625" customWidth="1"/>
  </cols>
  <sheetData>
    <row r="1" spans="2:34" ht="49.95" customHeight="1" x14ac:dyDescent="0.45">
      <c r="B1" s="26" t="s">
        <v>54</v>
      </c>
    </row>
    <row r="2" spans="2:34" ht="100.05" customHeight="1" x14ac:dyDescent="0.3">
      <c r="B2" s="32" t="s">
        <v>50</v>
      </c>
    </row>
    <row r="3" spans="2:34" ht="15" customHeight="1" x14ac:dyDescent="0.3">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x14ac:dyDescent="0.3">
      <c r="B4" s="8" t="s">
        <v>55</v>
      </c>
      <c r="C4" s="31" t="s">
        <v>32</v>
      </c>
      <c r="D4" s="36" t="s">
        <v>37</v>
      </c>
      <c r="E4" s="36"/>
      <c r="F4" s="36"/>
      <c r="G4" s="29" t="s">
        <v>35</v>
      </c>
      <c r="H4" s="36" t="s">
        <v>38</v>
      </c>
      <c r="I4" s="36"/>
      <c r="J4" s="36"/>
      <c r="K4" s="30" t="s">
        <v>31</v>
      </c>
      <c r="L4" s="36" t="s">
        <v>39</v>
      </c>
      <c r="M4" s="36"/>
      <c r="N4" s="19"/>
      <c r="O4" s="36" t="s">
        <v>40</v>
      </c>
      <c r="P4" s="36"/>
      <c r="Q4" s="36"/>
      <c r="R4" s="20"/>
      <c r="S4" s="36" t="s">
        <v>41</v>
      </c>
      <c r="T4" s="36"/>
      <c r="U4" s="36"/>
    </row>
    <row r="5" spans="2:34" ht="15" customHeight="1" x14ac:dyDescent="0.3">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5" customHeight="1" x14ac:dyDescent="0.3">
      <c r="B6" s="7"/>
      <c r="C6" s="35" t="s">
        <v>56</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 ca="1">CalendarYear</f>
        <v>2024</v>
      </c>
    </row>
    <row r="7" spans="2:34" ht="30" customHeight="1" x14ac:dyDescent="0.3">
      <c r="B7" s="7"/>
      <c r="C7" s="23" t="str">
        <f ca="1">TEXT(WEEKDAY(DATE(CalendarYear,10,1),1),"aaa")</f>
        <v>Tue</v>
      </c>
      <c r="D7" s="23" t="str">
        <f ca="1">TEXT(WEEKDAY(DATE(CalendarYear,10,2),1),"aaa")</f>
        <v>Wed</v>
      </c>
      <c r="E7" s="23" t="str">
        <f ca="1">TEXT(WEEKDAY(DATE(CalendarYear,10,3),1),"aaa")</f>
        <v>Thu</v>
      </c>
      <c r="F7" s="23" t="str">
        <f ca="1">TEXT(WEEKDAY(DATE(CalendarYear,10,4),1),"aaa")</f>
        <v>Fri</v>
      </c>
      <c r="G7" s="23" t="str">
        <f ca="1">TEXT(WEEKDAY(DATE(CalendarYear,10,5),1),"aaa")</f>
        <v>Sat</v>
      </c>
      <c r="H7" s="23" t="str">
        <f ca="1">TEXT(WEEKDAY(DATE(CalendarYear,10,6),1),"aaa")</f>
        <v>Sun</v>
      </c>
      <c r="I7" s="23" t="str">
        <f ca="1">TEXT(WEEKDAY(DATE(CalendarYear,10,7),1),"aaa")</f>
        <v>Mon</v>
      </c>
      <c r="J7" s="23" t="str">
        <f ca="1">TEXT(WEEKDAY(DATE(CalendarYear,10,8),1),"aaa")</f>
        <v>Tue</v>
      </c>
      <c r="K7" s="23" t="str">
        <f ca="1">TEXT(WEEKDAY(DATE(CalendarYear,10,9),1),"aaa")</f>
        <v>Wed</v>
      </c>
      <c r="L7" s="23" t="str">
        <f ca="1">TEXT(WEEKDAY(DATE(CalendarYear,10,10),1),"aaa")</f>
        <v>Thu</v>
      </c>
      <c r="M7" s="23" t="str">
        <f ca="1">TEXT(WEEKDAY(DATE(CalendarYear,10,11),1),"aaa")</f>
        <v>Fri</v>
      </c>
      <c r="N7" s="23" t="str">
        <f ca="1">TEXT(WEEKDAY(DATE(CalendarYear,10,12),1),"aaa")</f>
        <v>Sat</v>
      </c>
      <c r="O7" s="23" t="str">
        <f ca="1">TEXT(WEEKDAY(DATE(CalendarYear,10,13),1),"aaa")</f>
        <v>Sun</v>
      </c>
      <c r="P7" s="23" t="str">
        <f ca="1">TEXT(WEEKDAY(DATE(CalendarYear,10,14),1),"aaa")</f>
        <v>Mon</v>
      </c>
      <c r="Q7" s="23" t="str">
        <f ca="1">TEXT(WEEKDAY(DATE(CalendarYear,10,15),1),"aaa")</f>
        <v>Tue</v>
      </c>
      <c r="R7" s="23" t="str">
        <f ca="1">TEXT(WEEKDAY(DATE(CalendarYear,10,16),1),"aaa")</f>
        <v>Wed</v>
      </c>
      <c r="S7" s="23" t="str">
        <f ca="1">TEXT(WEEKDAY(DATE(CalendarYear,10,17),1),"aaa")</f>
        <v>Thu</v>
      </c>
      <c r="T7" s="23" t="str">
        <f ca="1">TEXT(WEEKDAY(DATE(CalendarYear,10,18),1),"aaa")</f>
        <v>Fri</v>
      </c>
      <c r="U7" s="23" t="str">
        <f ca="1">TEXT(WEEKDAY(DATE(CalendarYear,10,19),1),"aaa")</f>
        <v>Sat</v>
      </c>
      <c r="V7" s="23" t="str">
        <f ca="1">TEXT(WEEKDAY(DATE(CalendarYear,10,20),1),"aaa")</f>
        <v>Sun</v>
      </c>
      <c r="W7" s="23" t="str">
        <f ca="1">TEXT(WEEKDAY(DATE(CalendarYear,10,21),1),"aaa")</f>
        <v>Mon</v>
      </c>
      <c r="X7" s="23" t="str">
        <f ca="1">TEXT(WEEKDAY(DATE(CalendarYear,10,22),1),"aaa")</f>
        <v>Tue</v>
      </c>
      <c r="Y7" s="23" t="str">
        <f ca="1">TEXT(WEEKDAY(DATE(CalendarYear,10,23),1),"aaa")</f>
        <v>Wed</v>
      </c>
      <c r="Z7" s="23" t="str">
        <f ca="1">TEXT(WEEKDAY(DATE(CalendarYear,10,24),1),"aaa")</f>
        <v>Thu</v>
      </c>
      <c r="AA7" s="23" t="str">
        <f ca="1">TEXT(WEEKDAY(DATE(CalendarYear,10,25),1),"aaa")</f>
        <v>Fri</v>
      </c>
      <c r="AB7" s="23" t="str">
        <f ca="1">TEXT(WEEKDAY(DATE(CalendarYear,10,26),1),"aaa")</f>
        <v>Sat</v>
      </c>
      <c r="AC7" s="23" t="str">
        <f ca="1">TEXT(WEEKDAY(DATE(CalendarYear,10,27),1),"aaa")</f>
        <v>Sun</v>
      </c>
      <c r="AD7" s="23" t="str">
        <f ca="1">TEXT(WEEKDAY(DATE(CalendarYear,10,28),1),"aaa")</f>
        <v>Mon</v>
      </c>
      <c r="AE7" s="23" t="str">
        <f ca="1">TEXT(WEEKDAY(DATE(CalendarYear,10,29),1),"aaa")</f>
        <v>Tue</v>
      </c>
      <c r="AF7" s="23" t="str">
        <f ca="1">TEXT(WEEKDAY(DATE(CalendarYear,10,30),1),"aaa")</f>
        <v>Wed</v>
      </c>
      <c r="AG7" s="23" t="str">
        <f ca="1">TEXT(WEEKDAY(DATE(CalendarYear,10,31),1),"aaa")</f>
        <v>Thu</v>
      </c>
      <c r="AH7" s="7"/>
    </row>
    <row r="8" spans="2:34" ht="30" customHeight="1" x14ac:dyDescent="0.3">
      <c r="B8" s="22" t="s">
        <v>62</v>
      </c>
      <c r="C8" s="1" t="s">
        <v>0</v>
      </c>
      <c r="D8" s="1" t="s">
        <v>1</v>
      </c>
      <c r="E8" s="1" t="s">
        <v>2</v>
      </c>
      <c r="F8" s="1" t="s">
        <v>3</v>
      </c>
      <c r="G8" s="1" t="s">
        <v>4</v>
      </c>
      <c r="H8" s="1" t="s">
        <v>5</v>
      </c>
      <c r="I8" s="1" t="s">
        <v>6</v>
      </c>
      <c r="J8" s="1" t="s">
        <v>7</v>
      </c>
      <c r="K8" s="1" t="s">
        <v>8</v>
      </c>
      <c r="L8" s="1" t="s">
        <v>9</v>
      </c>
      <c r="M8" s="1" t="s">
        <v>10</v>
      </c>
      <c r="N8" s="1" t="s">
        <v>11</v>
      </c>
      <c r="O8" s="1" t="s">
        <v>12</v>
      </c>
      <c r="P8" s="1" t="s">
        <v>13</v>
      </c>
      <c r="Q8" s="1" t="s">
        <v>14</v>
      </c>
      <c r="R8" s="1" t="s">
        <v>15</v>
      </c>
      <c r="S8" s="1" t="s">
        <v>16</v>
      </c>
      <c r="T8" s="1" t="s">
        <v>17</v>
      </c>
      <c r="U8" s="1" t="s">
        <v>18</v>
      </c>
      <c r="V8" s="1" t="s">
        <v>19</v>
      </c>
      <c r="W8" s="1" t="s">
        <v>20</v>
      </c>
      <c r="X8" s="1" t="s">
        <v>21</v>
      </c>
      <c r="Y8" s="1" t="s">
        <v>22</v>
      </c>
      <c r="Z8" s="1" t="s">
        <v>23</v>
      </c>
      <c r="AA8" s="1" t="s">
        <v>24</v>
      </c>
      <c r="AB8" s="1" t="s">
        <v>25</v>
      </c>
      <c r="AC8" s="1" t="s">
        <v>26</v>
      </c>
      <c r="AD8" s="1" t="s">
        <v>27</v>
      </c>
      <c r="AE8" s="1" t="s">
        <v>28</v>
      </c>
      <c r="AF8" s="1" t="s">
        <v>29</v>
      </c>
      <c r="AG8" s="1" t="s">
        <v>30</v>
      </c>
      <c r="AH8" s="24" t="s">
        <v>63</v>
      </c>
    </row>
    <row r="9" spans="2:34" ht="30" customHeight="1" x14ac:dyDescent="0.3">
      <c r="B9" s="2" t="s">
        <v>57</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COUNTA(October[[#This Row],[1]:[31]])</f>
        <v>0</v>
      </c>
    </row>
    <row r="10" spans="2:34" ht="30" customHeight="1" x14ac:dyDescent="0.3">
      <c r="B10" s="2" t="s">
        <v>58</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COUNTA(October[[#This Row],[1]:[31]])</f>
        <v>0</v>
      </c>
    </row>
    <row r="11" spans="2:34" ht="30" customHeight="1" x14ac:dyDescent="0.3">
      <c r="B11" s="2" t="s">
        <v>59</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COUNTA(October[[#This Row],[1]:[31]])</f>
        <v>0</v>
      </c>
    </row>
    <row r="12" spans="2:34" ht="30" customHeight="1" x14ac:dyDescent="0.3">
      <c r="B12" s="2" t="s">
        <v>60</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COUNTA(October[[#This Row],[1]:[31]])</f>
        <v>0</v>
      </c>
    </row>
    <row r="13" spans="2:34" ht="30" customHeight="1" x14ac:dyDescent="0.3">
      <c r="B13" s="2" t="s">
        <v>61</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COUNTA(October[[#This Row],[1]:[31]])</f>
        <v>0</v>
      </c>
    </row>
    <row r="14" spans="2:34" ht="30" customHeight="1" x14ac:dyDescent="0.3">
      <c r="B14" s="5" t="str">
        <f>MonthName&amp;" Total"</f>
        <v>October Total</v>
      </c>
      <c r="C14" s="4">
        <f>SUBTOTAL(103,October[1])</f>
        <v>0</v>
      </c>
      <c r="D14" s="4">
        <f>SUBTOTAL(103,October[2])</f>
        <v>0</v>
      </c>
      <c r="E14" s="4">
        <f>SUBTOTAL(103,October[3])</f>
        <v>0</v>
      </c>
      <c r="F14" s="4">
        <f>SUBTOTAL(103,October[4])</f>
        <v>0</v>
      </c>
      <c r="G14" s="4">
        <f>SUBTOTAL(103,October[5])</f>
        <v>0</v>
      </c>
      <c r="H14" s="4">
        <f>SUBTOTAL(103,October[6])</f>
        <v>0</v>
      </c>
      <c r="I14" s="4">
        <f>SUBTOTAL(103,October[7])</f>
        <v>0</v>
      </c>
      <c r="J14" s="4">
        <f>SUBTOTAL(103,October[8])</f>
        <v>0</v>
      </c>
      <c r="K14" s="4">
        <f>SUBTOTAL(103,October[9])</f>
        <v>0</v>
      </c>
      <c r="L14" s="4">
        <f>SUBTOTAL(103,October[10])</f>
        <v>0</v>
      </c>
      <c r="M14" s="4">
        <f>SUBTOTAL(103,October[11])</f>
        <v>0</v>
      </c>
      <c r="N14" s="4">
        <f>SUBTOTAL(103,October[12])</f>
        <v>0</v>
      </c>
      <c r="O14" s="4">
        <f>SUBTOTAL(103,October[13])</f>
        <v>0</v>
      </c>
      <c r="P14" s="4">
        <f>SUBTOTAL(103,October[14])</f>
        <v>0</v>
      </c>
      <c r="Q14" s="4">
        <f>SUBTOTAL(103,October[15])</f>
        <v>0</v>
      </c>
      <c r="R14" s="4">
        <f>SUBTOTAL(103,October[16])</f>
        <v>0</v>
      </c>
      <c r="S14" s="4">
        <f>SUBTOTAL(103,October[17])</f>
        <v>0</v>
      </c>
      <c r="T14" s="4">
        <f>SUBTOTAL(103,October[18])</f>
        <v>0</v>
      </c>
      <c r="U14" s="4">
        <f>SUBTOTAL(103,October[19])</f>
        <v>0</v>
      </c>
      <c r="V14" s="4">
        <f>SUBTOTAL(103,October[20])</f>
        <v>0</v>
      </c>
      <c r="W14" s="4">
        <f>SUBTOTAL(103,October[21])</f>
        <v>0</v>
      </c>
      <c r="X14" s="4">
        <f>SUBTOTAL(103,October[22])</f>
        <v>0</v>
      </c>
      <c r="Y14" s="4">
        <f>SUBTOTAL(103,October[23])</f>
        <v>0</v>
      </c>
      <c r="Z14" s="4">
        <f>SUBTOTAL(103,October[24])</f>
        <v>0</v>
      </c>
      <c r="AA14" s="4">
        <f>SUBTOTAL(103,October[25])</f>
        <v>0</v>
      </c>
      <c r="AB14" s="4">
        <f>SUBTOTAL(103,October[26])</f>
        <v>0</v>
      </c>
      <c r="AC14" s="4">
        <f>SUBTOTAL(103,October[27])</f>
        <v>0</v>
      </c>
      <c r="AD14" s="4">
        <f>SUBTOTAL(103,October[28])</f>
        <v>0</v>
      </c>
      <c r="AE14" s="4">
        <f>SUBTOTAL(103,October[29])</f>
        <v>0</v>
      </c>
      <c r="AF14" s="4">
        <f>SUBTOTAL(109,October[30])</f>
        <v>0</v>
      </c>
      <c r="AG14" s="4">
        <f>SUBTOTAL(109,October[31])</f>
        <v>0</v>
      </c>
      <c r="AH14" s="4">
        <f>SUBTOTAL(109,October[Total days])</f>
        <v>0</v>
      </c>
    </row>
  </sheetData>
  <mergeCells count="6">
    <mergeCell ref="C6:AG6"/>
    <mergeCell ref="D4:F4"/>
    <mergeCell ref="H4:J4"/>
    <mergeCell ref="L4:M4"/>
    <mergeCell ref="O4:Q4"/>
    <mergeCell ref="S4:U4"/>
  </mergeCells>
  <conditionalFormatting sqref="C9:AG13">
    <cfRule type="expression" priority="1" stopIfTrue="1">
      <formula>C9=""</formula>
    </cfRule>
    <cfRule type="expression" dxfId="14" priority="2" stopIfTrue="1">
      <formula>C9=KeyCustom2</formula>
    </cfRule>
    <cfRule type="expression" dxfId="13" priority="3" stopIfTrue="1">
      <formula>C9=KeyCustom1</formula>
    </cfRule>
    <cfRule type="expression" dxfId="12" priority="4" stopIfTrue="1">
      <formula>C9=KeySick</formula>
    </cfRule>
    <cfRule type="expression" dxfId="11" priority="5" stopIfTrue="1">
      <formula>C9=KeyPersonal</formula>
    </cfRule>
    <cfRule type="expression" dxfId="10"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{F32A08EA-50E8-4B5F-AB1F-5A7739FBC16C}</x14:id>
        </ext>
      </extLst>
    </cfRule>
  </conditionalFormatting>
  <dataValidations count="14">
    <dataValidation allowBlank="1" showInputMessage="1" showErrorMessage="1" prompt="Weekdays in this row are automatically updated for the month according to the year in AH4. Each day of the month is a column to note an employee's absence and absence type" sqref="C7" xr:uid="{6C3B7250-7883-E447-A5BD-190F9EC85610}"/>
    <dataValidation allowBlank="1" showInputMessage="1" showErrorMessage="1" prompt="Automatically updated year based on year entered in January worksheet" sqref="AH6" xr:uid="{856FAEF4-8645-3447-91CD-944E3DA437F4}"/>
    <dataValidation allowBlank="1" showInputMessage="1" showErrorMessage="1" prompt="Automatically calculates total number of days an employee was absent this month in this column" sqref="AH8" xr:uid="{460C2673-D90D-514F-89AA-D6D7BDC2B7D4}"/>
    <dataValidation allowBlank="1" showInputMessage="1" showErrorMessage="1" prompt="Track October absence in this worksheet" sqref="A1" xr:uid="{00000000-0002-0000-0900-000003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8" xr:uid="{44EADDEC-C0C0-D348-A864-4940BC2D178C}"/>
    <dataValidation allowBlank="1" showInputMessage="1" showErrorMessage="1" prompt="The letter &quot;V&quot; indicates absence due to vacation" sqref="C4" xr:uid="{8AFA64B3-CA12-D746-A7DF-89EF58BCE3D5}"/>
    <dataValidation allowBlank="1" showInputMessage="1" showErrorMessage="1" prompt="The letter &quot;P&quot; indicates absence due to personal reasons" sqref="G4" xr:uid="{3B7999AA-167A-CE4C-8796-899AE23635AB}"/>
    <dataValidation allowBlank="1" showInputMessage="1" showErrorMessage="1" prompt="The letter &quot;S&quot; indicates absence due to illness" sqref="K4" xr:uid="{1B40AE04-6602-1B4B-831F-DE91BF80E5BA}"/>
    <dataValidation allowBlank="1" showInputMessage="1" showErrorMessage="1" prompt="Enter a letter and customize the label at right to add another key item" sqref="N4 R4" xr:uid="{E244B439-C378-D64B-B39B-3ECAC0628D41}"/>
    <dataValidation allowBlank="1" showInputMessage="1" showErrorMessage="1" prompt="Enter a label to describe the custom key at left" sqref="O4:Q4 S4:U4" xr:uid="{8092AE17-9B79-B44F-87F7-9F40BB2047F6}"/>
    <dataValidation allowBlank="1" showInputMessage="1" showErrorMessage="1" prompt="Month name for this absence schedule is in this cell. Absence totals for this month are in last cell of the table. Select employee names in table column B" sqref="B2" xr:uid="{00000000-0002-0000-0900-00000C000000}"/>
    <dataValidation allowBlank="1" showInputMessage="1" showErrorMessage="1" prompt="Days of the month in this row are automatically generated. Enter an employee's absence and absence type in each column for each day of the month. Blank means no absence" sqref="C8" xr:uid="{E2589F34-72AD-7946-9C30-9FD4409BBCB4}"/>
    <dataValidation allowBlank="1" showInputMessage="1" showErrorMessage="1" prompt="This row defines the keys used in the table: cell C4 is Vacation, G4 is Personal, &amp; K4 is Sick leave. Cells N4 &amp; R4 are customizable " sqref="B4" xr:uid="{64951AAF-92FB-44AB-A8AD-B37C0B2DD08A}"/>
    <dataValidation allowBlank="1" showInputMessage="1" showErrorMessage="1" prompt="Title of the worksheet is in this cell. " sqref="B1" xr:uid="{1C12649E-FD35-4288-A6DD-5F40186B166C}"/>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32A08EA-50E8-4B5F-AB1F-5A7739FBC16C}">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E000000}">
          <x14:formula1>
            <xm:f>'Employee names'!$B$4:$B$8</xm:f>
          </x14:formula1>
          <xm:sqref>B9:B13</xm:sqref>
        </x14:dataValidation>
      </x14:dataValidations>
    </ext>
  </extLst>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pageSetUpPr fitToPage="1"/>
  </sheetPr>
  <dimension ref="B1:AH14"/>
  <sheetViews>
    <sheetView showGridLines="0" zoomScaleNormal="100" workbookViewId="0"/>
  </sheetViews>
  <sheetFormatPr defaultColWidth="8.77734375" defaultRowHeight="30" customHeight="1" x14ac:dyDescent="0.3"/>
  <cols>
    <col min="1" max="1" width="2.6640625" customWidth="1"/>
    <col min="2" max="2" width="25.6640625" customWidth="1"/>
    <col min="3" max="33" width="4.6640625" customWidth="1"/>
    <col min="34" max="34" width="13.44140625" customWidth="1"/>
    <col min="35" max="35" width="2.6640625" customWidth="1"/>
  </cols>
  <sheetData>
    <row r="1" spans="2:34" ht="49.95" customHeight="1" x14ac:dyDescent="0.45">
      <c r="B1" s="26" t="s">
        <v>54</v>
      </c>
    </row>
    <row r="2" spans="2:34" ht="100.05" customHeight="1" x14ac:dyDescent="0.3">
      <c r="B2" s="32" t="s">
        <v>51</v>
      </c>
    </row>
    <row r="3" spans="2:34" ht="15" customHeight="1" x14ac:dyDescent="0.3">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x14ac:dyDescent="0.3">
      <c r="B4" s="8" t="s">
        <v>55</v>
      </c>
      <c r="C4" s="31" t="s">
        <v>32</v>
      </c>
      <c r="D4" s="36" t="s">
        <v>37</v>
      </c>
      <c r="E4" s="36"/>
      <c r="F4" s="36"/>
      <c r="G4" s="29" t="s">
        <v>35</v>
      </c>
      <c r="H4" s="36" t="s">
        <v>38</v>
      </c>
      <c r="I4" s="36"/>
      <c r="J4" s="36"/>
      <c r="K4" s="30" t="s">
        <v>31</v>
      </c>
      <c r="L4" s="36" t="s">
        <v>39</v>
      </c>
      <c r="M4" s="36"/>
      <c r="N4" s="19"/>
      <c r="O4" s="36" t="s">
        <v>40</v>
      </c>
      <c r="P4" s="36"/>
      <c r="Q4" s="36"/>
      <c r="R4" s="20"/>
      <c r="S4" s="36" t="s">
        <v>41</v>
      </c>
      <c r="T4" s="36"/>
      <c r="U4" s="36"/>
    </row>
    <row r="5" spans="2:34" ht="15" customHeight="1" x14ac:dyDescent="0.3">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5" customHeight="1" x14ac:dyDescent="0.3">
      <c r="B6" s="7"/>
      <c r="C6" s="35" t="s">
        <v>56</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 ca="1">CalendarYear</f>
        <v>2024</v>
      </c>
    </row>
    <row r="7" spans="2:34" ht="30" customHeight="1" x14ac:dyDescent="0.3">
      <c r="B7" s="7"/>
      <c r="C7" s="23" t="str">
        <f ca="1">TEXT(WEEKDAY(DATE(CalendarYear,11,1),1),"aaa")</f>
        <v>Fri</v>
      </c>
      <c r="D7" s="23" t="str">
        <f ca="1">TEXT(WEEKDAY(DATE(CalendarYear,11,2),1),"aaa")</f>
        <v>Sat</v>
      </c>
      <c r="E7" s="23" t="str">
        <f ca="1">TEXT(WEEKDAY(DATE(CalendarYear,11,3),1),"aaa")</f>
        <v>Sun</v>
      </c>
      <c r="F7" s="23" t="str">
        <f ca="1">TEXT(WEEKDAY(DATE(CalendarYear,11,4),1),"aaa")</f>
        <v>Mon</v>
      </c>
      <c r="G7" s="23" t="str">
        <f ca="1">TEXT(WEEKDAY(DATE(CalendarYear,11,5),1),"aaa")</f>
        <v>Tue</v>
      </c>
      <c r="H7" s="23" t="str">
        <f ca="1">TEXT(WEEKDAY(DATE(CalendarYear,11,6),1),"aaa")</f>
        <v>Wed</v>
      </c>
      <c r="I7" s="23" t="str">
        <f ca="1">TEXT(WEEKDAY(DATE(CalendarYear,11,7),1),"aaa")</f>
        <v>Thu</v>
      </c>
      <c r="J7" s="23" t="str">
        <f ca="1">TEXT(WEEKDAY(DATE(CalendarYear,11,8),1),"aaa")</f>
        <v>Fri</v>
      </c>
      <c r="K7" s="23" t="str">
        <f ca="1">TEXT(WEEKDAY(DATE(CalendarYear,11,9),1),"aaa")</f>
        <v>Sat</v>
      </c>
      <c r="L7" s="23" t="str">
        <f ca="1">TEXT(WEEKDAY(DATE(CalendarYear,11,10),1),"aaa")</f>
        <v>Sun</v>
      </c>
      <c r="M7" s="23" t="str">
        <f ca="1">TEXT(WEEKDAY(DATE(CalendarYear,11,11),1),"aaa")</f>
        <v>Mon</v>
      </c>
      <c r="N7" s="23" t="str">
        <f ca="1">TEXT(WEEKDAY(DATE(CalendarYear,11,12),1),"aaa")</f>
        <v>Tue</v>
      </c>
      <c r="O7" s="23" t="str">
        <f ca="1">TEXT(WEEKDAY(DATE(CalendarYear,11,13),1),"aaa")</f>
        <v>Wed</v>
      </c>
      <c r="P7" s="23" t="str">
        <f ca="1">TEXT(WEEKDAY(DATE(CalendarYear,11,14),1),"aaa")</f>
        <v>Thu</v>
      </c>
      <c r="Q7" s="23" t="str">
        <f ca="1">TEXT(WEEKDAY(DATE(CalendarYear,11,15),1),"aaa")</f>
        <v>Fri</v>
      </c>
      <c r="R7" s="23" t="str">
        <f ca="1">TEXT(WEEKDAY(DATE(CalendarYear,11,16),1),"aaa")</f>
        <v>Sat</v>
      </c>
      <c r="S7" s="23" t="str">
        <f ca="1">TEXT(WEEKDAY(DATE(CalendarYear,11,17),1),"aaa")</f>
        <v>Sun</v>
      </c>
      <c r="T7" s="23" t="str">
        <f ca="1">TEXT(WEEKDAY(DATE(CalendarYear,11,18),1),"aaa")</f>
        <v>Mon</v>
      </c>
      <c r="U7" s="23" t="str">
        <f ca="1">TEXT(WEEKDAY(DATE(CalendarYear,11,19),1),"aaa")</f>
        <v>Tue</v>
      </c>
      <c r="V7" s="23" t="str">
        <f ca="1">TEXT(WEEKDAY(DATE(CalendarYear,11,20),1),"aaa")</f>
        <v>Wed</v>
      </c>
      <c r="W7" s="23" t="str">
        <f ca="1">TEXT(WEEKDAY(DATE(CalendarYear,11,21),1),"aaa")</f>
        <v>Thu</v>
      </c>
      <c r="X7" s="23" t="str">
        <f ca="1">TEXT(WEEKDAY(DATE(CalendarYear,11,22),1),"aaa")</f>
        <v>Fri</v>
      </c>
      <c r="Y7" s="23" t="str">
        <f ca="1">TEXT(WEEKDAY(DATE(CalendarYear,11,23),1),"aaa")</f>
        <v>Sat</v>
      </c>
      <c r="Z7" s="23" t="str">
        <f ca="1">TEXT(WEEKDAY(DATE(CalendarYear,11,24),1),"aaa")</f>
        <v>Sun</v>
      </c>
      <c r="AA7" s="23" t="str">
        <f ca="1">TEXT(WEEKDAY(DATE(CalendarYear,11,25),1),"aaa")</f>
        <v>Mon</v>
      </c>
      <c r="AB7" s="23" t="str">
        <f ca="1">TEXT(WEEKDAY(DATE(CalendarYear,11,26),1),"aaa")</f>
        <v>Tue</v>
      </c>
      <c r="AC7" s="23" t="str">
        <f ca="1">TEXT(WEEKDAY(DATE(CalendarYear,11,27),1),"aaa")</f>
        <v>Wed</v>
      </c>
      <c r="AD7" s="23" t="str">
        <f ca="1">TEXT(WEEKDAY(DATE(CalendarYear,11,28),1),"aaa")</f>
        <v>Thu</v>
      </c>
      <c r="AE7" s="23" t="str">
        <f ca="1">TEXT(WEEKDAY(DATE(CalendarYear,11,29),1),"aaa")</f>
        <v>Fri</v>
      </c>
      <c r="AF7" s="23" t="str">
        <f ca="1">TEXT(WEEKDAY(DATE(CalendarYear,11,30),1),"aaa")</f>
        <v>Sat</v>
      </c>
      <c r="AG7" s="23"/>
      <c r="AH7" s="7"/>
    </row>
    <row r="8" spans="2:34" ht="30" customHeight="1" x14ac:dyDescent="0.3">
      <c r="B8" s="22" t="s">
        <v>62</v>
      </c>
      <c r="C8" s="1" t="s">
        <v>0</v>
      </c>
      <c r="D8" s="1" t="s">
        <v>1</v>
      </c>
      <c r="E8" s="1" t="s">
        <v>2</v>
      </c>
      <c r="F8" s="1" t="s">
        <v>3</v>
      </c>
      <c r="G8" s="1" t="s">
        <v>4</v>
      </c>
      <c r="H8" s="1" t="s">
        <v>5</v>
      </c>
      <c r="I8" s="1" t="s">
        <v>6</v>
      </c>
      <c r="J8" s="1" t="s">
        <v>7</v>
      </c>
      <c r="K8" s="1" t="s">
        <v>8</v>
      </c>
      <c r="L8" s="1" t="s">
        <v>9</v>
      </c>
      <c r="M8" s="1" t="s">
        <v>10</v>
      </c>
      <c r="N8" s="1" t="s">
        <v>11</v>
      </c>
      <c r="O8" s="1" t="s">
        <v>12</v>
      </c>
      <c r="P8" s="1" t="s">
        <v>13</v>
      </c>
      <c r="Q8" s="1" t="s">
        <v>14</v>
      </c>
      <c r="R8" s="1" t="s">
        <v>15</v>
      </c>
      <c r="S8" s="1" t="s">
        <v>16</v>
      </c>
      <c r="T8" s="1" t="s">
        <v>17</v>
      </c>
      <c r="U8" s="1" t="s">
        <v>18</v>
      </c>
      <c r="V8" s="1" t="s">
        <v>19</v>
      </c>
      <c r="W8" s="1" t="s">
        <v>20</v>
      </c>
      <c r="X8" s="1" t="s">
        <v>21</v>
      </c>
      <c r="Y8" s="1" t="s">
        <v>22</v>
      </c>
      <c r="Z8" s="1" t="s">
        <v>23</v>
      </c>
      <c r="AA8" s="1" t="s">
        <v>24</v>
      </c>
      <c r="AB8" s="1" t="s">
        <v>25</v>
      </c>
      <c r="AC8" s="1" t="s">
        <v>26</v>
      </c>
      <c r="AD8" s="1" t="s">
        <v>27</v>
      </c>
      <c r="AE8" s="1" t="s">
        <v>28</v>
      </c>
      <c r="AF8" s="1" t="s">
        <v>29</v>
      </c>
      <c r="AG8" s="1" t="s">
        <v>33</v>
      </c>
      <c r="AH8" s="24" t="s">
        <v>63</v>
      </c>
    </row>
    <row r="9" spans="2:34" ht="30" customHeight="1" x14ac:dyDescent="0.3">
      <c r="B9" s="2" t="s">
        <v>57</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COUNTA(November[[#This Row],[1]:[ ]])</f>
        <v>0</v>
      </c>
    </row>
    <row r="10" spans="2:34" ht="30" customHeight="1" x14ac:dyDescent="0.3">
      <c r="B10" s="2" t="s">
        <v>58</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COUNTA(November[[#This Row],[1]:[ ]])</f>
        <v>0</v>
      </c>
    </row>
    <row r="11" spans="2:34" ht="30" customHeight="1" x14ac:dyDescent="0.3">
      <c r="B11" s="2" t="s">
        <v>59</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COUNTA(November[[#This Row],[1]:[ ]])</f>
        <v>0</v>
      </c>
    </row>
    <row r="12" spans="2:34" ht="30" customHeight="1" x14ac:dyDescent="0.3">
      <c r="B12" s="2" t="s">
        <v>60</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COUNTA(November[[#This Row],[1]:[ ]])</f>
        <v>0</v>
      </c>
    </row>
    <row r="13" spans="2:34" ht="30" customHeight="1" x14ac:dyDescent="0.3">
      <c r="B13" s="2" t="s">
        <v>61</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COUNTA(November[[#This Row],[1]:[ ]])</f>
        <v>0</v>
      </c>
    </row>
    <row r="14" spans="2:34" ht="30" customHeight="1" x14ac:dyDescent="0.3">
      <c r="B14" s="5" t="str">
        <f>MonthName&amp;" Total"</f>
        <v>November Total</v>
      </c>
      <c r="C14" s="4">
        <f>SUBTOTAL(103,November[1])</f>
        <v>0</v>
      </c>
      <c r="D14" s="4">
        <f>SUBTOTAL(103,November[2])</f>
        <v>0</v>
      </c>
      <c r="E14" s="4">
        <f>SUBTOTAL(103,November[3])</f>
        <v>0</v>
      </c>
      <c r="F14" s="4">
        <f>SUBTOTAL(103,November[4])</f>
        <v>0</v>
      </c>
      <c r="G14" s="4">
        <f>SUBTOTAL(103,November[5])</f>
        <v>0</v>
      </c>
      <c r="H14" s="4">
        <f>SUBTOTAL(103,November[6])</f>
        <v>0</v>
      </c>
      <c r="I14" s="4">
        <f>SUBTOTAL(103,November[7])</f>
        <v>0</v>
      </c>
      <c r="J14" s="4">
        <f>SUBTOTAL(103,November[8])</f>
        <v>0</v>
      </c>
      <c r="K14" s="4">
        <f>SUBTOTAL(103,November[9])</f>
        <v>0</v>
      </c>
      <c r="L14" s="4">
        <f>SUBTOTAL(103,November[10])</f>
        <v>0</v>
      </c>
      <c r="M14" s="4">
        <f>SUBTOTAL(103,November[11])</f>
        <v>0</v>
      </c>
      <c r="N14" s="4">
        <f>SUBTOTAL(103,November[12])</f>
        <v>0</v>
      </c>
      <c r="O14" s="4">
        <f>SUBTOTAL(103,November[13])</f>
        <v>0</v>
      </c>
      <c r="P14" s="4">
        <f>SUBTOTAL(103,November[14])</f>
        <v>0</v>
      </c>
      <c r="Q14" s="4">
        <f>SUBTOTAL(103,November[15])</f>
        <v>0</v>
      </c>
      <c r="R14" s="4">
        <f>SUBTOTAL(103,November[16])</f>
        <v>0</v>
      </c>
      <c r="S14" s="4">
        <f>SUBTOTAL(103,November[17])</f>
        <v>0</v>
      </c>
      <c r="T14" s="4">
        <f>SUBTOTAL(103,November[18])</f>
        <v>0</v>
      </c>
      <c r="U14" s="4">
        <f>SUBTOTAL(103,November[19])</f>
        <v>0</v>
      </c>
      <c r="V14" s="4">
        <f>SUBTOTAL(103,November[20])</f>
        <v>0</v>
      </c>
      <c r="W14" s="4">
        <f>SUBTOTAL(103,November[21])</f>
        <v>0</v>
      </c>
      <c r="X14" s="4">
        <f>SUBTOTAL(103,November[22])</f>
        <v>0</v>
      </c>
      <c r="Y14" s="4">
        <f>SUBTOTAL(103,November[23])</f>
        <v>0</v>
      </c>
      <c r="Z14" s="4">
        <f>SUBTOTAL(103,November[24])</f>
        <v>0</v>
      </c>
      <c r="AA14" s="4">
        <f>SUBTOTAL(103,November[25])</f>
        <v>0</v>
      </c>
      <c r="AB14" s="4">
        <f>SUBTOTAL(103,November[26])</f>
        <v>0</v>
      </c>
      <c r="AC14" s="4">
        <f>SUBTOTAL(103,November[27])</f>
        <v>0</v>
      </c>
      <c r="AD14" s="4">
        <f>SUBTOTAL(103,November[28])</f>
        <v>0</v>
      </c>
      <c r="AE14" s="4">
        <f>SUBTOTAL(103,November[29])</f>
        <v>0</v>
      </c>
      <c r="AF14" s="4">
        <f>SUBTOTAL(109,November[30])</f>
        <v>0</v>
      </c>
      <c r="AG14" s="4">
        <f>SUBTOTAL(109,November[[ ]])</f>
        <v>0</v>
      </c>
      <c r="AH14" s="4">
        <f>SUBTOTAL(109,November[Total days])</f>
        <v>0</v>
      </c>
    </row>
  </sheetData>
  <mergeCells count="6">
    <mergeCell ref="C6:AG6"/>
    <mergeCell ref="D4:F4"/>
    <mergeCell ref="H4:J4"/>
    <mergeCell ref="L4:M4"/>
    <mergeCell ref="O4:Q4"/>
    <mergeCell ref="S4:U4"/>
  </mergeCells>
  <conditionalFormatting sqref="C9:AG13">
    <cfRule type="expression" priority="1" stopIfTrue="1">
      <formula>C9=""</formula>
    </cfRule>
    <cfRule type="expression" dxfId="9" priority="2" stopIfTrue="1">
      <formula>C9=KeyCustom2</formula>
    </cfRule>
    <cfRule type="expression" dxfId="8" priority="3" stopIfTrue="1">
      <formula>C9=KeyCustom1</formula>
    </cfRule>
    <cfRule type="expression" dxfId="7" priority="4" stopIfTrue="1">
      <formula>C9=KeySick</formula>
    </cfRule>
    <cfRule type="expression" dxfId="6" priority="5" stopIfTrue="1">
      <formula>C9=KeyPersonal</formula>
    </cfRule>
    <cfRule type="expression" dxfId="5"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{27D92E49-5CF1-46DF-AD7A-3A5E92F274F3}</x14:id>
        </ext>
      </extLst>
    </cfRule>
  </conditionalFormatting>
  <dataValidations count="15">
    <dataValidation allowBlank="1" showInputMessage="1" showErrorMessage="1" prompt="Days of the month in this row are automatically generated. Enter an employee's absence and absence type in each column for each day of the month. Blank means no absence" sqref="C8" xr:uid="{97706874-D6EF-7649-8BB0-992E1F25B736}"/>
    <dataValidation allowBlank="1" showInputMessage="1" showErrorMessage="1" prompt="Month name for this absence schedule is in this cell. Absence totals for this month are in last cell of the table. Select employee names in table column B" sqref="B2" xr:uid="{00000000-0002-0000-0A00-000001000000}"/>
    <dataValidation allowBlank="1" showInputMessage="1" showErrorMessage="1" prompt="This row defines the keys used in the table: cell C4 is Vacation, G4 is Personal, &amp; K4 is Sick leave. Cells N4 &amp; R4 are customizable " sqref="B4" xr:uid="{3113BD82-2D3E-8F4A-8BB6-5BEEE7BE0789}"/>
    <dataValidation allowBlank="1" showInputMessage="1" showErrorMessage="1" prompt="Enter a label to describe the custom key at left" sqref="O4:Q4 S4:U4" xr:uid="{2D3A090B-F718-4F41-8211-E6CC79F16B14}"/>
    <dataValidation allowBlank="1" showInputMessage="1" showErrorMessage="1" prompt="Enter a letter and customize the label at right to add another key item" sqref="N4 R4" xr:uid="{4AA8F930-0666-B342-B223-6859D3ED72AA}"/>
    <dataValidation allowBlank="1" showInputMessage="1" showErrorMessage="1" prompt="The letter &quot;S&quot; indicates absence due to illness" sqref="K4" xr:uid="{E3290C1F-2EBB-F545-A50F-DF2335729F55}"/>
    <dataValidation allowBlank="1" showInputMessage="1" showErrorMessage="1" prompt="The letter &quot;P&quot; indicates absence due to personal reasons" sqref="G4" xr:uid="{FE1B1844-2315-B443-8B6F-709F2D8FD91A}"/>
    <dataValidation allowBlank="1" showInputMessage="1" showErrorMessage="1" prompt="The letter &quot;V&quot; indicates absence due to vacation" sqref="C4" xr:uid="{1EA742A5-682B-AB4E-9F1E-EC4DA4D0EE38}"/>
    <dataValidation allowBlank="1" showInputMessage="1" showErrorMessage="1" prompt="Automatically updated title is in this cell. To modify the title, update B1 on January worksheet" sqref="B2" xr:uid="{00000000-0002-0000-0A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8" xr:uid="{3B118AC1-307A-6645-A98D-9A80D2AE0EE3}"/>
    <dataValidation allowBlank="1" showInputMessage="1" showErrorMessage="1" prompt="Track November absence in this worksheet" sqref="A1" xr:uid="{00000000-0002-0000-0A00-00000A000000}"/>
    <dataValidation allowBlank="1" showInputMessage="1" showErrorMessage="1" prompt="Automatically calculates total number of days an employee was absent this month in this column" sqref="AH8" xr:uid="{689D502A-5D97-B44F-AA8E-4AB5A8802DDE}"/>
    <dataValidation allowBlank="1" showInputMessage="1" showErrorMessage="1" prompt="Automatically updated year based on year entered in January worksheet" sqref="AH6" xr:uid="{CA024147-D189-C949-8452-0A51ECF8D4AA}"/>
    <dataValidation allowBlank="1" showInputMessage="1" showErrorMessage="1" prompt="Weekdays in this row are automatically updated for the month according to the year in AH4. Each day of the month is a column to note an employee's absence and absence type" sqref="C7" xr:uid="{DEEC83F4-4C72-7D4D-B442-B00CC4990A25}"/>
    <dataValidation allowBlank="1" showInputMessage="1" showErrorMessage="1" prompt="Title of the worksheet is in this cell. " sqref="B1" xr:uid="{C3B9D9EA-9B20-4756-B664-7AA7A0EDAD13}"/>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7D92E49-5CF1-46DF-AD7A-3A5E92F274F3}">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E000000}">
          <x14:formula1>
            <xm:f>'Employee names'!$B$4:$B$8</xm:f>
          </x14:formula1>
          <xm:sqref>B9:B13</xm:sqref>
        </x14:dataValidation>
      </x14:dataValidations>
    </ext>
  </extLst>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39997558519241921"/>
    <pageSetUpPr fitToPage="1"/>
  </sheetPr>
  <dimension ref="B1:AH14"/>
  <sheetViews>
    <sheetView showGridLines="0" zoomScaleNormal="100" workbookViewId="0"/>
  </sheetViews>
  <sheetFormatPr defaultColWidth="8.77734375" defaultRowHeight="30" customHeight="1" x14ac:dyDescent="0.3"/>
  <cols>
    <col min="1" max="1" width="2.6640625" customWidth="1"/>
    <col min="2" max="2" width="25.6640625" customWidth="1"/>
    <col min="3" max="33" width="4.6640625" customWidth="1"/>
    <col min="34" max="34" width="13.44140625" customWidth="1"/>
    <col min="35" max="35" width="2.6640625" customWidth="1"/>
  </cols>
  <sheetData>
    <row r="1" spans="2:34" ht="49.95" customHeight="1" x14ac:dyDescent="0.45">
      <c r="B1" s="26" t="s">
        <v>54</v>
      </c>
    </row>
    <row r="2" spans="2:34" ht="100.05" customHeight="1" x14ac:dyDescent="0.3">
      <c r="B2" s="25" t="s">
        <v>52</v>
      </c>
    </row>
    <row r="3" spans="2:34" ht="15" customHeight="1" x14ac:dyDescent="0.3">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x14ac:dyDescent="0.3">
      <c r="B4" s="8" t="s">
        <v>55</v>
      </c>
      <c r="C4" s="31" t="s">
        <v>32</v>
      </c>
      <c r="D4" s="36" t="s">
        <v>37</v>
      </c>
      <c r="E4" s="36"/>
      <c r="F4" s="36"/>
      <c r="G4" s="29" t="s">
        <v>35</v>
      </c>
      <c r="H4" s="36" t="s">
        <v>38</v>
      </c>
      <c r="I4" s="36"/>
      <c r="J4" s="36"/>
      <c r="K4" s="30" t="s">
        <v>31</v>
      </c>
      <c r="L4" s="36" t="s">
        <v>39</v>
      </c>
      <c r="M4" s="36"/>
      <c r="N4" s="19"/>
      <c r="O4" s="36" t="s">
        <v>40</v>
      </c>
      <c r="P4" s="36"/>
      <c r="Q4" s="36"/>
      <c r="R4" s="20"/>
      <c r="S4" s="36" t="s">
        <v>41</v>
      </c>
      <c r="T4" s="36"/>
      <c r="U4" s="36"/>
    </row>
    <row r="5" spans="2:34" ht="15" customHeight="1" x14ac:dyDescent="0.3">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5" customHeight="1" x14ac:dyDescent="0.3">
      <c r="B6" s="7"/>
      <c r="C6" s="35" t="s">
        <v>56</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 ca="1">CalendarYear</f>
        <v>2024</v>
      </c>
    </row>
    <row r="7" spans="2:34" ht="30" customHeight="1" x14ac:dyDescent="0.3">
      <c r="B7" s="7"/>
      <c r="C7" s="23" t="str">
        <f ca="1">TEXT(WEEKDAY(DATE(CalendarYear,12,1),1),"aaa")</f>
        <v>Sun</v>
      </c>
      <c r="D7" s="23" t="str">
        <f ca="1">TEXT(WEEKDAY(DATE(CalendarYear,12,2),1),"aaa")</f>
        <v>Mon</v>
      </c>
      <c r="E7" s="23" t="str">
        <f ca="1">TEXT(WEEKDAY(DATE(CalendarYear,12,3),1),"aaa")</f>
        <v>Tue</v>
      </c>
      <c r="F7" s="23" t="str">
        <f ca="1">TEXT(WEEKDAY(DATE(CalendarYear,12,4),1),"aaa")</f>
        <v>Wed</v>
      </c>
      <c r="G7" s="23" t="str">
        <f ca="1">TEXT(WEEKDAY(DATE(CalendarYear,12,5),1),"aaa")</f>
        <v>Thu</v>
      </c>
      <c r="H7" s="23" t="str">
        <f ca="1">TEXT(WEEKDAY(DATE(CalendarYear,12,6),1),"aaa")</f>
        <v>Fri</v>
      </c>
      <c r="I7" s="23" t="str">
        <f ca="1">TEXT(WEEKDAY(DATE(CalendarYear,12,7),1),"aaa")</f>
        <v>Sat</v>
      </c>
      <c r="J7" s="23" t="str">
        <f ca="1">TEXT(WEEKDAY(DATE(CalendarYear,12,8),1),"aaa")</f>
        <v>Sun</v>
      </c>
      <c r="K7" s="23" t="str">
        <f ca="1">TEXT(WEEKDAY(DATE(CalendarYear,12,9),1),"aaa")</f>
        <v>Mon</v>
      </c>
      <c r="L7" s="23" t="str">
        <f ca="1">TEXT(WEEKDAY(DATE(CalendarYear,12,10),1),"aaa")</f>
        <v>Tue</v>
      </c>
      <c r="M7" s="23" t="str">
        <f ca="1">TEXT(WEEKDAY(DATE(CalendarYear,12,11),1),"aaa")</f>
        <v>Wed</v>
      </c>
      <c r="N7" s="23" t="str">
        <f ca="1">TEXT(WEEKDAY(DATE(CalendarYear,12,12),1),"aaa")</f>
        <v>Thu</v>
      </c>
      <c r="O7" s="23" t="str">
        <f ca="1">TEXT(WEEKDAY(DATE(CalendarYear,12,13),1),"aaa")</f>
        <v>Fri</v>
      </c>
      <c r="P7" s="23" t="str">
        <f ca="1">TEXT(WEEKDAY(DATE(CalendarYear,12,14),1),"aaa")</f>
        <v>Sat</v>
      </c>
      <c r="Q7" s="23" t="str">
        <f ca="1">TEXT(WEEKDAY(DATE(CalendarYear,12,15),1),"aaa")</f>
        <v>Sun</v>
      </c>
      <c r="R7" s="23" t="str">
        <f ca="1">TEXT(WEEKDAY(DATE(CalendarYear,12,16),1),"aaa")</f>
        <v>Mon</v>
      </c>
      <c r="S7" s="23" t="str">
        <f ca="1">TEXT(WEEKDAY(DATE(CalendarYear,12,17),1),"aaa")</f>
        <v>Tue</v>
      </c>
      <c r="T7" s="23" t="str">
        <f ca="1">TEXT(WEEKDAY(DATE(CalendarYear,12,18),1),"aaa")</f>
        <v>Wed</v>
      </c>
      <c r="U7" s="23" t="str">
        <f ca="1">TEXT(WEEKDAY(DATE(CalendarYear,12,19),1),"aaa")</f>
        <v>Thu</v>
      </c>
      <c r="V7" s="23" t="str">
        <f ca="1">TEXT(WEEKDAY(DATE(CalendarYear,12,20),1),"aaa")</f>
        <v>Fri</v>
      </c>
      <c r="W7" s="23" t="str">
        <f ca="1">TEXT(WEEKDAY(DATE(CalendarYear,12,21),1),"aaa")</f>
        <v>Sat</v>
      </c>
      <c r="X7" s="23" t="str">
        <f ca="1">TEXT(WEEKDAY(DATE(CalendarYear,12,22),1),"aaa")</f>
        <v>Sun</v>
      </c>
      <c r="Y7" s="23" t="str">
        <f ca="1">TEXT(WEEKDAY(DATE(CalendarYear,12,23),1),"aaa")</f>
        <v>Mon</v>
      </c>
      <c r="Z7" s="23" t="str">
        <f ca="1">TEXT(WEEKDAY(DATE(CalendarYear,12,24),1),"aaa")</f>
        <v>Tue</v>
      </c>
      <c r="AA7" s="23" t="str">
        <f ca="1">TEXT(WEEKDAY(DATE(CalendarYear,12,25),1),"aaa")</f>
        <v>Wed</v>
      </c>
      <c r="AB7" s="23" t="str">
        <f ca="1">TEXT(WEEKDAY(DATE(CalendarYear,12,26),1),"aaa")</f>
        <v>Thu</v>
      </c>
      <c r="AC7" s="23" t="str">
        <f ca="1">TEXT(WEEKDAY(DATE(CalendarYear,12,27),1),"aaa")</f>
        <v>Fri</v>
      </c>
      <c r="AD7" s="23" t="str">
        <f ca="1">TEXT(WEEKDAY(DATE(CalendarYear,12,28),1),"aaa")</f>
        <v>Sat</v>
      </c>
      <c r="AE7" s="23" t="str">
        <f ca="1">TEXT(WEEKDAY(DATE(CalendarYear,12,29),1),"aaa")</f>
        <v>Sun</v>
      </c>
      <c r="AF7" s="23" t="str">
        <f ca="1">TEXT(WEEKDAY(DATE(CalendarYear,12,30),1),"aaa")</f>
        <v>Mon</v>
      </c>
      <c r="AG7" s="23" t="str">
        <f ca="1">TEXT(WEEKDAY(DATE(CalendarYear,12,31),1),"aaa")</f>
        <v>Tue</v>
      </c>
      <c r="AH7" s="7"/>
    </row>
    <row r="8" spans="2:34" ht="30" customHeight="1" x14ac:dyDescent="0.3">
      <c r="B8" s="22" t="s">
        <v>62</v>
      </c>
      <c r="C8" s="1" t="s">
        <v>0</v>
      </c>
      <c r="D8" s="1" t="s">
        <v>1</v>
      </c>
      <c r="E8" s="1" t="s">
        <v>2</v>
      </c>
      <c r="F8" s="1" t="s">
        <v>3</v>
      </c>
      <c r="G8" s="1" t="s">
        <v>4</v>
      </c>
      <c r="H8" s="1" t="s">
        <v>5</v>
      </c>
      <c r="I8" s="1" t="s">
        <v>6</v>
      </c>
      <c r="J8" s="1" t="s">
        <v>7</v>
      </c>
      <c r="K8" s="1" t="s">
        <v>8</v>
      </c>
      <c r="L8" s="1" t="s">
        <v>9</v>
      </c>
      <c r="M8" s="1" t="s">
        <v>10</v>
      </c>
      <c r="N8" s="1" t="s">
        <v>11</v>
      </c>
      <c r="O8" s="1" t="s">
        <v>12</v>
      </c>
      <c r="P8" s="1" t="s">
        <v>13</v>
      </c>
      <c r="Q8" s="1" t="s">
        <v>14</v>
      </c>
      <c r="R8" s="1" t="s">
        <v>15</v>
      </c>
      <c r="S8" s="1" t="s">
        <v>16</v>
      </c>
      <c r="T8" s="1" t="s">
        <v>17</v>
      </c>
      <c r="U8" s="1" t="s">
        <v>18</v>
      </c>
      <c r="V8" s="1" t="s">
        <v>19</v>
      </c>
      <c r="W8" s="1" t="s">
        <v>20</v>
      </c>
      <c r="X8" s="1" t="s">
        <v>21</v>
      </c>
      <c r="Y8" s="1" t="s">
        <v>22</v>
      </c>
      <c r="Z8" s="1" t="s">
        <v>23</v>
      </c>
      <c r="AA8" s="1" t="s">
        <v>24</v>
      </c>
      <c r="AB8" s="1" t="s">
        <v>25</v>
      </c>
      <c r="AC8" s="1" t="s">
        <v>26</v>
      </c>
      <c r="AD8" s="1" t="s">
        <v>27</v>
      </c>
      <c r="AE8" s="1" t="s">
        <v>28</v>
      </c>
      <c r="AF8" s="1" t="s">
        <v>29</v>
      </c>
      <c r="AG8" s="1" t="s">
        <v>30</v>
      </c>
      <c r="AH8" s="24" t="s">
        <v>63</v>
      </c>
    </row>
    <row r="9" spans="2:34" ht="30" customHeight="1" x14ac:dyDescent="0.3">
      <c r="B9" s="2" t="s">
        <v>57</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COUNTA(December[[#This Row],[1]:[31]])</f>
        <v>0</v>
      </c>
    </row>
    <row r="10" spans="2:34" ht="30" customHeight="1" x14ac:dyDescent="0.3">
      <c r="B10" s="2" t="s">
        <v>58</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COUNTA(December[[#This Row],[1]:[31]])</f>
        <v>0</v>
      </c>
    </row>
    <row r="11" spans="2:34" ht="30" customHeight="1" x14ac:dyDescent="0.3">
      <c r="B11" s="2" t="s">
        <v>59</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COUNTA(December[[#This Row],[1]:[31]])</f>
        <v>0</v>
      </c>
    </row>
    <row r="12" spans="2:34" ht="30" customHeight="1" x14ac:dyDescent="0.3">
      <c r="B12" s="2" t="s">
        <v>60</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COUNTA(December[[#This Row],[1]:[31]])</f>
        <v>0</v>
      </c>
    </row>
    <row r="13" spans="2:34" ht="30" customHeight="1" x14ac:dyDescent="0.3">
      <c r="B13" s="2" t="s">
        <v>61</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COUNTA(December[[#This Row],[1]:[31]])</f>
        <v>0</v>
      </c>
    </row>
    <row r="14" spans="2:34" ht="30" customHeight="1" x14ac:dyDescent="0.3">
      <c r="B14" s="5" t="str">
        <f>MonthName&amp;" Total"</f>
        <v>December Total</v>
      </c>
      <c r="C14" s="4">
        <f>SUBTOTAL(103,December[1])</f>
        <v>0</v>
      </c>
      <c r="D14" s="4">
        <f>SUBTOTAL(103,December[2])</f>
        <v>0</v>
      </c>
      <c r="E14" s="4">
        <f>SUBTOTAL(103,December[3])</f>
        <v>0</v>
      </c>
      <c r="F14" s="4">
        <f>SUBTOTAL(103,December[4])</f>
        <v>0</v>
      </c>
      <c r="G14" s="4">
        <f>SUBTOTAL(103,December[5])</f>
        <v>0</v>
      </c>
      <c r="H14" s="4">
        <f>SUBTOTAL(103,December[6])</f>
        <v>0</v>
      </c>
      <c r="I14" s="4">
        <f>SUBTOTAL(103,December[7])</f>
        <v>0</v>
      </c>
      <c r="J14" s="4">
        <f>SUBTOTAL(103,December[8])</f>
        <v>0</v>
      </c>
      <c r="K14" s="4">
        <f>SUBTOTAL(103,December[9])</f>
        <v>0</v>
      </c>
      <c r="L14" s="4">
        <f>SUBTOTAL(103,December[10])</f>
        <v>0</v>
      </c>
      <c r="M14" s="4">
        <f>SUBTOTAL(103,December[11])</f>
        <v>0</v>
      </c>
      <c r="N14" s="4">
        <f>SUBTOTAL(103,December[12])</f>
        <v>0</v>
      </c>
      <c r="O14" s="4">
        <f>SUBTOTAL(103,December[13])</f>
        <v>0</v>
      </c>
      <c r="P14" s="4">
        <f>SUBTOTAL(103,December[14])</f>
        <v>0</v>
      </c>
      <c r="Q14" s="4">
        <f>SUBTOTAL(103,December[15])</f>
        <v>0</v>
      </c>
      <c r="R14" s="4">
        <f>SUBTOTAL(103,December[16])</f>
        <v>0</v>
      </c>
      <c r="S14" s="4">
        <f>SUBTOTAL(103,December[17])</f>
        <v>0</v>
      </c>
      <c r="T14" s="4">
        <f>SUBTOTAL(103,December[18])</f>
        <v>0</v>
      </c>
      <c r="U14" s="4">
        <f>SUBTOTAL(103,December[19])</f>
        <v>0</v>
      </c>
      <c r="V14" s="4">
        <f>SUBTOTAL(103,December[20])</f>
        <v>0</v>
      </c>
      <c r="W14" s="4">
        <f>SUBTOTAL(103,December[21])</f>
        <v>0</v>
      </c>
      <c r="X14" s="4">
        <f>SUBTOTAL(103,December[22])</f>
        <v>0</v>
      </c>
      <c r="Y14" s="4">
        <f>SUBTOTAL(103,December[23])</f>
        <v>0</v>
      </c>
      <c r="Z14" s="4">
        <f>SUBTOTAL(103,December[24])</f>
        <v>0</v>
      </c>
      <c r="AA14" s="4">
        <f>SUBTOTAL(103,December[25])</f>
        <v>0</v>
      </c>
      <c r="AB14" s="4">
        <f>SUBTOTAL(103,December[26])</f>
        <v>0</v>
      </c>
      <c r="AC14" s="4">
        <f>SUBTOTAL(103,December[27])</f>
        <v>0</v>
      </c>
      <c r="AD14" s="4">
        <f>SUBTOTAL(103,December[28])</f>
        <v>0</v>
      </c>
      <c r="AE14" s="4">
        <f>SUBTOTAL(103,December[29])</f>
        <v>0</v>
      </c>
      <c r="AF14" s="4">
        <f>SUBTOTAL(109,December[30])</f>
        <v>0</v>
      </c>
      <c r="AG14" s="4">
        <f>SUBTOTAL(109,December[31])</f>
        <v>0</v>
      </c>
      <c r="AH14" s="4">
        <f>SUBTOTAL(109,December[Total days])</f>
        <v>0</v>
      </c>
    </row>
  </sheetData>
  <mergeCells count="6">
    <mergeCell ref="C6:AG6"/>
    <mergeCell ref="D4:F4"/>
    <mergeCell ref="H4:J4"/>
    <mergeCell ref="L4:M4"/>
    <mergeCell ref="O4:Q4"/>
    <mergeCell ref="S4:U4"/>
  </mergeCells>
  <conditionalFormatting sqref="C9:AG13">
    <cfRule type="expression" priority="1" stopIfTrue="1">
      <formula>C9=""</formula>
    </cfRule>
    <cfRule type="expression" dxfId="4" priority="2" stopIfTrue="1">
      <formula>C9=KeyCustom2</formula>
    </cfRule>
    <cfRule type="expression" dxfId="3" priority="3" stopIfTrue="1">
      <formula>C9=KeyCustom1</formula>
    </cfRule>
    <cfRule type="expression" dxfId="2" priority="4" stopIfTrue="1">
      <formula>C9=KeySick</formula>
    </cfRule>
    <cfRule type="expression" dxfId="1" priority="5" stopIfTrue="1">
      <formula>C9=KeyPersonal</formula>
    </cfRule>
    <cfRule type="expression" dxfId="0" priority="6" stopIfTrue="1">
      <formula>C9=KeyVacation</formula>
    </cfRule>
  </conditionalFormatting>
  <conditionalFormatting sqref="AH9:AH13">
    <cfRule type="dataBar" priority="30">
      <dataBar>
        <cfvo type="min"/>
        <cfvo type="formula" val="DATEDIF(DATE(CalendarYear,2,1),DATE(CalendarYear,3,1),&quot;d&quot;)"/>
        <color theme="2" tint="-0.249977111117893"/>
      </dataBar>
      <extLst>
        <ext xmlns:x14="http://schemas.microsoft.com/office/spreadsheetml/2009/9/main" uri="{B025F937-C7B1-47D3-B67F-A62EFF666E3E}">
          <x14:id>{17586780-365B-4F4C-BBB4-F5991705D361}</x14:id>
        </ext>
      </extLst>
    </cfRule>
  </conditionalFormatting>
  <dataValidations count="14">
    <dataValidation allowBlank="1" showInputMessage="1" showErrorMessage="1" prompt="Automatically updated year based on year entered in January worksheet" sqref="AH6" xr:uid="{F939E1BE-E9C7-DD4A-972C-CB40EF785EA4}"/>
    <dataValidation allowBlank="1" showInputMessage="1" showErrorMessage="1" prompt="Automatically calculates total number of days an employee was absent this month in this column" sqref="AH8" xr:uid="{E810E773-697E-9042-BA14-6FFBF70DB80B}"/>
    <dataValidation allowBlank="1" showInputMessage="1" showErrorMessage="1" prompt="Track December absence in this worksheet" sqref="A1" xr:uid="{00000000-0002-0000-0B00-000002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8" xr:uid="{F25CB198-02E4-9141-B0E1-E7775C53D7BD}"/>
    <dataValidation allowBlank="1" showInputMessage="1" showErrorMessage="1" prompt="The letter &quot;V&quot; indicates absence due to vacation" sqref="C4" xr:uid="{ED4A15C0-8DA5-2043-A297-E9A845742425}"/>
    <dataValidation allowBlank="1" showInputMessage="1" showErrorMessage="1" prompt="The letter &quot;P&quot; indicates absence due to personal reasons" sqref="G4" xr:uid="{7207D7FD-5017-EF42-9569-45A9524170F8}"/>
    <dataValidation allowBlank="1" showInputMessage="1" showErrorMessage="1" prompt="The letter &quot;S&quot; indicates absence due to illness" sqref="K4" xr:uid="{4D084239-C8FB-C046-9230-A15D4D47B694}"/>
    <dataValidation allowBlank="1" showInputMessage="1" showErrorMessage="1" prompt="Enter a letter and customize the label at right to add another key item" sqref="N4 R4" xr:uid="{0DF704A8-DCAE-FA47-8E43-6E8199D9D1C3}"/>
    <dataValidation allowBlank="1" showInputMessage="1" showErrorMessage="1" prompt="Enter a label to describe the custom key at left" sqref="O4:Q4 S4:U4" xr:uid="{FCF8A90C-1CD6-4D49-B950-62F1E1562EA4}"/>
    <dataValidation allowBlank="1" showInputMessage="1" showErrorMessage="1" prompt="Month name for this absence schedule is in this cell. Absence totals for this month are in last cell of the table. Select employee names in table column B" sqref="B2" xr:uid="{00000000-0002-0000-0B00-00000B000000}"/>
    <dataValidation allowBlank="1" showInputMessage="1" showErrorMessage="1" prompt="Days of the month in this row are automatically generated. Enter an employee's absence and absence type in each column for each day of the month. Blank means no absence" sqref="C8" xr:uid="{0482EFB3-0A55-4547-B0F2-69F4B25A0231}"/>
    <dataValidation allowBlank="1" showInputMessage="1" showErrorMessage="1" prompt="Title of the worksheet is in this cell. " sqref="B1" xr:uid="{FDB263A1-B6DC-D444-9FD0-77187D984860}"/>
    <dataValidation allowBlank="1" showInputMessage="1" showErrorMessage="1" prompt="Weekdays in this row are automatically updated for the month according to the year in AH4. Each day of the month is a column to note an employee's absence and absence type" sqref="C7" xr:uid="{CB1E42E3-65E1-5041-91B2-633C92F4BB63}"/>
    <dataValidation allowBlank="1" showInputMessage="1" showErrorMessage="1" prompt="This row defines the keys used in the table: cell C4 is Vacation, G4 is Personal, &amp; K4 is Sick leave. Cells N4 &amp; R4 are customizable " sqref="B4" xr:uid="{7C3D3AA3-51C0-46FC-A6A3-BE2B656A1D6B}"/>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7586780-365B-4F4C-BBB4-F5991705D361}">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E000000}">
          <x14:formula1>
            <xm:f>'Employee names'!$B$4:$B$8</xm:f>
          </x14:formula1>
          <xm:sqref>B9:B13</xm:sqref>
        </x14:dataValidation>
      </x14:dataValidations>
    </ext>
  </extLst>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1"/>
  </sheetPr>
  <dimension ref="B1:B8"/>
  <sheetViews>
    <sheetView showGridLines="0" workbookViewId="0"/>
  </sheetViews>
  <sheetFormatPr defaultColWidth="8.77734375" defaultRowHeight="30" customHeight="1" x14ac:dyDescent="0.3"/>
  <cols>
    <col min="1" max="1" width="2.6640625" customWidth="1"/>
    <col min="2" max="2" width="30.6640625" customWidth="1"/>
    <col min="3" max="3" width="2.6640625" customWidth="1"/>
  </cols>
  <sheetData>
    <row r="1" spans="2:2" ht="49.95" customHeight="1" x14ac:dyDescent="0.45">
      <c r="B1" s="13" t="s">
        <v>64</v>
      </c>
    </row>
    <row r="2" spans="2:2" ht="15" customHeight="1" x14ac:dyDescent="0.3"/>
    <row r="3" spans="2:2" ht="30" customHeight="1" x14ac:dyDescent="0.3">
      <c r="B3" t="s">
        <v>53</v>
      </c>
    </row>
    <row r="4" spans="2:2" ht="30" customHeight="1" x14ac:dyDescent="0.3">
      <c r="B4" s="6" t="s">
        <v>57</v>
      </c>
    </row>
    <row r="5" spans="2:2" ht="30" customHeight="1" x14ac:dyDescent="0.3">
      <c r="B5" s="6" t="s">
        <v>58</v>
      </c>
    </row>
    <row r="6" spans="2:2" ht="30" customHeight="1" x14ac:dyDescent="0.3">
      <c r="B6" s="6" t="s">
        <v>59</v>
      </c>
    </row>
    <row r="7" spans="2:2" ht="30" customHeight="1" x14ac:dyDescent="0.3">
      <c r="B7" s="6" t="s">
        <v>60</v>
      </c>
    </row>
    <row r="8" spans="2:2" ht="30" customHeight="1" x14ac:dyDescent="0.3">
      <c r="B8" s="6" t="s">
        <v>61</v>
      </c>
    </row>
  </sheetData>
  <dataValidations count="2">
    <dataValidation allowBlank="1" showInputMessage="1" showErrorMessage="1" prompt="Enter employee names in the employee name table in this worksheet. These names are used as options in Column B of each month's absence table" sqref="A1" xr:uid="{00000000-0002-0000-0C00-000001000000}"/>
    <dataValidation allowBlank="1" showInputMessage="1" showErrorMessage="1" prompt="Enter employee names in this column" sqref="B3" xr:uid="{00000000-0002-0000-0C00-000002000000}"/>
  </dataValidations>
  <pageMargins left="0.7" right="0.7" top="0.75" bottom="0.75" header="0.3" footer="0.3"/>
  <pageSetup orientation="portrait" horizontalDpi="200" verticalDpi="20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39997558519241921"/>
    <pageSetUpPr fitToPage="1"/>
  </sheetPr>
  <dimension ref="A1:AH14"/>
  <sheetViews>
    <sheetView showGridLines="0" tabSelected="1" zoomScaleNormal="100" workbookViewId="0"/>
  </sheetViews>
  <sheetFormatPr defaultColWidth="8.77734375" defaultRowHeight="30" customHeight="1" x14ac:dyDescent="0.3"/>
  <cols>
    <col min="1" max="1" width="2.6640625" customWidth="1"/>
    <col min="2" max="2" width="25.6640625" customWidth="1"/>
    <col min="3" max="33" width="4.6640625" customWidth="1"/>
    <col min="34" max="34" width="13.44140625" customWidth="1"/>
    <col min="35" max="35" width="2.6640625" customWidth="1"/>
  </cols>
  <sheetData>
    <row r="1" spans="1:34" s="15" customFormat="1" ht="49.95" customHeight="1" x14ac:dyDescent="0.45">
      <c r="A1" s="14"/>
      <c r="B1" s="26" t="s">
        <v>54</v>
      </c>
    </row>
    <row r="2" spans="1:34" s="15" customFormat="1" ht="100.05" customHeight="1" x14ac:dyDescent="0.3">
      <c r="A2"/>
      <c r="B2" s="25" t="s">
        <v>36</v>
      </c>
    </row>
    <row r="3" spans="1:34" s="15" customFormat="1" ht="15" customHeight="1" x14ac:dyDescent="0.3">
      <c r="A3"/>
      <c r="B3" s="10"/>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row>
    <row r="4" spans="1:34" ht="30" customHeight="1" x14ac:dyDescent="0.3">
      <c r="B4" s="8" t="s">
        <v>55</v>
      </c>
      <c r="C4" s="31" t="s">
        <v>32</v>
      </c>
      <c r="D4" s="36" t="s">
        <v>37</v>
      </c>
      <c r="E4" s="36"/>
      <c r="F4" s="36"/>
      <c r="G4" s="29" t="s">
        <v>35</v>
      </c>
      <c r="H4" s="36" t="s">
        <v>38</v>
      </c>
      <c r="I4" s="36"/>
      <c r="J4" s="36"/>
      <c r="K4" s="30" t="s">
        <v>31</v>
      </c>
      <c r="L4" s="36" t="s">
        <v>39</v>
      </c>
      <c r="M4" s="36"/>
      <c r="N4" s="19"/>
      <c r="O4" s="36" t="s">
        <v>40</v>
      </c>
      <c r="P4" s="36"/>
      <c r="Q4" s="36"/>
      <c r="R4" s="20"/>
      <c r="S4" s="36" t="s">
        <v>41</v>
      </c>
      <c r="T4" s="36"/>
      <c r="U4" s="36"/>
    </row>
    <row r="5" spans="1:34" ht="15" customHeight="1" x14ac:dyDescent="0.3">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8"/>
    </row>
    <row r="6" spans="1:34" ht="49.95" customHeight="1" x14ac:dyDescent="0.3">
      <c r="B6" s="7"/>
      <c r="C6" s="35" t="s">
        <v>56</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 ca="1">YEAR(TODAY())</f>
        <v>2024</v>
      </c>
    </row>
    <row r="7" spans="1:34" ht="30" customHeight="1" x14ac:dyDescent="0.3">
      <c r="B7" s="7"/>
      <c r="C7" s="23" t="str">
        <f ca="1">TEXT(WEEKDAY(DATE(CalendarYear,1,1),1),"aaa")</f>
        <v>Mon</v>
      </c>
      <c r="D7" s="23" t="str">
        <f ca="1">TEXT(WEEKDAY(DATE(CalendarYear,1,2),1),"aaa")</f>
        <v>Tue</v>
      </c>
      <c r="E7" s="23" t="str">
        <f ca="1">TEXT(WEEKDAY(DATE(CalendarYear,1,3),1),"aaa")</f>
        <v>Wed</v>
      </c>
      <c r="F7" s="23" t="str">
        <f ca="1">TEXT(WEEKDAY(DATE(CalendarYear,1,4),1),"aaa")</f>
        <v>Thu</v>
      </c>
      <c r="G7" s="23" t="str">
        <f ca="1">TEXT(WEEKDAY(DATE(CalendarYear,1,5),1),"aaa")</f>
        <v>Fri</v>
      </c>
      <c r="H7" s="23" t="str">
        <f ca="1">TEXT(WEEKDAY(DATE(CalendarYear,1,6),1),"aaa")</f>
        <v>Sat</v>
      </c>
      <c r="I7" s="23" t="str">
        <f ca="1">TEXT(WEEKDAY(DATE(CalendarYear,1,7),1),"aaa")</f>
        <v>Sun</v>
      </c>
      <c r="J7" s="23" t="str">
        <f ca="1">TEXT(WEEKDAY(DATE(CalendarYear,1,8),1),"aaa")</f>
        <v>Mon</v>
      </c>
      <c r="K7" s="23" t="str">
        <f ca="1">TEXT(WEEKDAY(DATE(CalendarYear,1,9),1),"aaa")</f>
        <v>Tue</v>
      </c>
      <c r="L7" s="23" t="str">
        <f ca="1">TEXT(WEEKDAY(DATE(CalendarYear,1,10),1),"aaa")</f>
        <v>Wed</v>
      </c>
      <c r="M7" s="23" t="str">
        <f ca="1">TEXT(WEEKDAY(DATE(CalendarYear,1,11),1),"aaa")</f>
        <v>Thu</v>
      </c>
      <c r="N7" s="23" t="str">
        <f ca="1">TEXT(WEEKDAY(DATE(CalendarYear,1,12),1),"aaa")</f>
        <v>Fri</v>
      </c>
      <c r="O7" s="23" t="str">
        <f ca="1">TEXT(WEEKDAY(DATE(CalendarYear,1,13),1),"aaa")</f>
        <v>Sat</v>
      </c>
      <c r="P7" s="23" t="str">
        <f ca="1">TEXT(WEEKDAY(DATE(CalendarYear,1,14),1),"aaa")</f>
        <v>Sun</v>
      </c>
      <c r="Q7" s="23" t="str">
        <f ca="1">TEXT(WEEKDAY(DATE(CalendarYear,1,15),1),"aaa")</f>
        <v>Mon</v>
      </c>
      <c r="R7" s="23" t="str">
        <f ca="1">TEXT(WEEKDAY(DATE(CalendarYear,1,16),1),"aaa")</f>
        <v>Tue</v>
      </c>
      <c r="S7" s="23" t="str">
        <f ca="1">TEXT(WEEKDAY(DATE(CalendarYear,1,17),1),"aaa")</f>
        <v>Wed</v>
      </c>
      <c r="T7" s="23" t="str">
        <f ca="1">TEXT(WEEKDAY(DATE(CalendarYear,1,18),1),"aaa")</f>
        <v>Thu</v>
      </c>
      <c r="U7" s="23" t="str">
        <f ca="1">TEXT(WEEKDAY(DATE(CalendarYear,1,19),1),"aaa")</f>
        <v>Fri</v>
      </c>
      <c r="V7" s="23" t="str">
        <f ca="1">TEXT(WEEKDAY(DATE(CalendarYear,1,20),1),"aaa")</f>
        <v>Sat</v>
      </c>
      <c r="W7" s="23" t="str">
        <f ca="1">TEXT(WEEKDAY(DATE(CalendarYear,1,21),1),"aaa")</f>
        <v>Sun</v>
      </c>
      <c r="X7" s="23" t="str">
        <f ca="1">TEXT(WEEKDAY(DATE(CalendarYear,1,22),1),"aaa")</f>
        <v>Mon</v>
      </c>
      <c r="Y7" s="23" t="str">
        <f ca="1">TEXT(WEEKDAY(DATE(CalendarYear,1,23),1),"aaa")</f>
        <v>Tue</v>
      </c>
      <c r="Z7" s="23" t="str">
        <f ca="1">TEXT(WEEKDAY(DATE(CalendarYear,1,24),1),"aaa")</f>
        <v>Wed</v>
      </c>
      <c r="AA7" s="23" t="str">
        <f ca="1">TEXT(WEEKDAY(DATE(CalendarYear,1,25),1),"aaa")</f>
        <v>Thu</v>
      </c>
      <c r="AB7" s="23" t="str">
        <f ca="1">TEXT(WEEKDAY(DATE(CalendarYear,1,26),1),"aaa")</f>
        <v>Fri</v>
      </c>
      <c r="AC7" s="23" t="str">
        <f ca="1">TEXT(WEEKDAY(DATE(CalendarYear,1,27),1),"aaa")</f>
        <v>Sat</v>
      </c>
      <c r="AD7" s="23" t="str">
        <f ca="1">TEXT(WEEKDAY(DATE(CalendarYear,1,28),1),"aaa")</f>
        <v>Sun</v>
      </c>
      <c r="AE7" s="23" t="str">
        <f ca="1">TEXT(WEEKDAY(DATE(CalendarYear,1,29),1),"aaa")</f>
        <v>Mon</v>
      </c>
      <c r="AF7" s="23" t="str">
        <f ca="1">TEXT(WEEKDAY(DATE(CalendarYear,1,30),1),"aaa")</f>
        <v>Tue</v>
      </c>
      <c r="AG7" s="23" t="str">
        <f ca="1">TEXT(WEEKDAY(DATE(CalendarYear,1,31),1),"aaa")</f>
        <v>Wed</v>
      </c>
      <c r="AH7" s="7"/>
    </row>
    <row r="8" spans="1:34" ht="30" customHeight="1" x14ac:dyDescent="0.3">
      <c r="B8" s="22" t="s">
        <v>62</v>
      </c>
      <c r="C8" s="1" t="s">
        <v>0</v>
      </c>
      <c r="D8" s="1" t="s">
        <v>1</v>
      </c>
      <c r="E8" s="1" t="s">
        <v>2</v>
      </c>
      <c r="F8" s="1" t="s">
        <v>3</v>
      </c>
      <c r="G8" s="1" t="s">
        <v>4</v>
      </c>
      <c r="H8" s="1" t="s">
        <v>5</v>
      </c>
      <c r="I8" s="1" t="s">
        <v>6</v>
      </c>
      <c r="J8" s="1" t="s">
        <v>7</v>
      </c>
      <c r="K8" s="1" t="s">
        <v>8</v>
      </c>
      <c r="L8" s="1" t="s">
        <v>9</v>
      </c>
      <c r="M8" s="1" t="s">
        <v>10</v>
      </c>
      <c r="N8" s="1" t="s">
        <v>11</v>
      </c>
      <c r="O8" s="1" t="s">
        <v>12</v>
      </c>
      <c r="P8" s="1" t="s">
        <v>13</v>
      </c>
      <c r="Q8" s="1" t="s">
        <v>14</v>
      </c>
      <c r="R8" s="1" t="s">
        <v>15</v>
      </c>
      <c r="S8" s="1" t="s">
        <v>16</v>
      </c>
      <c r="T8" s="1" t="s">
        <v>17</v>
      </c>
      <c r="U8" s="1" t="s">
        <v>18</v>
      </c>
      <c r="V8" s="1" t="s">
        <v>19</v>
      </c>
      <c r="W8" s="1" t="s">
        <v>20</v>
      </c>
      <c r="X8" s="1" t="s">
        <v>21</v>
      </c>
      <c r="Y8" s="1" t="s">
        <v>22</v>
      </c>
      <c r="Z8" s="1" t="s">
        <v>23</v>
      </c>
      <c r="AA8" s="1" t="s">
        <v>24</v>
      </c>
      <c r="AB8" s="1" t="s">
        <v>25</v>
      </c>
      <c r="AC8" s="1" t="s">
        <v>26</v>
      </c>
      <c r="AD8" s="1" t="s">
        <v>27</v>
      </c>
      <c r="AE8" s="1" t="s">
        <v>28</v>
      </c>
      <c r="AF8" s="1" t="s">
        <v>29</v>
      </c>
      <c r="AG8" s="1" t="s">
        <v>30</v>
      </c>
      <c r="AH8" s="24" t="s">
        <v>63</v>
      </c>
    </row>
    <row r="9" spans="1:34" ht="30" customHeight="1" x14ac:dyDescent="0.3">
      <c r="B9" s="2" t="s">
        <v>57</v>
      </c>
      <c r="C9" s="1"/>
      <c r="D9" s="1"/>
      <c r="E9" s="21" t="s">
        <v>32</v>
      </c>
      <c r="F9" s="21" t="s">
        <v>32</v>
      </c>
      <c r="G9" s="21" t="s">
        <v>32</v>
      </c>
      <c r="H9" s="21" t="s">
        <v>32</v>
      </c>
      <c r="I9" s="1"/>
      <c r="J9" s="1"/>
      <c r="K9" s="1"/>
      <c r="L9" s="1"/>
      <c r="M9" s="1"/>
      <c r="N9" s="1"/>
      <c r="O9" s="1" t="s">
        <v>32</v>
      </c>
      <c r="P9" s="1"/>
      <c r="Q9" s="1"/>
      <c r="R9" s="1"/>
      <c r="S9" s="1"/>
      <c r="T9" s="1"/>
      <c r="U9" s="1"/>
      <c r="V9" s="1"/>
      <c r="W9" s="1"/>
      <c r="X9" s="1"/>
      <c r="Y9" s="1"/>
      <c r="Z9" s="1"/>
      <c r="AA9" s="1"/>
      <c r="AB9" s="1"/>
      <c r="AC9" s="1"/>
      <c r="AD9" s="1"/>
      <c r="AE9" s="1"/>
      <c r="AF9" s="1"/>
      <c r="AG9" s="1"/>
      <c r="AH9" s="3">
        <f>COUNTA(January!$C9:$AG9)</f>
        <v>5</v>
      </c>
    </row>
    <row r="10" spans="1:34" ht="30" customHeight="1" x14ac:dyDescent="0.3">
      <c r="B10" s="2" t="s">
        <v>58</v>
      </c>
      <c r="C10" s="1"/>
      <c r="D10" s="1"/>
      <c r="E10" s="1"/>
      <c r="F10" s="1"/>
      <c r="G10" s="1" t="s">
        <v>31</v>
      </c>
      <c r="H10" s="1" t="s">
        <v>31</v>
      </c>
      <c r="I10" s="1"/>
      <c r="J10" s="1"/>
      <c r="K10" s="1"/>
      <c r="L10" s="1"/>
      <c r="M10" s="1" t="s">
        <v>35</v>
      </c>
      <c r="N10" s="1"/>
      <c r="O10" s="1"/>
      <c r="P10" s="1"/>
      <c r="Q10" s="1"/>
      <c r="R10" s="1"/>
      <c r="S10" s="1"/>
      <c r="T10" s="1"/>
      <c r="U10" s="1"/>
      <c r="V10" s="1" t="s">
        <v>31</v>
      </c>
      <c r="W10" s="1"/>
      <c r="X10" s="1"/>
      <c r="Y10" s="1"/>
      <c r="Z10" s="1"/>
      <c r="AA10" s="1" t="s">
        <v>32</v>
      </c>
      <c r="AB10" s="1" t="s">
        <v>32</v>
      </c>
      <c r="AC10" s="1" t="s">
        <v>32</v>
      </c>
      <c r="AD10" s="1"/>
      <c r="AE10" s="1"/>
      <c r="AF10" s="1"/>
      <c r="AG10" s="1"/>
      <c r="AH10" s="3">
        <f>COUNTA(January!$C10:$AG10)</f>
        <v>7</v>
      </c>
    </row>
    <row r="11" spans="1:34" ht="30" customHeight="1" x14ac:dyDescent="0.3">
      <c r="B11" s="2" t="s">
        <v>59</v>
      </c>
      <c r="C11" s="1"/>
      <c r="D11" s="1"/>
      <c r="E11" s="1" t="s">
        <v>35</v>
      </c>
      <c r="F11" s="1"/>
      <c r="G11" s="1"/>
      <c r="H11" s="1"/>
      <c r="I11" s="1"/>
      <c r="J11" s="1"/>
      <c r="K11" s="1"/>
      <c r="L11" s="1"/>
      <c r="M11" s="1"/>
      <c r="N11" s="1"/>
      <c r="O11" s="1"/>
      <c r="P11" s="1" t="s">
        <v>31</v>
      </c>
      <c r="Q11" s="1"/>
      <c r="R11" s="1"/>
      <c r="S11" s="1"/>
      <c r="T11" s="1"/>
      <c r="U11" s="1"/>
      <c r="V11" s="1"/>
      <c r="W11" s="1"/>
      <c r="X11" s="1"/>
      <c r="Y11" s="1"/>
      <c r="Z11" s="1"/>
      <c r="AA11" s="1"/>
      <c r="AB11" s="1"/>
      <c r="AC11" s="1"/>
      <c r="AD11" s="1"/>
      <c r="AE11" s="1" t="s">
        <v>31</v>
      </c>
      <c r="AF11" s="1"/>
      <c r="AG11" s="1"/>
      <c r="AH11" s="3">
        <f>COUNTA(January!$C11:$AG11)</f>
        <v>3</v>
      </c>
    </row>
    <row r="12" spans="1:34" ht="30" customHeight="1" x14ac:dyDescent="0.3">
      <c r="B12" s="2" t="s">
        <v>60</v>
      </c>
      <c r="C12" s="1"/>
      <c r="D12" s="1"/>
      <c r="E12" s="1"/>
      <c r="F12" s="1"/>
      <c r="G12" s="1"/>
      <c r="H12" s="1"/>
      <c r="I12" s="1" t="s">
        <v>35</v>
      </c>
      <c r="J12" s="1"/>
      <c r="K12" s="1"/>
      <c r="L12" s="1"/>
      <c r="M12" s="1"/>
      <c r="N12" s="1"/>
      <c r="O12" s="1"/>
      <c r="P12" s="1"/>
      <c r="Q12" s="1"/>
      <c r="R12" s="1"/>
      <c r="S12" s="1"/>
      <c r="T12" s="1"/>
      <c r="U12" s="1" t="s">
        <v>32</v>
      </c>
      <c r="V12" s="1" t="s">
        <v>32</v>
      </c>
      <c r="W12" s="1" t="s">
        <v>32</v>
      </c>
      <c r="X12" s="1"/>
      <c r="Y12" s="1"/>
      <c r="Z12" s="1"/>
      <c r="AA12" s="1"/>
      <c r="AB12" s="1"/>
      <c r="AC12" s="1"/>
      <c r="AD12" s="1"/>
      <c r="AE12" s="1"/>
      <c r="AF12" s="1"/>
      <c r="AG12" s="1"/>
      <c r="AH12" s="3">
        <f>COUNTA(January!$C12:$AG12)</f>
        <v>4</v>
      </c>
    </row>
    <row r="13" spans="1:34" ht="30" customHeight="1" x14ac:dyDescent="0.3">
      <c r="B13" s="2" t="s">
        <v>61</v>
      </c>
      <c r="C13" s="1"/>
      <c r="D13" s="1"/>
      <c r="E13" s="1"/>
      <c r="F13" s="1" t="s">
        <v>31</v>
      </c>
      <c r="G13" s="1" t="s">
        <v>32</v>
      </c>
      <c r="H13" s="1" t="s">
        <v>32</v>
      </c>
      <c r="I13" s="1"/>
      <c r="J13" s="1"/>
      <c r="K13" s="1"/>
      <c r="L13" s="1"/>
      <c r="M13" s="1"/>
      <c r="N13" s="1"/>
      <c r="O13" s="1"/>
      <c r="P13" s="1"/>
      <c r="Q13" s="1"/>
      <c r="R13" s="1"/>
      <c r="S13" s="1" t="s">
        <v>31</v>
      </c>
      <c r="T13" s="1"/>
      <c r="U13" s="1"/>
      <c r="V13" s="1"/>
      <c r="W13" s="1"/>
      <c r="X13" s="1"/>
      <c r="Y13" s="1"/>
      <c r="Z13" s="1" t="s">
        <v>31</v>
      </c>
      <c r="AA13" s="1"/>
      <c r="AB13" s="1"/>
      <c r="AC13" s="1"/>
      <c r="AD13" s="1"/>
      <c r="AE13" s="1"/>
      <c r="AF13" s="1"/>
      <c r="AG13" s="1" t="s">
        <v>32</v>
      </c>
      <c r="AH13" s="3">
        <f>COUNTA(January!$C13:$AG13)</f>
        <v>6</v>
      </c>
    </row>
    <row r="14" spans="1:34" ht="30" customHeight="1" x14ac:dyDescent="0.3">
      <c r="B14" s="5" t="str">
        <f>MonthName&amp;" total"</f>
        <v>January total</v>
      </c>
      <c r="C14" s="4">
        <f>SUBTOTAL(103,January!$C$9:$C$13)</f>
        <v>0</v>
      </c>
      <c r="D14" s="4">
        <f>SUBTOTAL(103,January!$D$9:$D$13)</f>
        <v>0</v>
      </c>
      <c r="E14" s="4">
        <f>SUBTOTAL(103,January!$E$9:$E$13)</f>
        <v>2</v>
      </c>
      <c r="F14" s="4">
        <f>SUBTOTAL(103,January!$F$9:$F$13)</f>
        <v>2</v>
      </c>
      <c r="G14" s="4">
        <f>SUBTOTAL(103,January!$G$9:$G$13)</f>
        <v>3</v>
      </c>
      <c r="H14" s="4">
        <f>SUBTOTAL(103,January!$H$9:$H$13)</f>
        <v>3</v>
      </c>
      <c r="I14" s="4">
        <f>SUBTOTAL(103,January!$I$9:$I$13)</f>
        <v>1</v>
      </c>
      <c r="J14" s="4">
        <f>SUBTOTAL(103,January!$J$9:$J$13)</f>
        <v>0</v>
      </c>
      <c r="K14" s="4">
        <f>SUBTOTAL(103,January!$K$9:$K$13)</f>
        <v>0</v>
      </c>
      <c r="L14" s="4">
        <f>SUBTOTAL(103,January!$L$9:$L$13)</f>
        <v>0</v>
      </c>
      <c r="M14" s="4">
        <f>SUBTOTAL(103,January!$M$9:$M$13)</f>
        <v>1</v>
      </c>
      <c r="N14" s="4">
        <f>SUBTOTAL(103,January!$N$9:$N$13)</f>
        <v>0</v>
      </c>
      <c r="O14" s="4">
        <f>SUBTOTAL(103,January!$O$9:$O$13)</f>
        <v>1</v>
      </c>
      <c r="P14" s="4">
        <f>SUBTOTAL(103,January!$P$9:$P$13)</f>
        <v>1</v>
      </c>
      <c r="Q14" s="4">
        <f>SUBTOTAL(103,January!$Q$9:$Q$13)</f>
        <v>0</v>
      </c>
      <c r="R14" s="4">
        <f>SUBTOTAL(103,January!$R$9:$R$13)</f>
        <v>0</v>
      </c>
      <c r="S14" s="4">
        <f>SUBTOTAL(103,January!$S$9:$S$13)</f>
        <v>1</v>
      </c>
      <c r="T14" s="4">
        <f>SUBTOTAL(103,January!$T$9:$T$13)</f>
        <v>0</v>
      </c>
      <c r="U14" s="4">
        <f>SUBTOTAL(103,January!$U$9:$U$13)</f>
        <v>1</v>
      </c>
      <c r="V14" s="4">
        <f>SUBTOTAL(103,January!$V$9:$V$13)</f>
        <v>2</v>
      </c>
      <c r="W14" s="4">
        <f>SUBTOTAL(103,January!$W$9:$W$13)</f>
        <v>1</v>
      </c>
      <c r="X14" s="4">
        <f>SUBTOTAL(103,January!$X$9:$X$13)</f>
        <v>0</v>
      </c>
      <c r="Y14" s="4">
        <f>SUBTOTAL(103,January!$Y$9:$Y$13)</f>
        <v>0</v>
      </c>
      <c r="Z14" s="4">
        <f>SUBTOTAL(103,January!$Z$9:$Z$13)</f>
        <v>1</v>
      </c>
      <c r="AA14" s="4">
        <f>SUBTOTAL(103,January!$AA$9:$AA$13)</f>
        <v>1</v>
      </c>
      <c r="AB14" s="4">
        <f>SUBTOTAL(103,January!$AB$9:$AB$13)</f>
        <v>1</v>
      </c>
      <c r="AC14" s="4">
        <f>SUBTOTAL(103,January!$AC$9:$AC$13)</f>
        <v>1</v>
      </c>
      <c r="AD14" s="4">
        <f>SUBTOTAL(103,January!$AD$9:$AD$13)</f>
        <v>0</v>
      </c>
      <c r="AE14" s="4">
        <f>SUBTOTAL(103,January!$AE$9:$AE$13)</f>
        <v>1</v>
      </c>
      <c r="AF14" s="4">
        <f>SUBTOTAL(103,January!$AF$9:$AF$13)</f>
        <v>0</v>
      </c>
      <c r="AG14" s="4">
        <f>SUBTOTAL(103,January!$AG$9:$AG$13)</f>
        <v>1</v>
      </c>
      <c r="AH14" s="4">
        <f>SUBTOTAL(109,January[Total days])</f>
        <v>25</v>
      </c>
    </row>
  </sheetData>
  <mergeCells count="6">
    <mergeCell ref="C6:AG6"/>
    <mergeCell ref="D4:F4"/>
    <mergeCell ref="H4:J4"/>
    <mergeCell ref="L4:M4"/>
    <mergeCell ref="O4:Q4"/>
    <mergeCell ref="S4:U4"/>
  </mergeCells>
  <conditionalFormatting sqref="C9:AG13">
    <cfRule type="expression" priority="3" stopIfTrue="1">
      <formula>C9=""</formula>
    </cfRule>
    <cfRule type="expression" dxfId="61" priority="8" stopIfTrue="1">
      <formula>C9=KeyCustom2</formula>
    </cfRule>
    <cfRule type="expression" dxfId="60" priority="9" stopIfTrue="1">
      <formula>C9=KeyCustom1</formula>
    </cfRule>
    <cfRule type="expression" dxfId="59" priority="10" stopIfTrue="1">
      <formula>C9=KeySick</formula>
    </cfRule>
    <cfRule type="expression" dxfId="58" priority="11" stopIfTrue="1">
      <formula>C9=KeyPersonal</formula>
    </cfRule>
    <cfRule type="expression" dxfId="57" priority="12" stopIfTrue="1">
      <formula>C9=KeyVacation</formula>
    </cfRule>
  </conditionalFormatting>
  <conditionalFormatting sqref="AH9:AH13">
    <cfRule type="dataBar" priority="170">
      <dataBar>
        <cfvo type="num" val="0"/>
        <cfvo type="num" val="31"/>
        <color theme="4"/>
      </dataBar>
      <extLst>
        <ext xmlns:x14="http://schemas.microsoft.com/office/spreadsheetml/2009/9/main" uri="{B025F937-C7B1-47D3-B67F-A62EFF666E3E}">
          <x14:id>{ECCE2C3C-1B01-4700-B60E-DAAAB19A9C1A}</x14:id>
        </ext>
      </extLst>
    </cfRule>
  </conditionalFormatting>
  <dataValidations count="16">
    <dataValidation allowBlank="1" showInputMessage="1" showErrorMessage="1" prompt="Days of the month in this row are automatically generated. Enter an employee's absence and absence type in each column for each day of the month. Blank means no absence" sqref="C8" xr:uid="{FAB55708-481E-2E48-9F66-3C8E8545F6B0}"/>
    <dataValidation allowBlank="1" showInputMessage="1" showErrorMessage="1" prompt="The letter &quot;V&quot; indicates absence due to vacation" sqref="C4" xr:uid="{9058FE4E-B17F-E943-9A83-5582DE92BDB6}"/>
    <dataValidation allowBlank="1" showInputMessage="1" showErrorMessage="1" prompt="The letter &quot;P&quot; indicates absence due to personal reasons" sqref="G4" xr:uid="{C4744D51-42B4-0342-B86A-BE9D6063B807}"/>
    <dataValidation allowBlank="1" showInputMessage="1" showErrorMessage="1" prompt="The letter &quot;S&quot; indicates absence due to illness" sqref="K4" xr:uid="{EBA2AA00-2D66-0547-8889-4D34A2A72241}"/>
    <dataValidation allowBlank="1" showInputMessage="1" showErrorMessage="1" prompt="Enter a letter and customize the label at right to add another key item" sqref="N4 R4" xr:uid="{FEABEF84-83D3-7D42-BA7C-926AE09CBA1E}"/>
    <dataValidation allowBlank="1" showInputMessage="1" showErrorMessage="1" prompt="Enter a label to describe the custom key at left" sqref="O4:Q4 S4:U4" xr:uid="{12884A59-5F75-0848-A6CD-363E691B1D2A}"/>
    <dataValidation allowBlank="1" showInputMessage="1" showErrorMessage="1" prompt="Employee Absence Schedule tracks employee absence by days for each month. There are 13 worksheets, 12 monthly &amp; last one for employee names. Track January absence in this worksheet" sqref="A1" xr:uid="{00000000-0002-0000-0000-00000D000000}"/>
    <dataValidation allowBlank="1" showInputMessage="1" showErrorMessage="1" prompt="Enter year in the cell below" sqref="AH5" xr:uid="{00000000-0002-0000-0000-00000E000000}"/>
    <dataValidation allowBlank="1" showInputMessage="1" showErrorMessage="1" prompt="Month name for this absence schedule is in this cell. Absence totals for this month are in last cell of the table. Select employee names in table column B" sqref="B2" xr:uid="{DF4494D1-42F6-BB47-AFAB-18021A3441AC}"/>
    <dataValidation allowBlank="1" showInputMessage="1" showErrorMessage="1" prompt="Automatically updated title is in this cell. To modify the title, update B1 on January worksheet" sqref="B2" xr:uid="{20FFCBA6-5698-4E4B-9E75-1B2FD678A862}"/>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8" xr:uid="{FE3C1916-A13B-EF44-83B6-EF87C12834B2}"/>
    <dataValidation allowBlank="1" showInputMessage="1" showErrorMessage="1" prompt="Automatically calculates total number of days an employee was absent this month in this column" sqref="AH8" xr:uid="{17D68424-3ED0-774F-A440-37779B4905D7}"/>
    <dataValidation allowBlank="1" showInputMessage="1" showErrorMessage="1" prompt="Enter year in this cell" sqref="AH6" xr:uid="{00000000-0002-0000-0000-000000000000}"/>
    <dataValidation allowBlank="1" showInputMessage="1" showErrorMessage="1" prompt="Weekdays in this row are automatically updated for the month according to the year in AH4. Each day of the month is a column to note an employee's absence and absence type" sqref="C7" xr:uid="{F6CAA384-C773-F044-845D-980CB65F95B2}"/>
    <dataValidation allowBlank="1" showInputMessage="1" showErrorMessage="1" prompt="This row defines the keys used in the table: cell C4 is Vacation, G4 is Personal, &amp; K4 is Sick leave. Cells N4 &amp; R4 are customizable " sqref="B4" xr:uid="{254C5299-B8DC-4E28-AD10-F93B45AED253}"/>
    <dataValidation allowBlank="1" showInputMessage="1" showErrorMessage="1" prompt="Title of the worksheet is in this cell. " sqref="B1" xr:uid="{F61E6882-FE5C-43CD-B756-4B881652736D}"/>
  </dataValidations>
  <printOptions horizontalCentered="1"/>
  <pageMargins left="0.25" right="0.25" top="0.75" bottom="0.75" header="0.3" footer="0.3"/>
  <pageSetup scale="7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CCE2C3C-1B01-4700-B60E-DAAAB19A9C1A}">
            <x14:dataBar minLength="0" maxLength="100" gradient="0">
              <x14:cfvo type="num">
                <xm:f>0</xm:f>
              </x14:cfvo>
              <x14:cfvo type="num">
                <xm:f>31</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F000000}">
          <x14:formula1>
            <xm:f>'Employee names'!$B$4:$B$8</xm:f>
          </x14:formula1>
          <xm:sqref>B9:B13</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39997558519241921"/>
    <pageSetUpPr fitToPage="1"/>
  </sheetPr>
  <dimension ref="A1:AH14"/>
  <sheetViews>
    <sheetView showGridLines="0" zoomScaleNormal="100" workbookViewId="0"/>
  </sheetViews>
  <sheetFormatPr defaultColWidth="9.109375" defaultRowHeight="30" customHeight="1" x14ac:dyDescent="0.3"/>
  <cols>
    <col min="1" max="1" width="2.6640625" customWidth="1"/>
    <col min="2" max="2" width="25.6640625" customWidth="1"/>
    <col min="3" max="33" width="4.6640625" customWidth="1"/>
    <col min="34" max="34" width="13.44140625" customWidth="1"/>
    <col min="35" max="35" width="2.6640625" customWidth="1"/>
  </cols>
  <sheetData>
    <row r="1" spans="1:34" ht="49.95" customHeight="1" x14ac:dyDescent="0.45">
      <c r="B1" s="26" t="s">
        <v>54</v>
      </c>
    </row>
    <row r="2" spans="1:34" s="12" customFormat="1" ht="100.05" customHeight="1" x14ac:dyDescent="0.3">
      <c r="A2"/>
      <c r="B2" s="25" t="s">
        <v>42</v>
      </c>
    </row>
    <row r="3" spans="1:34" ht="15" customHeight="1" x14ac:dyDescent="0.3">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ht="30" customHeight="1" x14ac:dyDescent="0.3">
      <c r="B4" s="8" t="s">
        <v>55</v>
      </c>
      <c r="C4" s="31" t="s">
        <v>32</v>
      </c>
      <c r="D4" s="36" t="s">
        <v>37</v>
      </c>
      <c r="E4" s="36"/>
      <c r="F4" s="36"/>
      <c r="G4" s="29" t="s">
        <v>35</v>
      </c>
      <c r="H4" s="36" t="s">
        <v>38</v>
      </c>
      <c r="I4" s="36"/>
      <c r="J4" s="36"/>
      <c r="K4" s="30" t="s">
        <v>31</v>
      </c>
      <c r="L4" s="36" t="s">
        <v>39</v>
      </c>
      <c r="M4" s="36"/>
      <c r="N4" s="19"/>
      <c r="O4" s="36" t="s">
        <v>40</v>
      </c>
      <c r="P4" s="36"/>
      <c r="Q4" s="36"/>
      <c r="R4" s="20"/>
      <c r="S4" s="36" t="s">
        <v>41</v>
      </c>
      <c r="T4" s="36"/>
      <c r="U4" s="36"/>
    </row>
    <row r="5" spans="1:34" ht="15" customHeight="1" x14ac:dyDescent="0.3">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1:34" ht="49.95" customHeight="1" x14ac:dyDescent="0.3">
      <c r="B6" s="7"/>
      <c r="C6" s="35" t="s">
        <v>56</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 ca="1">CalendarYear</f>
        <v>2024</v>
      </c>
    </row>
    <row r="7" spans="1:34" ht="30" customHeight="1" x14ac:dyDescent="0.3">
      <c r="B7" s="7"/>
      <c r="C7" s="23" t="str">
        <f ca="1">TEXT(WEEKDAY(DATE(CalendarYear,2,1),1),"aaa")</f>
        <v>Thu</v>
      </c>
      <c r="D7" s="23" t="str">
        <f ca="1">TEXT(WEEKDAY(DATE(CalendarYear,2,2),1),"aaa")</f>
        <v>Fri</v>
      </c>
      <c r="E7" s="23" t="str">
        <f ca="1">TEXT(WEEKDAY(DATE(CalendarYear,2,3),1),"aaa")</f>
        <v>Sat</v>
      </c>
      <c r="F7" s="23" t="str">
        <f ca="1">TEXT(WEEKDAY(DATE(CalendarYear,2,4),1),"aaa")</f>
        <v>Sun</v>
      </c>
      <c r="G7" s="23" t="str">
        <f ca="1">TEXT(WEEKDAY(DATE(CalendarYear,2,5),1),"aaa")</f>
        <v>Mon</v>
      </c>
      <c r="H7" s="23" t="str">
        <f ca="1">TEXT(WEEKDAY(DATE(CalendarYear,2,6),1),"aaa")</f>
        <v>Tue</v>
      </c>
      <c r="I7" s="23" t="str">
        <f ca="1">TEXT(WEEKDAY(DATE(CalendarYear,2,7),1),"aaa")</f>
        <v>Wed</v>
      </c>
      <c r="J7" s="23" t="str">
        <f ca="1">TEXT(WEEKDAY(DATE(CalendarYear,2,8),1),"aaa")</f>
        <v>Thu</v>
      </c>
      <c r="K7" s="23" t="str">
        <f ca="1">TEXT(WEEKDAY(DATE(CalendarYear,2,9),1),"aaa")</f>
        <v>Fri</v>
      </c>
      <c r="L7" s="23" t="str">
        <f ca="1">TEXT(WEEKDAY(DATE(CalendarYear,2,10),1),"aaa")</f>
        <v>Sat</v>
      </c>
      <c r="M7" s="23" t="str">
        <f ca="1">TEXT(WEEKDAY(DATE(CalendarYear,2,11),1),"aaa")</f>
        <v>Sun</v>
      </c>
      <c r="N7" s="23" t="str">
        <f ca="1">TEXT(WEEKDAY(DATE(CalendarYear,2,12),1),"aaa")</f>
        <v>Mon</v>
      </c>
      <c r="O7" s="23" t="str">
        <f ca="1">TEXT(WEEKDAY(DATE(CalendarYear,2,13),1),"aaa")</f>
        <v>Tue</v>
      </c>
      <c r="P7" s="23" t="str">
        <f ca="1">TEXT(WEEKDAY(DATE(CalendarYear,2,14),1),"aaa")</f>
        <v>Wed</v>
      </c>
      <c r="Q7" s="23" t="str">
        <f ca="1">TEXT(WEEKDAY(DATE(CalendarYear,2,15),1),"aaa")</f>
        <v>Thu</v>
      </c>
      <c r="R7" s="23" t="str">
        <f ca="1">TEXT(WEEKDAY(DATE(CalendarYear,2,16),1),"aaa")</f>
        <v>Fri</v>
      </c>
      <c r="S7" s="23" t="str">
        <f ca="1">TEXT(WEEKDAY(DATE(CalendarYear,2,17),1),"aaa")</f>
        <v>Sat</v>
      </c>
      <c r="T7" s="23" t="str">
        <f ca="1">TEXT(WEEKDAY(DATE(CalendarYear,2,18),1),"aaa")</f>
        <v>Sun</v>
      </c>
      <c r="U7" s="23" t="str">
        <f ca="1">TEXT(WEEKDAY(DATE(CalendarYear,2,19),1),"aaa")</f>
        <v>Mon</v>
      </c>
      <c r="V7" s="23" t="str">
        <f ca="1">TEXT(WEEKDAY(DATE(CalendarYear,2,20),1),"aaa")</f>
        <v>Tue</v>
      </c>
      <c r="W7" s="23" t="str">
        <f ca="1">TEXT(WEEKDAY(DATE(CalendarYear,2,21),1),"aaa")</f>
        <v>Wed</v>
      </c>
      <c r="X7" s="23" t="str">
        <f ca="1">TEXT(WEEKDAY(DATE(CalendarYear,2,22),1),"aaa")</f>
        <v>Thu</v>
      </c>
      <c r="Y7" s="23" t="str">
        <f ca="1">TEXT(WEEKDAY(DATE(CalendarYear,2,23),1),"aaa")</f>
        <v>Fri</v>
      </c>
      <c r="Z7" s="23" t="str">
        <f ca="1">TEXT(WEEKDAY(DATE(CalendarYear,2,24),1),"aaa")</f>
        <v>Sat</v>
      </c>
      <c r="AA7" s="23" t="str">
        <f ca="1">TEXT(WEEKDAY(DATE(CalendarYear,2,25),1),"aaa")</f>
        <v>Sun</v>
      </c>
      <c r="AB7" s="23" t="str">
        <f ca="1">TEXT(WEEKDAY(DATE(CalendarYear,2,26),1),"aaa")</f>
        <v>Mon</v>
      </c>
      <c r="AC7" s="23" t="str">
        <f ca="1">TEXT(WEEKDAY(DATE(CalendarYear,2,27),1),"aaa")</f>
        <v>Tue</v>
      </c>
      <c r="AD7" s="23" t="str">
        <f ca="1">TEXT(WEEKDAY(DATE(CalendarYear,2,28),1),"aaa")</f>
        <v>Wed</v>
      </c>
      <c r="AE7" s="23" t="str">
        <f ca="1">TEXT(WEEKDAY(DATE(CalendarYear,2,29),1),"aaa")</f>
        <v>Thu</v>
      </c>
      <c r="AF7" s="23"/>
      <c r="AG7" s="23"/>
      <c r="AH7" s="7"/>
    </row>
    <row r="8" spans="1:34" ht="30" customHeight="1" x14ac:dyDescent="0.3">
      <c r="B8" s="22" t="s">
        <v>62</v>
      </c>
      <c r="C8" s="1" t="s">
        <v>0</v>
      </c>
      <c r="D8" s="1" t="s">
        <v>1</v>
      </c>
      <c r="E8" s="1" t="s">
        <v>2</v>
      </c>
      <c r="F8" s="1" t="s">
        <v>3</v>
      </c>
      <c r="G8" s="1" t="s">
        <v>4</v>
      </c>
      <c r="H8" s="1" t="s">
        <v>5</v>
      </c>
      <c r="I8" s="1" t="s">
        <v>6</v>
      </c>
      <c r="J8" s="1" t="s">
        <v>7</v>
      </c>
      <c r="K8" s="1" t="s">
        <v>8</v>
      </c>
      <c r="L8" s="1" t="s">
        <v>9</v>
      </c>
      <c r="M8" s="1" t="s">
        <v>10</v>
      </c>
      <c r="N8" s="1" t="s">
        <v>11</v>
      </c>
      <c r="O8" s="1" t="s">
        <v>12</v>
      </c>
      <c r="P8" s="1" t="s">
        <v>13</v>
      </c>
      <c r="Q8" s="1" t="s">
        <v>14</v>
      </c>
      <c r="R8" s="1" t="s">
        <v>15</v>
      </c>
      <c r="S8" s="1" t="s">
        <v>16</v>
      </c>
      <c r="T8" s="1" t="s">
        <v>17</v>
      </c>
      <c r="U8" s="1" t="s">
        <v>18</v>
      </c>
      <c r="V8" s="1" t="s">
        <v>19</v>
      </c>
      <c r="W8" s="1" t="s">
        <v>20</v>
      </c>
      <c r="X8" s="1" t="s">
        <v>21</v>
      </c>
      <c r="Y8" s="1" t="s">
        <v>22</v>
      </c>
      <c r="Z8" s="1" t="s">
        <v>23</v>
      </c>
      <c r="AA8" s="1" t="s">
        <v>24</v>
      </c>
      <c r="AB8" s="1" t="s">
        <v>25</v>
      </c>
      <c r="AC8" s="1" t="s">
        <v>26</v>
      </c>
      <c r="AD8" s="1" t="s">
        <v>27</v>
      </c>
      <c r="AE8" s="1" t="s">
        <v>28</v>
      </c>
      <c r="AF8" s="1" t="s">
        <v>33</v>
      </c>
      <c r="AG8" s="1" t="s">
        <v>34</v>
      </c>
      <c r="AH8" s="24" t="s">
        <v>63</v>
      </c>
    </row>
    <row r="9" spans="1:34" ht="30" customHeight="1" x14ac:dyDescent="0.3">
      <c r="B9" s="2" t="s">
        <v>57</v>
      </c>
      <c r="C9" s="21"/>
      <c r="D9" s="21"/>
      <c r="E9" s="21" t="s">
        <v>32</v>
      </c>
      <c r="F9" s="21" t="s">
        <v>32</v>
      </c>
      <c r="G9" s="21" t="s">
        <v>32</v>
      </c>
      <c r="H9" s="21" t="s">
        <v>32</v>
      </c>
      <c r="I9" s="21"/>
      <c r="J9" s="21"/>
      <c r="K9" s="21"/>
      <c r="L9" s="21"/>
      <c r="M9" s="21"/>
      <c r="N9" s="21"/>
      <c r="O9" s="21" t="s">
        <v>32</v>
      </c>
      <c r="P9" s="21"/>
      <c r="Q9" s="21"/>
      <c r="R9" s="21"/>
      <c r="S9" s="21"/>
      <c r="T9" s="21"/>
      <c r="U9" s="21"/>
      <c r="V9" s="21"/>
      <c r="W9" s="21"/>
      <c r="X9" s="21"/>
      <c r="Y9" s="21"/>
      <c r="Z9" s="21"/>
      <c r="AA9" s="21"/>
      <c r="AB9" s="21"/>
      <c r="AC9" s="21"/>
      <c r="AD9" s="21"/>
      <c r="AE9" s="21"/>
      <c r="AF9" s="21"/>
      <c r="AG9" s="21"/>
      <c r="AH9" s="3">
        <f>COUNTA(February[[#This Row],[1]:[29]])</f>
        <v>5</v>
      </c>
    </row>
    <row r="10" spans="1:34" ht="30" customHeight="1" x14ac:dyDescent="0.3">
      <c r="B10" s="2" t="s">
        <v>58</v>
      </c>
      <c r="C10" s="21"/>
      <c r="D10" s="21"/>
      <c r="E10" s="21"/>
      <c r="F10" s="21"/>
      <c r="G10" s="21" t="s">
        <v>31</v>
      </c>
      <c r="H10" s="21" t="s">
        <v>31</v>
      </c>
      <c r="I10" s="21"/>
      <c r="J10" s="21"/>
      <c r="K10" s="21"/>
      <c r="L10" s="21"/>
      <c r="M10" s="21" t="s">
        <v>35</v>
      </c>
      <c r="N10" s="21"/>
      <c r="O10" s="21"/>
      <c r="P10" s="21"/>
      <c r="Q10" s="21"/>
      <c r="R10" s="21"/>
      <c r="S10" s="21"/>
      <c r="T10" s="21"/>
      <c r="U10" s="21"/>
      <c r="V10" s="21" t="s">
        <v>31</v>
      </c>
      <c r="W10" s="21"/>
      <c r="X10" s="21"/>
      <c r="Y10" s="21"/>
      <c r="Z10" s="21"/>
      <c r="AA10" s="21" t="s">
        <v>32</v>
      </c>
      <c r="AB10" s="21" t="s">
        <v>32</v>
      </c>
      <c r="AC10" s="21" t="s">
        <v>32</v>
      </c>
      <c r="AD10" s="21"/>
      <c r="AE10" s="21"/>
      <c r="AF10" s="21"/>
      <c r="AG10" s="21"/>
      <c r="AH10" s="3">
        <f>COUNTA(February[[#This Row],[1]:[29]])</f>
        <v>7</v>
      </c>
    </row>
    <row r="11" spans="1:34" ht="30" customHeight="1" x14ac:dyDescent="0.3">
      <c r="B11" s="2" t="s">
        <v>59</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3">
        <f>COUNTA(February[[#This Row],[1]:[29]])</f>
        <v>0</v>
      </c>
    </row>
    <row r="12" spans="1:34" ht="30" customHeight="1" x14ac:dyDescent="0.3">
      <c r="B12" s="2" t="s">
        <v>60</v>
      </c>
      <c r="C12" s="21"/>
      <c r="D12" s="21"/>
      <c r="E12" s="21" t="s">
        <v>31</v>
      </c>
      <c r="F12" s="21"/>
      <c r="G12" s="21"/>
      <c r="H12" s="21"/>
      <c r="I12" s="21"/>
      <c r="J12" s="21"/>
      <c r="K12" s="21"/>
      <c r="L12" s="21"/>
      <c r="M12" s="21"/>
      <c r="N12" s="21"/>
      <c r="O12" s="21"/>
      <c r="P12" s="21" t="s">
        <v>31</v>
      </c>
      <c r="Q12" s="21"/>
      <c r="R12" s="21"/>
      <c r="S12" s="21"/>
      <c r="T12" s="21" t="s">
        <v>35</v>
      </c>
      <c r="U12" s="21"/>
      <c r="V12" s="21"/>
      <c r="W12" s="21"/>
      <c r="X12" s="21"/>
      <c r="Y12" s="21"/>
      <c r="Z12" s="21"/>
      <c r="AA12" s="21"/>
      <c r="AB12" s="21"/>
      <c r="AC12" s="21"/>
      <c r="AD12" s="21" t="s">
        <v>31</v>
      </c>
      <c r="AE12" s="21"/>
      <c r="AF12" s="21"/>
      <c r="AG12" s="21"/>
      <c r="AH12" s="3">
        <f>COUNTA(February[[#This Row],[1]:[29]])</f>
        <v>4</v>
      </c>
    </row>
    <row r="13" spans="1:34" ht="30" customHeight="1" x14ac:dyDescent="0.3">
      <c r="B13" s="2" t="s">
        <v>61</v>
      </c>
      <c r="C13" s="21"/>
      <c r="D13" s="21"/>
      <c r="E13" s="21"/>
      <c r="F13" s="21"/>
      <c r="G13" s="21"/>
      <c r="H13" s="21"/>
      <c r="I13" s="21"/>
      <c r="J13" s="21" t="s">
        <v>32</v>
      </c>
      <c r="K13" s="21" t="s">
        <v>32</v>
      </c>
      <c r="L13" s="21" t="s">
        <v>32</v>
      </c>
      <c r="M13" s="21" t="s">
        <v>32</v>
      </c>
      <c r="N13" s="21"/>
      <c r="O13" s="21"/>
      <c r="P13" s="21"/>
      <c r="Q13" s="21"/>
      <c r="R13" s="21"/>
      <c r="S13" s="21"/>
      <c r="T13" s="21"/>
      <c r="U13" s="21"/>
      <c r="V13" s="21"/>
      <c r="W13" s="21"/>
      <c r="X13" s="21"/>
      <c r="Y13" s="21"/>
      <c r="Z13" s="21" t="s">
        <v>31</v>
      </c>
      <c r="AA13" s="21"/>
      <c r="AB13" s="21"/>
      <c r="AC13" s="21"/>
      <c r="AD13" s="21"/>
      <c r="AE13" s="21"/>
      <c r="AF13" s="21"/>
      <c r="AG13" s="21"/>
      <c r="AH13" s="3">
        <f>COUNTA(February[[#This Row],[1]:[29]])</f>
        <v>5</v>
      </c>
    </row>
    <row r="14" spans="1:34" ht="30" customHeight="1" x14ac:dyDescent="0.3">
      <c r="B14" s="5" t="str">
        <f>MonthName&amp;" total"</f>
        <v>February total</v>
      </c>
      <c r="C14" s="4">
        <f>SUBTOTAL(103,February[1])</f>
        <v>0</v>
      </c>
      <c r="D14" s="4">
        <f>SUBTOTAL(103,February[2])</f>
        <v>0</v>
      </c>
      <c r="E14" s="4">
        <f>SUBTOTAL(103,February[3])</f>
        <v>2</v>
      </c>
      <c r="F14" s="4">
        <f>SUBTOTAL(103,February[4])</f>
        <v>1</v>
      </c>
      <c r="G14" s="4">
        <f>SUBTOTAL(103,February[5])</f>
        <v>2</v>
      </c>
      <c r="H14" s="4">
        <f>SUBTOTAL(103,February[6])</f>
        <v>2</v>
      </c>
      <c r="I14" s="4">
        <f>SUBTOTAL(103,February[7])</f>
        <v>0</v>
      </c>
      <c r="J14" s="4">
        <f>SUBTOTAL(103,February[8])</f>
        <v>1</v>
      </c>
      <c r="K14" s="4">
        <f>SUBTOTAL(103,February[9])</f>
        <v>1</v>
      </c>
      <c r="L14" s="4">
        <f>SUBTOTAL(103,February[10])</f>
        <v>1</v>
      </c>
      <c r="M14" s="4">
        <f>SUBTOTAL(103,February[11])</f>
        <v>2</v>
      </c>
      <c r="N14" s="4">
        <f>SUBTOTAL(103,February[12])</f>
        <v>0</v>
      </c>
      <c r="O14" s="4">
        <f>SUBTOTAL(103,February[13])</f>
        <v>1</v>
      </c>
      <c r="P14" s="4">
        <f>SUBTOTAL(103,February[14])</f>
        <v>1</v>
      </c>
      <c r="Q14" s="4">
        <f>SUBTOTAL(103,February[15])</f>
        <v>0</v>
      </c>
      <c r="R14" s="4">
        <f>SUBTOTAL(103,February[16])</f>
        <v>0</v>
      </c>
      <c r="S14" s="4">
        <f>SUBTOTAL(103,February[17])</f>
        <v>0</v>
      </c>
      <c r="T14" s="4">
        <f>SUBTOTAL(103,February[18])</f>
        <v>1</v>
      </c>
      <c r="U14" s="4">
        <f>SUBTOTAL(103,February[19])</f>
        <v>0</v>
      </c>
      <c r="V14" s="4">
        <f>SUBTOTAL(103,February[20])</f>
        <v>1</v>
      </c>
      <c r="W14" s="4">
        <f>SUBTOTAL(103,February[21])</f>
        <v>0</v>
      </c>
      <c r="X14" s="4">
        <f>SUBTOTAL(103,February[22])</f>
        <v>0</v>
      </c>
      <c r="Y14" s="4">
        <f>SUBTOTAL(103,February[23])</f>
        <v>0</v>
      </c>
      <c r="Z14" s="4">
        <f>SUBTOTAL(103,February[24])</f>
        <v>1</v>
      </c>
      <c r="AA14" s="4">
        <f>SUBTOTAL(103,February[25])</f>
        <v>1</v>
      </c>
      <c r="AB14" s="4">
        <f>SUBTOTAL(103,February[26])</f>
        <v>1</v>
      </c>
      <c r="AC14" s="4">
        <f>SUBTOTAL(103,February[27])</f>
        <v>1</v>
      </c>
      <c r="AD14" s="4">
        <f>SUBTOTAL(103,February[28])</f>
        <v>1</v>
      </c>
      <c r="AE14" s="4">
        <f>SUBTOTAL(103,February[29])</f>
        <v>0</v>
      </c>
      <c r="AF14" s="4"/>
      <c r="AG14" s="4"/>
      <c r="AH14" s="4">
        <f>SUBTOTAL(109,February[Total days])</f>
        <v>21</v>
      </c>
    </row>
  </sheetData>
  <mergeCells count="6">
    <mergeCell ref="C6:AG6"/>
    <mergeCell ref="D4:F4"/>
    <mergeCell ref="H4:J4"/>
    <mergeCell ref="L4:M4"/>
    <mergeCell ref="O4:Q4"/>
    <mergeCell ref="S4:U4"/>
  </mergeCells>
  <conditionalFormatting sqref="C9:AG13">
    <cfRule type="expression" priority="3" stopIfTrue="1">
      <formula>C9=""</formula>
    </cfRule>
    <cfRule type="expression" dxfId="56" priority="4" stopIfTrue="1">
      <formula>C9=KeyCustom2</formula>
    </cfRule>
    <cfRule type="expression" dxfId="55" priority="6" stopIfTrue="1">
      <formula>C9=KeyCustom1</formula>
    </cfRule>
    <cfRule type="expression" dxfId="54" priority="7" stopIfTrue="1">
      <formula>C9=KeySick</formula>
    </cfRule>
    <cfRule type="expression" dxfId="53" priority="8" stopIfTrue="1">
      <formula>C9=KeyPersonal</formula>
    </cfRule>
    <cfRule type="expression" dxfId="52" priority="9" stopIfTrue="1">
      <formula>C9=KeyVacation</formula>
    </cfRule>
  </conditionalFormatting>
  <conditionalFormatting sqref="AE7">
    <cfRule type="expression" dxfId="51" priority="1">
      <formula>MONTH(DATE(CalendarYear,2,29))&lt;&gt;2</formula>
    </cfRule>
  </conditionalFormatting>
  <conditionalFormatting sqref="AE8">
    <cfRule type="expression" dxfId="50" priority="17">
      <formula>MONTH(DATE(CalendarYear,2,29))&lt;&gt;2</formula>
    </cfRule>
  </conditionalFormatting>
  <conditionalFormatting sqref="AH9:AH13">
    <cfRule type="dataBar" priority="154">
      <dataBar>
        <cfvo type="min"/>
        <cfvo type="formula" val="DATEDIF(DATE(CalendarYear,2,1),DATE(CalendarYear,3,1),&quot;d&quot;)"/>
        <color theme="4"/>
      </dataBar>
      <extLst>
        <ext xmlns:x14="http://schemas.microsoft.com/office/spreadsheetml/2009/9/main" uri="{B025F937-C7B1-47D3-B67F-A62EFF666E3E}">
          <x14:id>{94738C71-AB78-40C3-A818-D083AE35CC38}</x14:id>
        </ext>
      </extLst>
    </cfRule>
  </conditionalFormatting>
  <dataValidations xWindow="232" yWindow="365" count="15">
    <dataValidation allowBlank="1" showInputMessage="1" showErrorMessage="1" prompt="Automatically updated year based on year entered in January worksheet" sqref="AH6" xr:uid="{00000000-0002-0000-0100-000000000000}"/>
    <dataValidation allowBlank="1" showInputMessage="1" showErrorMessage="1" prompt="Track February absence in this worksheet" sqref="A1" xr:uid="{00000000-0002-0000-0100-000001000000}"/>
    <dataValidation allowBlank="1" showInputMessage="1" showErrorMessage="1" prompt="Automatically calculates total number of days an employee was absent this month in this column" sqref="AH8" xr:uid="{77246999-1DD3-7143-AA66-1A208D7E07C6}"/>
    <dataValidation allowBlank="1" showInputMessage="1" showErrorMessage="1" prompt="Automatically updated title is in this cell. To modify the title, update B1 on January worksheet" sqref="B2" xr:uid="{00000000-0002-0000-0100-000003000000}"/>
    <dataValidation allowBlank="1" showInputMessage="1" showErrorMessage="1" prompt="Month name for this absence schedule is in this cell. Absence totals for this month are in last cell of the table. Select employee names in table column B" sqref="B2" xr:uid="{00000000-0002-0000-0100-000004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8" xr:uid="{63261372-7DCA-F84F-9EF6-13D18C8D58CC}"/>
    <dataValidation allowBlank="1" showInputMessage="1" showErrorMessage="1" prompt="Enter a label to describe the custom key at left" sqref="O4:Q4 S4:U4" xr:uid="{00000000-0002-0000-0100-000007000000}"/>
    <dataValidation allowBlank="1" showInputMessage="1" showErrorMessage="1" prompt="Enter a letter and customize the label at right to add another key item" sqref="N4 R4" xr:uid="{00000000-0002-0000-0100-000008000000}"/>
    <dataValidation allowBlank="1" showInputMessage="1" showErrorMessage="1" prompt="The letter &quot;S&quot; indicates absence due to illness" sqref="K4" xr:uid="{00000000-0002-0000-0100-000009000000}"/>
    <dataValidation allowBlank="1" showInputMessage="1" showErrorMessage="1" prompt="The letter &quot;P&quot; indicates absence due to personal reasons" sqref="G4" xr:uid="{00000000-0002-0000-0100-00000A000000}"/>
    <dataValidation allowBlank="1" showInputMessage="1" showErrorMessage="1" prompt="The letter &quot;V&quot; indicates absence due to vacation" sqref="C4" xr:uid="{00000000-0002-0000-0100-00000B000000}"/>
    <dataValidation allowBlank="1" showInputMessage="1" showErrorMessage="1" prompt="Days of the month in this row are automatically generated. Enter an employee's absence and absence type in each column for each day of the month. Blank means no absence" sqref="C8" xr:uid="{00000000-0002-0000-0100-00000D000000}"/>
    <dataValidation allowBlank="1" showInputMessage="1" showErrorMessage="1" prompt="Weekdays in this row are automatically updated for the month according to the year in AH4. Each day of the month is a column to note an employee's absence and absence type" sqref="C7" xr:uid="{525721C9-B345-0C4C-8302-350AF692807F}"/>
    <dataValidation allowBlank="1" showInputMessage="1" showErrorMessage="1" prompt="This row defines the keys used in the table: cell C4 is Vacation, G4 is Personal, &amp; K4 is Sick leave. Cells N4 &amp; R4 are customizable " sqref="B4" xr:uid="{7C2F778E-AA90-4389-BE25-016652C40577}"/>
    <dataValidation allowBlank="1" showInputMessage="1" showErrorMessage="1" prompt="Title of the worksheet is in this cell. " sqref="B1" xr:uid="{3720AAC7-6CB9-46B3-ABB5-C56FB01AC59F}"/>
  </dataValidations>
  <printOptions horizontalCentered="1"/>
  <pageMargins left="0.25" right="0.25" top="0.75" bottom="0.75" header="0.3" footer="0.3"/>
  <pageSetup scale="70"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4738C71-AB78-40C3-A818-D083AE35CC38}">
            <x14:dataBar minLength="0" maxLength="100" gradient="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xWindow="232" yWindow="365" count="1">
        <x14:dataValidation type="list" allowBlank="1" showInputMessage="1" showErrorMessage="1" xr:uid="{00000000-0002-0000-0100-00000E000000}">
          <x14:formula1>
            <xm:f>'Employee names'!$B$4:$B$8</xm:f>
          </x14:formula1>
          <xm:sqref>B9:B13</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499984740745262"/>
    <pageSetUpPr fitToPage="1"/>
  </sheetPr>
  <dimension ref="B1:AH14"/>
  <sheetViews>
    <sheetView showGridLines="0" zoomScaleNormal="100" workbookViewId="0"/>
  </sheetViews>
  <sheetFormatPr defaultColWidth="8.77734375" defaultRowHeight="30" customHeight="1" x14ac:dyDescent="0.3"/>
  <cols>
    <col min="1" max="1" width="2.6640625" customWidth="1"/>
    <col min="2" max="2" width="25.6640625" customWidth="1"/>
    <col min="3" max="33" width="4.6640625" customWidth="1"/>
    <col min="34" max="34" width="13.44140625" customWidth="1"/>
    <col min="35" max="35" width="2.6640625" customWidth="1"/>
  </cols>
  <sheetData>
    <row r="1" spans="2:34" ht="49.95" customHeight="1" x14ac:dyDescent="0.45">
      <c r="B1" s="26" t="s">
        <v>54</v>
      </c>
    </row>
    <row r="2" spans="2:34" ht="100.05" customHeight="1" x14ac:dyDescent="0.3">
      <c r="B2" s="27" t="s">
        <v>43</v>
      </c>
    </row>
    <row r="3" spans="2:34" ht="15" customHeight="1" x14ac:dyDescent="0.3">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x14ac:dyDescent="0.3">
      <c r="B4" s="8" t="s">
        <v>55</v>
      </c>
      <c r="C4" s="31" t="s">
        <v>32</v>
      </c>
      <c r="D4" s="36" t="s">
        <v>37</v>
      </c>
      <c r="E4" s="36"/>
      <c r="F4" s="36"/>
      <c r="G4" s="29" t="s">
        <v>35</v>
      </c>
      <c r="H4" s="36" t="s">
        <v>38</v>
      </c>
      <c r="I4" s="36"/>
      <c r="J4" s="36"/>
      <c r="K4" s="30" t="s">
        <v>31</v>
      </c>
      <c r="L4" s="36" t="s">
        <v>39</v>
      </c>
      <c r="M4" s="36"/>
      <c r="N4" s="19"/>
      <c r="O4" s="36" t="s">
        <v>40</v>
      </c>
      <c r="P4" s="36"/>
      <c r="Q4" s="36"/>
      <c r="R4" s="20"/>
      <c r="S4" s="36" t="s">
        <v>41</v>
      </c>
      <c r="T4" s="36"/>
      <c r="U4" s="36"/>
    </row>
    <row r="5" spans="2:34" ht="15" customHeight="1" x14ac:dyDescent="0.3">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5" customHeight="1" x14ac:dyDescent="0.3">
      <c r="B6" s="7"/>
      <c r="C6" s="35" t="s">
        <v>56</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 ca="1">CalendarYear</f>
        <v>2024</v>
      </c>
    </row>
    <row r="7" spans="2:34" ht="30" customHeight="1" x14ac:dyDescent="0.3">
      <c r="B7" s="7"/>
      <c r="C7" s="23" t="str">
        <f ca="1">TEXT(WEEKDAY(DATE(CalendarYear,3,1),1),"aaa")</f>
        <v>Fri</v>
      </c>
      <c r="D7" s="23" t="str">
        <f ca="1">TEXT(WEEKDAY(DATE(CalendarYear,3,2),1),"aaa")</f>
        <v>Sat</v>
      </c>
      <c r="E7" s="23" t="str">
        <f ca="1">TEXT(WEEKDAY(DATE(CalendarYear,3,3),1),"aaa")</f>
        <v>Sun</v>
      </c>
      <c r="F7" s="23" t="str">
        <f ca="1">TEXT(WEEKDAY(DATE(CalendarYear,3,4),1),"aaa")</f>
        <v>Mon</v>
      </c>
      <c r="G7" s="23" t="str">
        <f ca="1">TEXT(WEEKDAY(DATE(CalendarYear,3,5),1),"aaa")</f>
        <v>Tue</v>
      </c>
      <c r="H7" s="23" t="str">
        <f ca="1">TEXT(WEEKDAY(DATE(CalendarYear,3,6),1),"aaa")</f>
        <v>Wed</v>
      </c>
      <c r="I7" s="23" t="str">
        <f ca="1">TEXT(WEEKDAY(DATE(CalendarYear,3,7),1),"aaa")</f>
        <v>Thu</v>
      </c>
      <c r="J7" s="23" t="str">
        <f ca="1">TEXT(WEEKDAY(DATE(CalendarYear,3,8),1),"aaa")</f>
        <v>Fri</v>
      </c>
      <c r="K7" s="23" t="str">
        <f ca="1">TEXT(WEEKDAY(DATE(CalendarYear,3,9),1),"aaa")</f>
        <v>Sat</v>
      </c>
      <c r="L7" s="23" t="str">
        <f ca="1">TEXT(WEEKDAY(DATE(CalendarYear,3,10),1),"aaa")</f>
        <v>Sun</v>
      </c>
      <c r="M7" s="23" t="str">
        <f ca="1">TEXT(WEEKDAY(DATE(CalendarYear,3,11),1),"aaa")</f>
        <v>Mon</v>
      </c>
      <c r="N7" s="23" t="str">
        <f ca="1">TEXT(WEEKDAY(DATE(CalendarYear,3,12),1),"aaa")</f>
        <v>Tue</v>
      </c>
      <c r="O7" s="23" t="str">
        <f ca="1">TEXT(WEEKDAY(DATE(CalendarYear,3,13),1),"aaa")</f>
        <v>Wed</v>
      </c>
      <c r="P7" s="23" t="str">
        <f ca="1">TEXT(WEEKDAY(DATE(CalendarYear,3,14),1),"aaa")</f>
        <v>Thu</v>
      </c>
      <c r="Q7" s="23" t="str">
        <f ca="1">TEXT(WEEKDAY(DATE(CalendarYear,3,15),1),"aaa")</f>
        <v>Fri</v>
      </c>
      <c r="R7" s="23" t="str">
        <f ca="1">TEXT(WEEKDAY(DATE(CalendarYear,3,16),1),"aaa")</f>
        <v>Sat</v>
      </c>
      <c r="S7" s="23" t="str">
        <f ca="1">TEXT(WEEKDAY(DATE(CalendarYear,3,17),1),"aaa")</f>
        <v>Sun</v>
      </c>
      <c r="T7" s="23" t="str">
        <f ca="1">TEXT(WEEKDAY(DATE(CalendarYear,3,18),1),"aaa")</f>
        <v>Mon</v>
      </c>
      <c r="U7" s="23" t="str">
        <f ca="1">TEXT(WEEKDAY(DATE(CalendarYear,3,19),1),"aaa")</f>
        <v>Tue</v>
      </c>
      <c r="V7" s="23" t="str">
        <f ca="1">TEXT(WEEKDAY(DATE(CalendarYear,3,20),1),"aaa")</f>
        <v>Wed</v>
      </c>
      <c r="W7" s="23" t="str">
        <f ca="1">TEXT(WEEKDAY(DATE(CalendarYear,3,21),1),"aaa")</f>
        <v>Thu</v>
      </c>
      <c r="X7" s="23" t="str">
        <f ca="1">TEXT(WEEKDAY(DATE(CalendarYear,3,22),1),"aaa")</f>
        <v>Fri</v>
      </c>
      <c r="Y7" s="23" t="str">
        <f ca="1">TEXT(WEEKDAY(DATE(CalendarYear,3,23),1),"aaa")</f>
        <v>Sat</v>
      </c>
      <c r="Z7" s="23" t="str">
        <f ca="1">TEXT(WEEKDAY(DATE(CalendarYear,3,24),1),"aaa")</f>
        <v>Sun</v>
      </c>
      <c r="AA7" s="23" t="str">
        <f ca="1">TEXT(WEEKDAY(DATE(CalendarYear,3,25),1),"aaa")</f>
        <v>Mon</v>
      </c>
      <c r="AB7" s="23" t="str">
        <f ca="1">TEXT(WEEKDAY(DATE(CalendarYear,3,26),1),"aaa")</f>
        <v>Tue</v>
      </c>
      <c r="AC7" s="23" t="str">
        <f ca="1">TEXT(WEEKDAY(DATE(CalendarYear,3,27),1),"aaa")</f>
        <v>Wed</v>
      </c>
      <c r="AD7" s="23" t="str">
        <f ca="1">TEXT(WEEKDAY(DATE(CalendarYear,3,28),1),"aaa")</f>
        <v>Thu</v>
      </c>
      <c r="AE7" s="23" t="str">
        <f ca="1">TEXT(WEEKDAY(DATE(CalendarYear,3,29),1),"aaa")</f>
        <v>Fri</v>
      </c>
      <c r="AF7" s="23" t="str">
        <f ca="1">TEXT(WEEKDAY(DATE(CalendarYear,3,30),1),"aaa")</f>
        <v>Sat</v>
      </c>
      <c r="AG7" s="23" t="str">
        <f ca="1">TEXT(WEEKDAY(DATE(CalendarYear,3,31),1),"aaa")</f>
        <v>Sun</v>
      </c>
      <c r="AH7" s="7"/>
    </row>
    <row r="8" spans="2:34" ht="30" customHeight="1" x14ac:dyDescent="0.3">
      <c r="B8" s="22" t="s">
        <v>62</v>
      </c>
      <c r="C8" s="1" t="s">
        <v>0</v>
      </c>
      <c r="D8" s="1" t="s">
        <v>1</v>
      </c>
      <c r="E8" s="1" t="s">
        <v>2</v>
      </c>
      <c r="F8" s="1" t="s">
        <v>3</v>
      </c>
      <c r="G8" s="1" t="s">
        <v>4</v>
      </c>
      <c r="H8" s="1" t="s">
        <v>5</v>
      </c>
      <c r="I8" s="1" t="s">
        <v>6</v>
      </c>
      <c r="J8" s="1" t="s">
        <v>7</v>
      </c>
      <c r="K8" s="1" t="s">
        <v>8</v>
      </c>
      <c r="L8" s="1" t="s">
        <v>9</v>
      </c>
      <c r="M8" s="1" t="s">
        <v>10</v>
      </c>
      <c r="N8" s="1" t="s">
        <v>11</v>
      </c>
      <c r="O8" s="1" t="s">
        <v>12</v>
      </c>
      <c r="P8" s="1" t="s">
        <v>13</v>
      </c>
      <c r="Q8" s="1" t="s">
        <v>14</v>
      </c>
      <c r="R8" s="1" t="s">
        <v>15</v>
      </c>
      <c r="S8" s="1" t="s">
        <v>16</v>
      </c>
      <c r="T8" s="1" t="s">
        <v>17</v>
      </c>
      <c r="U8" s="1" t="s">
        <v>18</v>
      </c>
      <c r="V8" s="1" t="s">
        <v>19</v>
      </c>
      <c r="W8" s="1" t="s">
        <v>20</v>
      </c>
      <c r="X8" s="1" t="s">
        <v>21</v>
      </c>
      <c r="Y8" s="1" t="s">
        <v>22</v>
      </c>
      <c r="Z8" s="1" t="s">
        <v>23</v>
      </c>
      <c r="AA8" s="1" t="s">
        <v>24</v>
      </c>
      <c r="AB8" s="1" t="s">
        <v>25</v>
      </c>
      <c r="AC8" s="1" t="s">
        <v>26</v>
      </c>
      <c r="AD8" s="1" t="s">
        <v>27</v>
      </c>
      <c r="AE8" s="1" t="s">
        <v>28</v>
      </c>
      <c r="AF8" s="1" t="s">
        <v>29</v>
      </c>
      <c r="AG8" s="1" t="s">
        <v>30</v>
      </c>
      <c r="AH8" s="24" t="s">
        <v>63</v>
      </c>
    </row>
    <row r="9" spans="2:34" ht="30" customHeight="1" x14ac:dyDescent="0.3">
      <c r="B9" s="2" t="s">
        <v>57</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COUNTA(March[[#This Row],[1]:[31]])</f>
        <v>0</v>
      </c>
    </row>
    <row r="10" spans="2:34" ht="30" customHeight="1" x14ac:dyDescent="0.3">
      <c r="B10" s="2" t="s">
        <v>58</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COUNTA(March[[#This Row],[1]:[31]])</f>
        <v>0</v>
      </c>
    </row>
    <row r="11" spans="2:34" ht="30" customHeight="1" x14ac:dyDescent="0.3">
      <c r="B11" s="2" t="s">
        <v>59</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COUNTA(March[[#This Row],[1]:[31]])</f>
        <v>0</v>
      </c>
    </row>
    <row r="12" spans="2:34" ht="30" customHeight="1" x14ac:dyDescent="0.3">
      <c r="B12" s="2" t="s">
        <v>60</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COUNTA(March[[#This Row],[1]:[31]])</f>
        <v>0</v>
      </c>
    </row>
    <row r="13" spans="2:34" ht="30" customHeight="1" x14ac:dyDescent="0.3">
      <c r="B13" s="2" t="s">
        <v>61</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COUNTA(March[[#This Row],[1]:[31]])</f>
        <v>0</v>
      </c>
    </row>
    <row r="14" spans="2:34" ht="30" customHeight="1" x14ac:dyDescent="0.3">
      <c r="B14" s="5" t="str">
        <f>MonthName&amp;" Total"</f>
        <v>March Total</v>
      </c>
      <c r="C14" s="4">
        <f>SUBTOTAL(103,March[1])</f>
        <v>0</v>
      </c>
      <c r="D14" s="4">
        <f>SUBTOTAL(103,March[2])</f>
        <v>0</v>
      </c>
      <c r="E14" s="4">
        <f>SUBTOTAL(103,March[3])</f>
        <v>0</v>
      </c>
      <c r="F14" s="4">
        <f>SUBTOTAL(103,March[4])</f>
        <v>0</v>
      </c>
      <c r="G14" s="4">
        <f>SUBTOTAL(103,March[5])</f>
        <v>0</v>
      </c>
      <c r="H14" s="4">
        <f>SUBTOTAL(103,March[6])</f>
        <v>0</v>
      </c>
      <c r="I14" s="4">
        <f>SUBTOTAL(103,March[7])</f>
        <v>0</v>
      </c>
      <c r="J14" s="4">
        <f>SUBTOTAL(103,March[8])</f>
        <v>0</v>
      </c>
      <c r="K14" s="4">
        <f>SUBTOTAL(103,March[9])</f>
        <v>0</v>
      </c>
      <c r="L14" s="4">
        <f>SUBTOTAL(103,March[10])</f>
        <v>0</v>
      </c>
      <c r="M14" s="4">
        <f>SUBTOTAL(103,March[11])</f>
        <v>0</v>
      </c>
      <c r="N14" s="4">
        <f>SUBTOTAL(103,March[12])</f>
        <v>0</v>
      </c>
      <c r="O14" s="4">
        <f>SUBTOTAL(103,March[13])</f>
        <v>0</v>
      </c>
      <c r="P14" s="4">
        <f>SUBTOTAL(103,March[14])</f>
        <v>0</v>
      </c>
      <c r="Q14" s="4">
        <f>SUBTOTAL(103,March[15])</f>
        <v>0</v>
      </c>
      <c r="R14" s="4">
        <f>SUBTOTAL(103,March[16])</f>
        <v>0</v>
      </c>
      <c r="S14" s="4">
        <f>SUBTOTAL(103,March[17])</f>
        <v>0</v>
      </c>
      <c r="T14" s="4">
        <f>SUBTOTAL(103,March[18])</f>
        <v>0</v>
      </c>
      <c r="U14" s="4">
        <f>SUBTOTAL(103,March[19])</f>
        <v>0</v>
      </c>
      <c r="V14" s="4">
        <f>SUBTOTAL(103,March[20])</f>
        <v>0</v>
      </c>
      <c r="W14" s="4">
        <f>SUBTOTAL(103,March[21])</f>
        <v>0</v>
      </c>
      <c r="X14" s="4">
        <f>SUBTOTAL(103,March[22])</f>
        <v>0</v>
      </c>
      <c r="Y14" s="4">
        <f>SUBTOTAL(103,March[23])</f>
        <v>0</v>
      </c>
      <c r="Z14" s="4">
        <f>SUBTOTAL(103,March[24])</f>
        <v>0</v>
      </c>
      <c r="AA14" s="4">
        <f>SUBTOTAL(103,March[25])</f>
        <v>0</v>
      </c>
      <c r="AB14" s="4">
        <f>SUBTOTAL(103,March[26])</f>
        <v>0</v>
      </c>
      <c r="AC14" s="4">
        <f>SUBTOTAL(103,March[27])</f>
        <v>0</v>
      </c>
      <c r="AD14" s="4">
        <f>SUBTOTAL(103,March[28])</f>
        <v>0</v>
      </c>
      <c r="AE14" s="4">
        <f>SUBTOTAL(103,March[29])</f>
        <v>0</v>
      </c>
      <c r="AF14" s="4">
        <f>SUBTOTAL(109,March[30])</f>
        <v>0</v>
      </c>
      <c r="AG14" s="4">
        <f>SUBTOTAL(109,March[31])</f>
        <v>0</v>
      </c>
      <c r="AH14" s="4">
        <f>SUBTOTAL(109,March[Total days])</f>
        <v>0</v>
      </c>
    </row>
  </sheetData>
  <mergeCells count="6">
    <mergeCell ref="C6:AG6"/>
    <mergeCell ref="D4:F4"/>
    <mergeCell ref="H4:J4"/>
    <mergeCell ref="L4:M4"/>
    <mergeCell ref="O4:Q4"/>
    <mergeCell ref="S4:U4"/>
  </mergeCells>
  <conditionalFormatting sqref="C9:AG13">
    <cfRule type="expression" priority="1" stopIfTrue="1">
      <formula>C9=""</formula>
    </cfRule>
    <cfRule type="expression" dxfId="49" priority="2" stopIfTrue="1">
      <formula>C9=KeyCustom2</formula>
    </cfRule>
    <cfRule type="expression" dxfId="48" priority="3" stopIfTrue="1">
      <formula>C9=KeyCustom1</formula>
    </cfRule>
    <cfRule type="expression" dxfId="47" priority="4" stopIfTrue="1">
      <formula>C9=KeySick</formula>
    </cfRule>
    <cfRule type="expression" dxfId="46" priority="5" stopIfTrue="1">
      <formula>C9=KeyPersonal</formula>
    </cfRule>
    <cfRule type="expression" dxfId="45"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{7C2B6C3E-666E-4369-8C57-FD32A7D03A3C}</x14:id>
        </ext>
      </extLst>
    </cfRule>
  </conditionalFormatting>
  <dataValidations count="15">
    <dataValidation allowBlank="1" showInputMessage="1" showErrorMessage="1" prompt="Days of the month in this row are automatically generated. Enter an employee's absence and absence type in each column for each day of the month. Blank means no absence" sqref="C8" xr:uid="{00000000-0002-0000-0200-000000000000}"/>
    <dataValidation allowBlank="1" showInputMessage="1" showErrorMessage="1" prompt="Enter a label to describe the custom key at left" sqref="O4:Q4 S4:U4" xr:uid="{E366FBFA-347E-8543-BF03-F13C8B9DCA49}"/>
    <dataValidation allowBlank="1" showInputMessage="1" showErrorMessage="1" prompt="Enter a letter and customize the label at right to add another key item" sqref="N4 R4" xr:uid="{8C7F6C70-699C-2D4E-95B7-BEEF00444CC1}"/>
    <dataValidation allowBlank="1" showInputMessage="1" showErrorMessage="1" prompt="The letter &quot;S&quot; indicates absence due to illness" sqref="K4" xr:uid="{299D83F3-6B77-0849-9674-CBC3EF3148C0}"/>
    <dataValidation allowBlank="1" showInputMessage="1" showErrorMessage="1" prompt="The letter &quot;P&quot; indicates absence due to personal reasons" sqref="G4" xr:uid="{D96709FA-C89E-174E-BD1B-910451DEBE05}"/>
    <dataValidation allowBlank="1" showInputMessage="1" showErrorMessage="1" prompt="The letter &quot;V&quot; indicates absence due to vacation" sqref="C4" xr:uid="{29AC19CC-7211-AC4C-934C-F8A72FBB8569}"/>
    <dataValidation allowBlank="1" showInputMessage="1" showErrorMessage="1" prompt="Automatically updated title is in this cell. To modify the title, update B1 on January worksheet" sqref="B2" xr:uid="{00000000-0002-0000-0200-000009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8" xr:uid="{E46101B5-4A18-414B-9169-B2F7AB28F054}"/>
    <dataValidation allowBlank="1" showInputMessage="1" showErrorMessage="1" prompt="Track March absence in this worksheet" sqref="A1" xr:uid="{00000000-0002-0000-0200-00000B000000}"/>
    <dataValidation allowBlank="1" showInputMessage="1" showErrorMessage="1" prompt="Automatically calculates total number of days an employee was absent this month in this column" sqref="AH8" xr:uid="{70BD9EEE-E1FD-D147-919D-901970D7AADE}"/>
    <dataValidation allowBlank="1" showInputMessage="1" showErrorMessage="1" prompt="Automatically updated year based on year entered in January worksheet" sqref="AH6" xr:uid="{A06F72EE-346E-CD4A-B706-B1500A526D8A}"/>
    <dataValidation allowBlank="1" showInputMessage="1" showErrorMessage="1" prompt="Weekdays in this row are automatically updated for the month according to the year in AH4. Each day of the month is a column to note an employee's absence and absence type" sqref="C7" xr:uid="{02C7B989-E77F-4A4F-82FD-F03860560B2B}"/>
    <dataValidation allowBlank="1" showInputMessage="1" showErrorMessage="1" prompt="Month name for this absence schedule is in this cell. Absence totals for this month are in last cell of the table. Select employee names in table column B" sqref="B2" xr:uid="{00000000-0002-0000-0200-000002000000}"/>
    <dataValidation allowBlank="1" showInputMessage="1" showErrorMessage="1" prompt="This row defines the keys used in the table: cell C4 is Vacation, G4 is Personal, &amp; K4 is Sick leave. Cells N4 &amp; R4 are customizable " sqref="B4" xr:uid="{9A98B74B-4764-403E-92AD-9C10299A10A6}"/>
    <dataValidation allowBlank="1" showInputMessage="1" showErrorMessage="1" prompt="Title of the worksheet is in this cell. " sqref="B1" xr:uid="{40DFEC58-0648-4944-BD5A-E9153E7FE7CF}"/>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C2B6C3E-666E-4369-8C57-FD32A7D03A3C}">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E000000}">
          <x14:formula1>
            <xm:f>'Employee names'!$B$4:$B$8</xm:f>
          </x14:formula1>
          <xm:sqref>B9:B13</xm:sqref>
        </x14:dataValidation>
      </x14:dataValidations>
    </ext>
  </extLst>
</worksheet>
</file>

<file path=xl/worksheets/sheet4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499984740745262"/>
    <pageSetUpPr fitToPage="1"/>
  </sheetPr>
  <dimension ref="B1:AH14"/>
  <sheetViews>
    <sheetView showGridLines="0" zoomScaleNormal="100" workbookViewId="0"/>
  </sheetViews>
  <sheetFormatPr defaultColWidth="8.77734375" defaultRowHeight="30" customHeight="1" x14ac:dyDescent="0.3"/>
  <cols>
    <col min="1" max="1" width="2.6640625" customWidth="1"/>
    <col min="2" max="2" width="25.6640625" customWidth="1"/>
    <col min="3" max="33" width="4.6640625" customWidth="1"/>
    <col min="34" max="34" width="13.44140625" customWidth="1"/>
    <col min="35" max="35" width="2.6640625" customWidth="1"/>
  </cols>
  <sheetData>
    <row r="1" spans="2:34" ht="49.95" customHeight="1" x14ac:dyDescent="0.45">
      <c r="B1" s="26" t="s">
        <v>54</v>
      </c>
    </row>
    <row r="2" spans="2:34" ht="100.05" customHeight="1" x14ac:dyDescent="0.3">
      <c r="B2" s="28" t="s">
        <v>44</v>
      </c>
    </row>
    <row r="3" spans="2:34" ht="15" customHeight="1" x14ac:dyDescent="0.3">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x14ac:dyDescent="0.3">
      <c r="B4" s="8" t="s">
        <v>55</v>
      </c>
      <c r="C4" s="31" t="s">
        <v>32</v>
      </c>
      <c r="D4" s="36" t="s">
        <v>37</v>
      </c>
      <c r="E4" s="36"/>
      <c r="F4" s="36"/>
      <c r="G4" s="29" t="s">
        <v>35</v>
      </c>
      <c r="H4" s="36" t="s">
        <v>38</v>
      </c>
      <c r="I4" s="36"/>
      <c r="J4" s="36"/>
      <c r="K4" s="30" t="s">
        <v>31</v>
      </c>
      <c r="L4" s="36" t="s">
        <v>39</v>
      </c>
      <c r="M4" s="36"/>
      <c r="N4" s="19"/>
      <c r="O4" s="36" t="s">
        <v>40</v>
      </c>
      <c r="P4" s="36"/>
      <c r="Q4" s="36"/>
      <c r="R4" s="20"/>
      <c r="S4" s="36" t="s">
        <v>41</v>
      </c>
      <c r="T4" s="36"/>
      <c r="U4" s="36"/>
    </row>
    <row r="5" spans="2:34" ht="15" customHeight="1" x14ac:dyDescent="0.3">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5" customHeight="1" x14ac:dyDescent="0.3">
      <c r="B6" s="7"/>
      <c r="C6" s="35" t="s">
        <v>56</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 ca="1">CalendarYear</f>
        <v>2024</v>
      </c>
    </row>
    <row r="7" spans="2:34" ht="30" customHeight="1" x14ac:dyDescent="0.3">
      <c r="B7" s="7"/>
      <c r="C7" s="23" t="str">
        <f ca="1">TEXT(WEEKDAY(DATE(CalendarYear,4,1),1),"aaa")</f>
        <v>Mon</v>
      </c>
      <c r="D7" s="23" t="str">
        <f ca="1">TEXT(WEEKDAY(DATE(CalendarYear,4,2),1),"aaa")</f>
        <v>Tue</v>
      </c>
      <c r="E7" s="23" t="str">
        <f ca="1">TEXT(WEEKDAY(DATE(CalendarYear,4,3),1),"aaa")</f>
        <v>Wed</v>
      </c>
      <c r="F7" s="23" t="str">
        <f ca="1">TEXT(WEEKDAY(DATE(CalendarYear,4,4),1),"aaa")</f>
        <v>Thu</v>
      </c>
      <c r="G7" s="23" t="str">
        <f ca="1">TEXT(WEEKDAY(DATE(CalendarYear,4,5),1),"aaa")</f>
        <v>Fri</v>
      </c>
      <c r="H7" s="23" t="str">
        <f ca="1">TEXT(WEEKDAY(DATE(CalendarYear,4,6),1),"aaa")</f>
        <v>Sat</v>
      </c>
      <c r="I7" s="23" t="str">
        <f ca="1">TEXT(WEEKDAY(DATE(CalendarYear,4,7),1),"aaa")</f>
        <v>Sun</v>
      </c>
      <c r="J7" s="23" t="str">
        <f ca="1">TEXT(WEEKDAY(DATE(CalendarYear,4,8),1),"aaa")</f>
        <v>Mon</v>
      </c>
      <c r="K7" s="23" t="str">
        <f ca="1">TEXT(WEEKDAY(DATE(CalendarYear,4,9),1),"aaa")</f>
        <v>Tue</v>
      </c>
      <c r="L7" s="23" t="str">
        <f ca="1">TEXT(WEEKDAY(DATE(CalendarYear,4,10),1),"aaa")</f>
        <v>Wed</v>
      </c>
      <c r="M7" s="23" t="str">
        <f ca="1">TEXT(WEEKDAY(DATE(CalendarYear,4,11),1),"aaa")</f>
        <v>Thu</v>
      </c>
      <c r="N7" s="23" t="str">
        <f ca="1">TEXT(WEEKDAY(DATE(CalendarYear,4,12),1),"aaa")</f>
        <v>Fri</v>
      </c>
      <c r="O7" s="23" t="str">
        <f ca="1">TEXT(WEEKDAY(DATE(CalendarYear,4,13),1),"aaa")</f>
        <v>Sat</v>
      </c>
      <c r="P7" s="23" t="str">
        <f ca="1">TEXT(WEEKDAY(DATE(CalendarYear,4,14),1),"aaa")</f>
        <v>Sun</v>
      </c>
      <c r="Q7" s="23" t="str">
        <f ca="1">TEXT(WEEKDAY(DATE(CalendarYear,4,15),1),"aaa")</f>
        <v>Mon</v>
      </c>
      <c r="R7" s="23" t="str">
        <f ca="1">TEXT(WEEKDAY(DATE(CalendarYear,4,16),1),"aaa")</f>
        <v>Tue</v>
      </c>
      <c r="S7" s="23" t="str">
        <f ca="1">TEXT(WEEKDAY(DATE(CalendarYear,4,17),1),"aaa")</f>
        <v>Wed</v>
      </c>
      <c r="T7" s="23" t="str">
        <f ca="1">TEXT(WEEKDAY(DATE(CalendarYear,4,18),1),"aaa")</f>
        <v>Thu</v>
      </c>
      <c r="U7" s="23" t="str">
        <f ca="1">TEXT(WEEKDAY(DATE(CalendarYear,4,19),1),"aaa")</f>
        <v>Fri</v>
      </c>
      <c r="V7" s="23" t="str">
        <f ca="1">TEXT(WEEKDAY(DATE(CalendarYear,4,20),1),"aaa")</f>
        <v>Sat</v>
      </c>
      <c r="W7" s="23" t="str">
        <f ca="1">TEXT(WEEKDAY(DATE(CalendarYear,4,21),1),"aaa")</f>
        <v>Sun</v>
      </c>
      <c r="X7" s="23" t="str">
        <f ca="1">TEXT(WEEKDAY(DATE(CalendarYear,4,22),1),"aaa")</f>
        <v>Mon</v>
      </c>
      <c r="Y7" s="23" t="str">
        <f ca="1">TEXT(WEEKDAY(DATE(CalendarYear,4,23),1),"aaa")</f>
        <v>Tue</v>
      </c>
      <c r="Z7" s="23" t="str">
        <f ca="1">TEXT(WEEKDAY(DATE(CalendarYear,4,24),1),"aaa")</f>
        <v>Wed</v>
      </c>
      <c r="AA7" s="23" t="str">
        <f ca="1">TEXT(WEEKDAY(DATE(CalendarYear,4,25),1),"aaa")</f>
        <v>Thu</v>
      </c>
      <c r="AB7" s="23" t="str">
        <f ca="1">TEXT(WEEKDAY(DATE(CalendarYear,4,26),1),"aaa")</f>
        <v>Fri</v>
      </c>
      <c r="AC7" s="23" t="str">
        <f ca="1">TEXT(WEEKDAY(DATE(CalendarYear,4,27),1),"aaa")</f>
        <v>Sat</v>
      </c>
      <c r="AD7" s="23" t="str">
        <f ca="1">TEXT(WEEKDAY(DATE(CalendarYear,4,28),1),"aaa")</f>
        <v>Sun</v>
      </c>
      <c r="AE7" s="23" t="str">
        <f ca="1">TEXT(WEEKDAY(DATE(CalendarYear,4,29),1),"aaa")</f>
        <v>Mon</v>
      </c>
      <c r="AF7" s="23" t="str">
        <f ca="1">TEXT(WEEKDAY(DATE(CalendarYear,4,30),1),"aaa")</f>
        <v>Tue</v>
      </c>
      <c r="AG7" s="23"/>
      <c r="AH7" s="7"/>
    </row>
    <row r="8" spans="2:34" ht="30" customHeight="1" x14ac:dyDescent="0.3">
      <c r="B8" s="22" t="s">
        <v>62</v>
      </c>
      <c r="C8" s="1" t="s">
        <v>0</v>
      </c>
      <c r="D8" s="1" t="s">
        <v>1</v>
      </c>
      <c r="E8" s="1" t="s">
        <v>2</v>
      </c>
      <c r="F8" s="1" t="s">
        <v>3</v>
      </c>
      <c r="G8" s="1" t="s">
        <v>4</v>
      </c>
      <c r="H8" s="1" t="s">
        <v>5</v>
      </c>
      <c r="I8" s="1" t="s">
        <v>6</v>
      </c>
      <c r="J8" s="1" t="s">
        <v>7</v>
      </c>
      <c r="K8" s="1" t="s">
        <v>8</v>
      </c>
      <c r="L8" s="1" t="s">
        <v>9</v>
      </c>
      <c r="M8" s="1" t="s">
        <v>10</v>
      </c>
      <c r="N8" s="1" t="s">
        <v>11</v>
      </c>
      <c r="O8" s="1" t="s">
        <v>12</v>
      </c>
      <c r="P8" s="1" t="s">
        <v>13</v>
      </c>
      <c r="Q8" s="1" t="s">
        <v>14</v>
      </c>
      <c r="R8" s="1" t="s">
        <v>15</v>
      </c>
      <c r="S8" s="1" t="s">
        <v>16</v>
      </c>
      <c r="T8" s="1" t="s">
        <v>17</v>
      </c>
      <c r="U8" s="1" t="s">
        <v>18</v>
      </c>
      <c r="V8" s="1" t="s">
        <v>19</v>
      </c>
      <c r="W8" s="1" t="s">
        <v>20</v>
      </c>
      <c r="X8" s="1" t="s">
        <v>21</v>
      </c>
      <c r="Y8" s="1" t="s">
        <v>22</v>
      </c>
      <c r="Z8" s="1" t="s">
        <v>23</v>
      </c>
      <c r="AA8" s="1" t="s">
        <v>24</v>
      </c>
      <c r="AB8" s="1" t="s">
        <v>25</v>
      </c>
      <c r="AC8" s="1" t="s">
        <v>26</v>
      </c>
      <c r="AD8" s="1" t="s">
        <v>27</v>
      </c>
      <c r="AE8" s="1" t="s">
        <v>28</v>
      </c>
      <c r="AF8" s="1" t="s">
        <v>29</v>
      </c>
      <c r="AG8" s="1" t="s">
        <v>33</v>
      </c>
      <c r="AH8" s="24" t="s">
        <v>63</v>
      </c>
    </row>
    <row r="9" spans="2:34" ht="30" customHeight="1" x14ac:dyDescent="0.3">
      <c r="B9" s="2" t="s">
        <v>57</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COUNTA(March5[[#This Row],[1]:[ ]])</f>
        <v>0</v>
      </c>
    </row>
    <row r="10" spans="2:34" ht="30" customHeight="1" x14ac:dyDescent="0.3">
      <c r="B10" s="2" t="s">
        <v>58</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COUNTA(March5[[#This Row],[1]:[ ]])</f>
        <v>0</v>
      </c>
    </row>
    <row r="11" spans="2:34" ht="30" customHeight="1" x14ac:dyDescent="0.3">
      <c r="B11" s="2" t="s">
        <v>59</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COUNTA(March5[[#This Row],[1]:[ ]])</f>
        <v>0</v>
      </c>
    </row>
    <row r="12" spans="2:34" ht="30" customHeight="1" x14ac:dyDescent="0.3">
      <c r="B12" s="2" t="s">
        <v>60</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COUNTA(March5[[#This Row],[1]:[ ]])</f>
        <v>0</v>
      </c>
    </row>
    <row r="13" spans="2:34" ht="30" customHeight="1" x14ac:dyDescent="0.3">
      <c r="B13" s="2" t="s">
        <v>61</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COUNTA(March5[[#This Row],[1]:[ ]])</f>
        <v>0</v>
      </c>
    </row>
    <row r="14" spans="2:34" ht="30" customHeight="1" x14ac:dyDescent="0.3">
      <c r="B14" s="5" t="str">
        <f>MonthName&amp;" Total"</f>
        <v xml:space="preserve"> Total</v>
      </c>
      <c r="C14" s="4">
        <f>SUBTOTAL(103,March5[1])</f>
        <v>0</v>
      </c>
      <c r="D14" s="4">
        <f>SUBTOTAL(103,March5[2])</f>
        <v>0</v>
      </c>
      <c r="E14" s="4">
        <f>SUBTOTAL(103,March5[3])</f>
        <v>0</v>
      </c>
      <c r="F14" s="4">
        <f>SUBTOTAL(103,March5[4])</f>
        <v>0</v>
      </c>
      <c r="G14" s="4">
        <f>SUBTOTAL(103,March5[5])</f>
        <v>0</v>
      </c>
      <c r="H14" s="4">
        <f>SUBTOTAL(103,March5[6])</f>
        <v>0</v>
      </c>
      <c r="I14" s="4">
        <f>SUBTOTAL(103,March5[7])</f>
        <v>0</v>
      </c>
      <c r="J14" s="4">
        <f>SUBTOTAL(103,March5[8])</f>
        <v>0</v>
      </c>
      <c r="K14" s="4">
        <f>SUBTOTAL(103,March5[9])</f>
        <v>0</v>
      </c>
      <c r="L14" s="4">
        <f>SUBTOTAL(103,March5[10])</f>
        <v>0</v>
      </c>
      <c r="M14" s="4">
        <f>SUBTOTAL(103,March5[11])</f>
        <v>0</v>
      </c>
      <c r="N14" s="4">
        <f>SUBTOTAL(103,March5[12])</f>
        <v>0</v>
      </c>
      <c r="O14" s="4">
        <f>SUBTOTAL(103,March5[13])</f>
        <v>0</v>
      </c>
      <c r="P14" s="4">
        <f>SUBTOTAL(103,March5[14])</f>
        <v>0</v>
      </c>
      <c r="Q14" s="4">
        <f>SUBTOTAL(103,March5[15])</f>
        <v>0</v>
      </c>
      <c r="R14" s="4">
        <f>SUBTOTAL(103,March5[16])</f>
        <v>0</v>
      </c>
      <c r="S14" s="4">
        <f>SUBTOTAL(103,March5[17])</f>
        <v>0</v>
      </c>
      <c r="T14" s="4">
        <f>SUBTOTAL(103,March5[18])</f>
        <v>0</v>
      </c>
      <c r="U14" s="4">
        <f>SUBTOTAL(103,March5[19])</f>
        <v>0</v>
      </c>
      <c r="V14" s="4">
        <f>SUBTOTAL(103,March5[20])</f>
        <v>0</v>
      </c>
      <c r="W14" s="4">
        <f>SUBTOTAL(103,March5[21])</f>
        <v>0</v>
      </c>
      <c r="X14" s="4">
        <f>SUBTOTAL(103,March5[22])</f>
        <v>0</v>
      </c>
      <c r="Y14" s="4">
        <f>SUBTOTAL(103,March5[23])</f>
        <v>0</v>
      </c>
      <c r="Z14" s="4">
        <f>SUBTOTAL(103,March5[24])</f>
        <v>0</v>
      </c>
      <c r="AA14" s="4">
        <f>SUBTOTAL(103,March5[25])</f>
        <v>0</v>
      </c>
      <c r="AB14" s="4">
        <f>SUBTOTAL(103,March5[26])</f>
        <v>0</v>
      </c>
      <c r="AC14" s="4">
        <f>SUBTOTAL(103,March5[27])</f>
        <v>0</v>
      </c>
      <c r="AD14" s="4">
        <f>SUBTOTAL(103,March5[28])</f>
        <v>0</v>
      </c>
      <c r="AE14" s="4">
        <f>SUBTOTAL(103,March5[29])</f>
        <v>0</v>
      </c>
      <c r="AF14" s="4">
        <f>SUBTOTAL(109,March5[30])</f>
        <v>0</v>
      </c>
      <c r="AG14" s="4">
        <f>SUBTOTAL(109,March5[[ ]])</f>
        <v>0</v>
      </c>
      <c r="AH14" s="4">
        <f>SUBTOTAL(109,March5[Total days])</f>
        <v>0</v>
      </c>
    </row>
  </sheetData>
  <mergeCells count="6">
    <mergeCell ref="C6:AG6"/>
    <mergeCell ref="D4:F4"/>
    <mergeCell ref="H4:J4"/>
    <mergeCell ref="L4:M4"/>
    <mergeCell ref="O4:Q4"/>
    <mergeCell ref="S4:U4"/>
  </mergeCells>
  <phoneticPr fontId="13" type="noConversion"/>
  <conditionalFormatting sqref="C9:AG13">
    <cfRule type="expression" priority="1" stopIfTrue="1">
      <formula>C9=""</formula>
    </cfRule>
    <cfRule type="expression" dxfId="44" priority="2" stopIfTrue="1">
      <formula>C9=KeyCustom2</formula>
    </cfRule>
    <cfRule type="expression" dxfId="43" priority="3" stopIfTrue="1">
      <formula>C9=KeyCustom1</formula>
    </cfRule>
    <cfRule type="expression" dxfId="42" priority="4" stopIfTrue="1">
      <formula>C9=KeySick</formula>
    </cfRule>
    <cfRule type="expression" dxfId="41" priority="5" stopIfTrue="1">
      <formula>C9=KeyPersonal</formula>
    </cfRule>
    <cfRule type="expression" dxfId="40"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{C6C51CE4-E5A5-6548-B677-75BFC57A1AE7}</x14:id>
        </ext>
      </extLst>
    </cfRule>
  </conditionalFormatting>
  <dataValidations count="15">
    <dataValidation allowBlank="1" showInputMessage="1" showErrorMessage="1" prompt="Automatically updated year based on year entered in January worksheet" sqref="AH6" xr:uid="{D534D450-4040-4C4B-ACFB-E0820ABC2CFC}"/>
    <dataValidation allowBlank="1" showInputMessage="1" showErrorMessage="1" prompt="Automatically calculates total number of days an employee was absent this month in this column" sqref="AH8" xr:uid="{DC341019-F88D-494A-80A9-FE7E975A2861}"/>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8" xr:uid="{F36BC021-F71B-E743-A612-BDD36FE48F9B}"/>
    <dataValidation allowBlank="1" showInputMessage="1" showErrorMessage="1" prompt="Automatically updated title is in this cell. To modify the title, update B1 on January worksheet" sqref="B2" xr:uid="{FC807180-F3E3-414D-9702-8FBC5210B550}"/>
    <dataValidation allowBlank="1" showInputMessage="1" showErrorMessage="1" prompt="The letter &quot;V&quot; indicates absence due to vacation" sqref="C4" xr:uid="{9CBE34E6-0511-5048-AE20-9F897B187012}"/>
    <dataValidation allowBlank="1" showInputMessage="1" showErrorMessage="1" prompt="The letter &quot;P&quot; indicates absence due to personal reasons" sqref="G4" xr:uid="{5419C718-C3A6-674F-AF48-3D453E137C51}"/>
    <dataValidation allowBlank="1" showInputMessage="1" showErrorMessage="1" prompt="The letter &quot;S&quot; indicates absence due to illness" sqref="K4" xr:uid="{18D615F6-AC13-3C41-A34B-EA42A09C3C9E}"/>
    <dataValidation allowBlank="1" showInputMessage="1" showErrorMessage="1" prompt="Enter a letter and customize the label at right to add another key item" sqref="N4 R4" xr:uid="{D6CD6DEA-0056-CD45-92F4-DEFAAA621621}"/>
    <dataValidation allowBlank="1" showInputMessage="1" showErrorMessage="1" prompt="Enter a label to describe the custom key at left" sqref="O4:Q4 S4:U4" xr:uid="{3D377D6E-BC27-654F-9B85-1EA9759F1F9B}"/>
    <dataValidation allowBlank="1" showInputMessage="1" showErrorMessage="1" prompt="Month name for this absence schedule is in this cell. Absence totals for this month are in last cell of the table. Select employee names in table column B" sqref="B2" xr:uid="{8A4BB08A-5DC1-A74C-9332-E844D960CD41}"/>
    <dataValidation allowBlank="1" showInputMessage="1" showErrorMessage="1" prompt="Days of the month in this row are automatically generated. Enter an employee's absence and absence type in each column for each day of the month. Blank means no absence" sqref="C8" xr:uid="{D8726BCE-956C-3B41-916D-0B0F98B156A4}"/>
    <dataValidation allowBlank="1" showInputMessage="1" showErrorMessage="1" prompt="Weekdays in this row are automatically updated for the month according to the year in AH4. Each day of the month is a column to note an employee's absence and absence type" sqref="C7" xr:uid="{492FF65C-4A5C-D048-AC41-58954D7E6423}"/>
    <dataValidation allowBlank="1" showInputMessage="1" showErrorMessage="1" prompt="Track March absence in this worksheet" sqref="A1" xr:uid="{9C29030B-C671-584C-88AB-6E5DAA9E8710}"/>
    <dataValidation allowBlank="1" showInputMessage="1" showErrorMessage="1" prompt="This row defines the keys used in the table: cell C4 is Vacation, G4 is Personal, &amp; K4 is Sick leave. Cells N4 &amp; R4 are customizable " sqref="B4" xr:uid="{5938E394-FC66-4AD8-81BE-3B6CE81FAFA6}"/>
    <dataValidation allowBlank="1" showInputMessage="1" showErrorMessage="1" prompt="Title of the worksheet is in this cell. " sqref="B1" xr:uid="{CFDFBA1E-67F5-48E1-9539-54C88919AFDF}"/>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6C51CE4-E5A5-6548-B677-75BFC57A1AE7}">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A0626E6-C18A-DC42-8971-E3030B4FEB3F}">
          <x14:formula1>
            <xm:f>'Employee names'!$B$4:$B$8</xm:f>
          </x14:formula1>
          <xm:sqref>B9:B13</xm:sqref>
        </x14:dataValidation>
      </x14:dataValidations>
    </ext>
  </extLst>
</worksheet>
</file>

<file path=xl/worksheets/sheet5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pageSetUpPr fitToPage="1"/>
  </sheetPr>
  <dimension ref="B1:AH14"/>
  <sheetViews>
    <sheetView showGridLines="0" zoomScaleNormal="100" workbookViewId="0"/>
  </sheetViews>
  <sheetFormatPr defaultColWidth="8.77734375" defaultRowHeight="30" customHeight="1" x14ac:dyDescent="0.3"/>
  <cols>
    <col min="1" max="1" width="2.6640625" customWidth="1"/>
    <col min="2" max="2" width="25.6640625" customWidth="1"/>
    <col min="3" max="33" width="4.6640625" customWidth="1"/>
    <col min="34" max="34" width="13.44140625" customWidth="1"/>
    <col min="35" max="35" width="2.6640625" customWidth="1"/>
  </cols>
  <sheetData>
    <row r="1" spans="2:34" ht="49.95" customHeight="1" x14ac:dyDescent="0.45">
      <c r="B1" s="26" t="s">
        <v>54</v>
      </c>
    </row>
    <row r="2" spans="2:34" ht="100.05" customHeight="1" x14ac:dyDescent="0.3">
      <c r="B2" s="28" t="s">
        <v>45</v>
      </c>
    </row>
    <row r="3" spans="2:34" ht="15" customHeight="1" x14ac:dyDescent="0.3">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x14ac:dyDescent="0.3">
      <c r="B4" s="8" t="s">
        <v>55</v>
      </c>
      <c r="C4" s="31" t="s">
        <v>32</v>
      </c>
      <c r="D4" s="36" t="s">
        <v>37</v>
      </c>
      <c r="E4" s="36"/>
      <c r="F4" s="36"/>
      <c r="G4" s="29" t="s">
        <v>35</v>
      </c>
      <c r="H4" s="36" t="s">
        <v>38</v>
      </c>
      <c r="I4" s="36"/>
      <c r="J4" s="36"/>
      <c r="K4" s="30" t="s">
        <v>31</v>
      </c>
      <c r="L4" s="36" t="s">
        <v>39</v>
      </c>
      <c r="M4" s="36"/>
      <c r="N4" s="19"/>
      <c r="O4" s="36" t="s">
        <v>40</v>
      </c>
      <c r="P4" s="36"/>
      <c r="Q4" s="36"/>
      <c r="R4" s="20"/>
      <c r="S4" s="36" t="s">
        <v>41</v>
      </c>
      <c r="T4" s="36"/>
      <c r="U4" s="36"/>
    </row>
    <row r="5" spans="2:34" ht="14.4" x14ac:dyDescent="0.3">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5" customHeight="1" x14ac:dyDescent="0.3">
      <c r="B6" s="7"/>
      <c r="C6" s="35" t="s">
        <v>56</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 ca="1">CalendarYear</f>
        <v>2024</v>
      </c>
    </row>
    <row r="7" spans="2:34" ht="30" customHeight="1" x14ac:dyDescent="0.3">
      <c r="B7" s="7"/>
      <c r="C7" s="23" t="str">
        <f ca="1">TEXT(WEEKDAY(DATE(CalendarYear,5,1),1),"aaa")</f>
        <v>Wed</v>
      </c>
      <c r="D7" s="23" t="str">
        <f ca="1">TEXT(WEEKDAY(DATE(CalendarYear,5,2),1),"aaa")</f>
        <v>Thu</v>
      </c>
      <c r="E7" s="23" t="str">
        <f ca="1">TEXT(WEEKDAY(DATE(CalendarYear,5,3),1),"aaa")</f>
        <v>Fri</v>
      </c>
      <c r="F7" s="23" t="str">
        <f ca="1">TEXT(WEEKDAY(DATE(CalendarYear,5,4),1),"aaa")</f>
        <v>Sat</v>
      </c>
      <c r="G7" s="23" t="str">
        <f ca="1">TEXT(WEEKDAY(DATE(CalendarYear,5,5),1),"aaa")</f>
        <v>Sun</v>
      </c>
      <c r="H7" s="23" t="str">
        <f ca="1">TEXT(WEEKDAY(DATE(CalendarYear,5,6),1),"aaa")</f>
        <v>Mon</v>
      </c>
      <c r="I7" s="23" t="str">
        <f ca="1">TEXT(WEEKDAY(DATE(CalendarYear,5,7),1),"aaa")</f>
        <v>Tue</v>
      </c>
      <c r="J7" s="23" t="str">
        <f ca="1">TEXT(WEEKDAY(DATE(CalendarYear,5,8),1),"aaa")</f>
        <v>Wed</v>
      </c>
      <c r="K7" s="23" t="str">
        <f ca="1">TEXT(WEEKDAY(DATE(CalendarYear,5,9),1),"aaa")</f>
        <v>Thu</v>
      </c>
      <c r="L7" s="23" t="str">
        <f ca="1">TEXT(WEEKDAY(DATE(CalendarYear,5,10),1),"aaa")</f>
        <v>Fri</v>
      </c>
      <c r="M7" s="23" t="str">
        <f ca="1">TEXT(WEEKDAY(DATE(CalendarYear,5,11),1),"aaa")</f>
        <v>Sat</v>
      </c>
      <c r="N7" s="23" t="str">
        <f ca="1">TEXT(WEEKDAY(DATE(CalendarYear,5,12),1),"aaa")</f>
        <v>Sun</v>
      </c>
      <c r="O7" s="23" t="str">
        <f ca="1">TEXT(WEEKDAY(DATE(CalendarYear,5,13),1),"aaa")</f>
        <v>Mon</v>
      </c>
      <c r="P7" s="23" t="str">
        <f ca="1">TEXT(WEEKDAY(DATE(CalendarYear,5,14),1),"aaa")</f>
        <v>Tue</v>
      </c>
      <c r="Q7" s="23" t="str">
        <f ca="1">TEXT(WEEKDAY(DATE(CalendarYear,5,15),1),"aaa")</f>
        <v>Wed</v>
      </c>
      <c r="R7" s="23" t="str">
        <f ca="1">TEXT(WEEKDAY(DATE(CalendarYear,5,16),1),"aaa")</f>
        <v>Thu</v>
      </c>
      <c r="S7" s="23" t="str">
        <f ca="1">TEXT(WEEKDAY(DATE(CalendarYear,5,17),1),"aaa")</f>
        <v>Fri</v>
      </c>
      <c r="T7" s="23" t="str">
        <f ca="1">TEXT(WEEKDAY(DATE(CalendarYear,5,18),1),"aaa")</f>
        <v>Sat</v>
      </c>
      <c r="U7" s="23" t="str">
        <f ca="1">TEXT(WEEKDAY(DATE(CalendarYear,5,19),1),"aaa")</f>
        <v>Sun</v>
      </c>
      <c r="V7" s="23" t="str">
        <f ca="1">TEXT(WEEKDAY(DATE(CalendarYear,5,20),1),"aaa")</f>
        <v>Mon</v>
      </c>
      <c r="W7" s="23" t="str">
        <f ca="1">TEXT(WEEKDAY(DATE(CalendarYear,5,21),1),"aaa")</f>
        <v>Tue</v>
      </c>
      <c r="X7" s="23" t="str">
        <f ca="1">TEXT(WEEKDAY(DATE(CalendarYear,5,22),1),"aaa")</f>
        <v>Wed</v>
      </c>
      <c r="Y7" s="23" t="str">
        <f ca="1">TEXT(WEEKDAY(DATE(CalendarYear,5,23),1),"aaa")</f>
        <v>Thu</v>
      </c>
      <c r="Z7" s="23" t="str">
        <f ca="1">TEXT(WEEKDAY(DATE(CalendarYear,5,24),1),"aaa")</f>
        <v>Fri</v>
      </c>
      <c r="AA7" s="23" t="str">
        <f ca="1">TEXT(WEEKDAY(DATE(CalendarYear,5,25),1),"aaa")</f>
        <v>Sat</v>
      </c>
      <c r="AB7" s="23" t="str">
        <f ca="1">TEXT(WEEKDAY(DATE(CalendarYear,5,26),1),"aaa")</f>
        <v>Sun</v>
      </c>
      <c r="AC7" s="23" t="str">
        <f ca="1">TEXT(WEEKDAY(DATE(CalendarYear,5,27),1),"aaa")</f>
        <v>Mon</v>
      </c>
      <c r="AD7" s="23" t="str">
        <f ca="1">TEXT(WEEKDAY(DATE(CalendarYear,5,28),1),"aaa")</f>
        <v>Tue</v>
      </c>
      <c r="AE7" s="23" t="str">
        <f ca="1">TEXT(WEEKDAY(DATE(CalendarYear,5,29),1),"aaa")</f>
        <v>Wed</v>
      </c>
      <c r="AF7" s="23" t="str">
        <f ca="1">TEXT(WEEKDAY(DATE(CalendarYear,5,30),1),"aaa")</f>
        <v>Thu</v>
      </c>
      <c r="AG7" s="23" t="str">
        <f ca="1">TEXT(WEEKDAY(DATE(CalendarYear,5,31),1),"aaa")</f>
        <v>Fri</v>
      </c>
      <c r="AH7" s="7"/>
    </row>
    <row r="8" spans="2:34" ht="30" customHeight="1" x14ac:dyDescent="0.3">
      <c r="B8" s="22" t="s">
        <v>62</v>
      </c>
      <c r="C8" s="1" t="s">
        <v>0</v>
      </c>
      <c r="D8" s="1" t="s">
        <v>1</v>
      </c>
      <c r="E8" s="1" t="s">
        <v>2</v>
      </c>
      <c r="F8" s="1" t="s">
        <v>3</v>
      </c>
      <c r="G8" s="1" t="s">
        <v>4</v>
      </c>
      <c r="H8" s="1" t="s">
        <v>5</v>
      </c>
      <c r="I8" s="1" t="s">
        <v>6</v>
      </c>
      <c r="J8" s="1" t="s">
        <v>7</v>
      </c>
      <c r="K8" s="1" t="s">
        <v>8</v>
      </c>
      <c r="L8" s="1" t="s">
        <v>9</v>
      </c>
      <c r="M8" s="1" t="s">
        <v>10</v>
      </c>
      <c r="N8" s="1" t="s">
        <v>11</v>
      </c>
      <c r="O8" s="1" t="s">
        <v>12</v>
      </c>
      <c r="P8" s="1" t="s">
        <v>13</v>
      </c>
      <c r="Q8" s="1" t="s">
        <v>14</v>
      </c>
      <c r="R8" s="1" t="s">
        <v>15</v>
      </c>
      <c r="S8" s="1" t="s">
        <v>16</v>
      </c>
      <c r="T8" s="1" t="s">
        <v>17</v>
      </c>
      <c r="U8" s="1" t="s">
        <v>18</v>
      </c>
      <c r="V8" s="1" t="s">
        <v>19</v>
      </c>
      <c r="W8" s="1" t="s">
        <v>20</v>
      </c>
      <c r="X8" s="1" t="s">
        <v>21</v>
      </c>
      <c r="Y8" s="1" t="s">
        <v>22</v>
      </c>
      <c r="Z8" s="1" t="s">
        <v>23</v>
      </c>
      <c r="AA8" s="1" t="s">
        <v>24</v>
      </c>
      <c r="AB8" s="1" t="s">
        <v>25</v>
      </c>
      <c r="AC8" s="1" t="s">
        <v>26</v>
      </c>
      <c r="AD8" s="1" t="s">
        <v>27</v>
      </c>
      <c r="AE8" s="1" t="s">
        <v>28</v>
      </c>
      <c r="AF8" s="1" t="s">
        <v>29</v>
      </c>
      <c r="AG8" s="1" t="s">
        <v>30</v>
      </c>
      <c r="AH8" s="24" t="s">
        <v>63</v>
      </c>
    </row>
    <row r="9" spans="2:34" ht="30" customHeight="1" x14ac:dyDescent="0.3">
      <c r="B9" s="2" t="s">
        <v>57</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COUNTA(March58[[#This Row],[1]:[31]])</f>
        <v>0</v>
      </c>
    </row>
    <row r="10" spans="2:34" ht="30" customHeight="1" x14ac:dyDescent="0.3">
      <c r="B10" s="2" t="s">
        <v>58</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COUNTA(March58[[#This Row],[1]:[31]])</f>
        <v>0</v>
      </c>
    </row>
    <row r="11" spans="2:34" ht="30" customHeight="1" x14ac:dyDescent="0.3">
      <c r="B11" s="2" t="s">
        <v>59</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COUNTA(March58[[#This Row],[1]:[31]])</f>
        <v>0</v>
      </c>
    </row>
    <row r="12" spans="2:34" ht="30" customHeight="1" x14ac:dyDescent="0.3">
      <c r="B12" s="2" t="s">
        <v>60</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COUNTA(March58[[#This Row],[1]:[31]])</f>
        <v>0</v>
      </c>
    </row>
    <row r="13" spans="2:34" ht="30" customHeight="1" x14ac:dyDescent="0.3">
      <c r="B13" s="2" t="s">
        <v>61</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COUNTA(March58[[#This Row],[1]:[31]])</f>
        <v>0</v>
      </c>
    </row>
    <row r="14" spans="2:34" ht="30" customHeight="1" x14ac:dyDescent="0.3">
      <c r="B14" s="5" t="str">
        <f>MonthName&amp;" Total"</f>
        <v>Absence type key Total</v>
      </c>
      <c r="C14" s="4">
        <f>SUBTOTAL(103,March58[1])</f>
        <v>0</v>
      </c>
      <c r="D14" s="4">
        <f>SUBTOTAL(103,March58[2])</f>
        <v>0</v>
      </c>
      <c r="E14" s="4">
        <f>SUBTOTAL(103,March58[3])</f>
        <v>0</v>
      </c>
      <c r="F14" s="4">
        <f>SUBTOTAL(103,March58[4])</f>
        <v>0</v>
      </c>
      <c r="G14" s="4">
        <f>SUBTOTAL(103,March58[5])</f>
        <v>0</v>
      </c>
      <c r="H14" s="4">
        <f>SUBTOTAL(103,March58[6])</f>
        <v>0</v>
      </c>
      <c r="I14" s="4">
        <f>SUBTOTAL(103,March58[7])</f>
        <v>0</v>
      </c>
      <c r="J14" s="4">
        <f>SUBTOTAL(103,March58[8])</f>
        <v>0</v>
      </c>
      <c r="K14" s="4">
        <f>SUBTOTAL(103,March58[9])</f>
        <v>0</v>
      </c>
      <c r="L14" s="4">
        <f>SUBTOTAL(103,March58[10])</f>
        <v>0</v>
      </c>
      <c r="M14" s="4">
        <f>SUBTOTAL(103,March58[11])</f>
        <v>0</v>
      </c>
      <c r="N14" s="4">
        <f>SUBTOTAL(103,March58[12])</f>
        <v>0</v>
      </c>
      <c r="O14" s="4">
        <f>SUBTOTAL(103,March58[13])</f>
        <v>0</v>
      </c>
      <c r="P14" s="4">
        <f>SUBTOTAL(103,March58[14])</f>
        <v>0</v>
      </c>
      <c r="Q14" s="4">
        <f>SUBTOTAL(103,March58[15])</f>
        <v>0</v>
      </c>
      <c r="R14" s="4">
        <f>SUBTOTAL(103,March58[16])</f>
        <v>0</v>
      </c>
      <c r="S14" s="4">
        <f>SUBTOTAL(103,March58[17])</f>
        <v>0</v>
      </c>
      <c r="T14" s="4">
        <f>SUBTOTAL(103,March58[18])</f>
        <v>0</v>
      </c>
      <c r="U14" s="4">
        <f>SUBTOTAL(103,March58[19])</f>
        <v>0</v>
      </c>
      <c r="V14" s="4">
        <f>SUBTOTAL(103,March58[20])</f>
        <v>0</v>
      </c>
      <c r="W14" s="4">
        <f>SUBTOTAL(103,March58[21])</f>
        <v>0</v>
      </c>
      <c r="X14" s="4">
        <f>SUBTOTAL(103,March58[22])</f>
        <v>0</v>
      </c>
      <c r="Y14" s="4">
        <f>SUBTOTAL(103,March58[23])</f>
        <v>0</v>
      </c>
      <c r="Z14" s="4">
        <f>SUBTOTAL(103,March58[24])</f>
        <v>0</v>
      </c>
      <c r="AA14" s="4">
        <f>SUBTOTAL(103,March58[25])</f>
        <v>0</v>
      </c>
      <c r="AB14" s="4">
        <f>SUBTOTAL(103,March58[26])</f>
        <v>0</v>
      </c>
      <c r="AC14" s="4">
        <f>SUBTOTAL(103,March58[27])</f>
        <v>0</v>
      </c>
      <c r="AD14" s="4">
        <f>SUBTOTAL(103,March58[28])</f>
        <v>0</v>
      </c>
      <c r="AE14" s="4">
        <f>SUBTOTAL(103,March58[29])</f>
        <v>0</v>
      </c>
      <c r="AF14" s="4">
        <f>SUBTOTAL(109,March58[30])</f>
        <v>0</v>
      </c>
      <c r="AG14" s="4">
        <f>SUBTOTAL(109,March58[31])</f>
        <v>0</v>
      </c>
      <c r="AH14" s="4">
        <f>SUBTOTAL(109,March58[Total days])</f>
        <v>0</v>
      </c>
    </row>
  </sheetData>
  <mergeCells count="6">
    <mergeCell ref="C6:AG6"/>
    <mergeCell ref="D4:F4"/>
    <mergeCell ref="H4:J4"/>
    <mergeCell ref="L4:M4"/>
    <mergeCell ref="O4:Q4"/>
    <mergeCell ref="S4:U4"/>
  </mergeCells>
  <conditionalFormatting sqref="C9:AG13">
    <cfRule type="expression" priority="1" stopIfTrue="1">
      <formula>C9=""</formula>
    </cfRule>
    <cfRule type="expression" dxfId="39" priority="2" stopIfTrue="1">
      <formula>C9=KeyCustom2</formula>
    </cfRule>
    <cfRule type="expression" dxfId="38" priority="3" stopIfTrue="1">
      <formula>C9=KeyCustom1</formula>
    </cfRule>
    <cfRule type="expression" dxfId="37" priority="4" stopIfTrue="1">
      <formula>C9=KeySick</formula>
    </cfRule>
    <cfRule type="expression" dxfId="36" priority="5" stopIfTrue="1">
      <formula>C9=KeyPersonal</formula>
    </cfRule>
    <cfRule type="expression" dxfId="35"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{A375B1A4-CE4E-6D4B-BAE6-14354F30C96E}</x14:id>
        </ext>
      </extLst>
    </cfRule>
  </conditionalFormatting>
  <dataValidations count="15">
    <dataValidation allowBlank="1" showInputMessage="1" showErrorMessage="1" prompt="Days of the month in this row are automatically generated. Enter an employee's absence and absence type in each column for each day of the month. Blank means no absence" sqref="C8" xr:uid="{335D4725-041B-2E47-BBA9-5D657DA932CD}"/>
    <dataValidation allowBlank="1" showInputMessage="1" showErrorMessage="1" prompt="Enter a label to describe the custom key at left" sqref="O4:Q4 S4:U4" xr:uid="{F2F4B9BA-4CA6-A143-BE13-C064DBB63530}"/>
    <dataValidation allowBlank="1" showInputMessage="1" showErrorMessage="1" prompt="Enter a letter and customize the label at right to add another key item" sqref="N4 R4" xr:uid="{CF766EB9-3E0D-684E-A12B-CB8F4BAD775E}"/>
    <dataValidation allowBlank="1" showInputMessage="1" showErrorMessage="1" prompt="The letter &quot;S&quot; indicates absence due to illness" sqref="K4" xr:uid="{3537E7A5-9E96-464A-B5FE-F2820F66FFBD}"/>
    <dataValidation allowBlank="1" showInputMessage="1" showErrorMessage="1" prompt="The letter &quot;P&quot; indicates absence due to personal reasons" sqref="G4" xr:uid="{6ADF4CD3-D63B-E545-894D-A95EAB7AA9C6}"/>
    <dataValidation allowBlank="1" showInputMessage="1" showErrorMessage="1" prompt="The letter &quot;V&quot; indicates absence due to vacation" sqref="C4" xr:uid="{71A4EE94-BDAB-1543-9622-ADA5E60EF442}"/>
    <dataValidation allowBlank="1" showInputMessage="1" showErrorMessage="1" prompt="Automatically updated title is in this cell. To modify the title, update B1 on January worksheet" sqref="B2" xr:uid="{AF65042B-CFA9-EE45-B22D-BF607EFD23A2}"/>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8" xr:uid="{5151223E-F15A-CC42-BB59-D2CDBDCF3261}"/>
    <dataValidation allowBlank="1" showInputMessage="1" showErrorMessage="1" prompt="Automatically calculates total number of days an employee was absent this month in this column" sqref="AH8" xr:uid="{AA6AB7B7-5D91-F64F-B211-A848209375D2}"/>
    <dataValidation allowBlank="1" showInputMessage="1" showErrorMessage="1" prompt="Automatically updated year based on year entered in January worksheet" sqref="AH6" xr:uid="{B487DEDD-C1B1-7244-96C6-F378FEF21F51}"/>
    <dataValidation allowBlank="1" showInputMessage="1" showErrorMessage="1" prompt="Weekdays in this row are automatically updated for the month according to the year in AH4. Each day of the month is a column to note an employee's absence and absence type" sqref="C7" xr:uid="{01F3DA31-27D6-FF4D-B48B-4013BF344DCF}"/>
    <dataValidation allowBlank="1" showInputMessage="1" showErrorMessage="1" prompt="Track March absence in this worksheet" sqref="A1" xr:uid="{13CF1C37-090E-F24B-AF68-CAE6199B19CC}"/>
    <dataValidation allowBlank="1" showInputMessage="1" showErrorMessage="1" prompt="Month name for this absence schedule is in this cell. Absence totals for this month are in last cell of the table. Select employee names in table column B" sqref="B2" xr:uid="{B5AA8D04-FE35-8C4F-90FD-347160FC6301}"/>
    <dataValidation allowBlank="1" showInputMessage="1" showErrorMessage="1" prompt="This row defines the keys used in the table: cell C4 is Vacation, G4 is Personal, &amp; K4 is Sick leave. Cells N4 &amp; R4 are customizable " sqref="B4" xr:uid="{E5AF47AE-EACF-4382-8995-97EA4D653F4A}"/>
    <dataValidation allowBlank="1" showInputMessage="1" showErrorMessage="1" prompt="Title of the worksheet is in this cell. " sqref="B1" xr:uid="{4F7FEADB-B66E-49E8-AD11-DB789AA552A4}"/>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375B1A4-CE4E-6D4B-BAE6-14354F30C96E}">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1B1DACF-B091-8040-A452-F5B0F1F6A6F7}">
          <x14:formula1>
            <xm:f>'Employee names'!$B$4:$B$8</xm:f>
          </x14:formula1>
          <xm:sqref>B9:B13</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pageSetUpPr fitToPage="1"/>
  </sheetPr>
  <dimension ref="B1:AH14"/>
  <sheetViews>
    <sheetView showGridLines="0" zoomScaleNormal="100" workbookViewId="0"/>
  </sheetViews>
  <sheetFormatPr defaultColWidth="8.77734375" defaultRowHeight="30" customHeight="1" x14ac:dyDescent="0.3"/>
  <cols>
    <col min="1" max="1" width="2.6640625" customWidth="1"/>
    <col min="2" max="2" width="25.6640625" customWidth="1"/>
    <col min="3" max="33" width="4.6640625" customWidth="1"/>
    <col min="34" max="34" width="13.44140625" customWidth="1"/>
    <col min="35" max="35" width="2.6640625" customWidth="1"/>
  </cols>
  <sheetData>
    <row r="1" spans="2:34" ht="50.25" customHeight="1" x14ac:dyDescent="0.45">
      <c r="B1" s="26" t="s">
        <v>54</v>
      </c>
    </row>
    <row r="2" spans="2:34" ht="100.05" customHeight="1" x14ac:dyDescent="0.3">
      <c r="B2" s="33" t="s">
        <v>46</v>
      </c>
    </row>
    <row r="3" spans="2:34" ht="15" customHeight="1" x14ac:dyDescent="0.3">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x14ac:dyDescent="0.3">
      <c r="B4" s="8" t="s">
        <v>55</v>
      </c>
      <c r="C4" s="31" t="s">
        <v>32</v>
      </c>
      <c r="D4" s="36" t="s">
        <v>37</v>
      </c>
      <c r="E4" s="36"/>
      <c r="F4" s="36"/>
      <c r="G4" s="29" t="s">
        <v>35</v>
      </c>
      <c r="H4" s="36" t="s">
        <v>38</v>
      </c>
      <c r="I4" s="36"/>
      <c r="J4" s="36"/>
      <c r="K4" s="30" t="s">
        <v>31</v>
      </c>
      <c r="L4" s="36" t="s">
        <v>39</v>
      </c>
      <c r="M4" s="36"/>
      <c r="N4" s="19"/>
      <c r="O4" s="36" t="s">
        <v>40</v>
      </c>
      <c r="P4" s="36"/>
      <c r="Q4" s="36"/>
      <c r="R4" s="20"/>
      <c r="S4" s="36" t="s">
        <v>41</v>
      </c>
      <c r="T4" s="36"/>
      <c r="U4" s="36"/>
    </row>
    <row r="5" spans="2:34" ht="15" customHeight="1" x14ac:dyDescent="0.3">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5" customHeight="1" x14ac:dyDescent="0.3">
      <c r="B6" s="7"/>
      <c r="C6" s="35" t="s">
        <v>56</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 ca="1">CalendarYear</f>
        <v>2024</v>
      </c>
    </row>
    <row r="7" spans="2:34" ht="30" customHeight="1" x14ac:dyDescent="0.3">
      <c r="B7" s="7"/>
      <c r="C7" s="23" t="str">
        <f ca="1">TEXT(WEEKDAY(DATE(CalendarYear,6,1),1),"aaa")</f>
        <v>Sat</v>
      </c>
      <c r="D7" s="23" t="str">
        <f ca="1">TEXT(WEEKDAY(DATE(CalendarYear,6,2),1),"aaa")</f>
        <v>Sun</v>
      </c>
      <c r="E7" s="23" t="str">
        <f ca="1">TEXT(WEEKDAY(DATE(CalendarYear,6,3),1),"aaa")</f>
        <v>Mon</v>
      </c>
      <c r="F7" s="23" t="str">
        <f ca="1">TEXT(WEEKDAY(DATE(CalendarYear,6,4),1),"aaa")</f>
        <v>Tue</v>
      </c>
      <c r="G7" s="23" t="str">
        <f ca="1">TEXT(WEEKDAY(DATE(CalendarYear,6,5),1),"aaa")</f>
        <v>Wed</v>
      </c>
      <c r="H7" s="23" t="str">
        <f ca="1">TEXT(WEEKDAY(DATE(CalendarYear,6,6),1),"aaa")</f>
        <v>Thu</v>
      </c>
      <c r="I7" s="23" t="str">
        <f ca="1">TEXT(WEEKDAY(DATE(CalendarYear,6,7),1),"aaa")</f>
        <v>Fri</v>
      </c>
      <c r="J7" s="23" t="str">
        <f ca="1">TEXT(WEEKDAY(DATE(CalendarYear,6,8),1),"aaa")</f>
        <v>Sat</v>
      </c>
      <c r="K7" s="23" t="str">
        <f ca="1">TEXT(WEEKDAY(DATE(CalendarYear,6,9),1),"aaa")</f>
        <v>Sun</v>
      </c>
      <c r="L7" s="23" t="str">
        <f ca="1">TEXT(WEEKDAY(DATE(CalendarYear,6,10),1),"aaa")</f>
        <v>Mon</v>
      </c>
      <c r="M7" s="23" t="str">
        <f ca="1">TEXT(WEEKDAY(DATE(CalendarYear,6,11),1),"aaa")</f>
        <v>Tue</v>
      </c>
      <c r="N7" s="23" t="str">
        <f ca="1">TEXT(WEEKDAY(DATE(CalendarYear,6,12),1),"aaa")</f>
        <v>Wed</v>
      </c>
      <c r="O7" s="23" t="str">
        <f ca="1">TEXT(WEEKDAY(DATE(CalendarYear,6,13),1),"aaa")</f>
        <v>Thu</v>
      </c>
      <c r="P7" s="23" t="str">
        <f ca="1">TEXT(WEEKDAY(DATE(CalendarYear,6,14),1),"aaa")</f>
        <v>Fri</v>
      </c>
      <c r="Q7" s="23" t="str">
        <f ca="1">TEXT(WEEKDAY(DATE(CalendarYear,6,15),1),"aaa")</f>
        <v>Sat</v>
      </c>
      <c r="R7" s="23" t="str">
        <f ca="1">TEXT(WEEKDAY(DATE(CalendarYear,6,16),1),"aaa")</f>
        <v>Sun</v>
      </c>
      <c r="S7" s="23" t="str">
        <f ca="1">TEXT(WEEKDAY(DATE(CalendarYear,6,17),1),"aaa")</f>
        <v>Mon</v>
      </c>
      <c r="T7" s="23" t="str">
        <f ca="1">TEXT(WEEKDAY(DATE(CalendarYear,6,18),1),"aaa")</f>
        <v>Tue</v>
      </c>
      <c r="U7" s="23" t="str">
        <f ca="1">TEXT(WEEKDAY(DATE(CalendarYear,6,19),1),"aaa")</f>
        <v>Wed</v>
      </c>
      <c r="V7" s="23" t="str">
        <f ca="1">TEXT(WEEKDAY(DATE(CalendarYear,6,20),1),"aaa")</f>
        <v>Thu</v>
      </c>
      <c r="W7" s="23" t="str">
        <f ca="1">TEXT(WEEKDAY(DATE(CalendarYear,6,21),1),"aaa")</f>
        <v>Fri</v>
      </c>
      <c r="X7" s="23" t="str">
        <f ca="1">TEXT(WEEKDAY(DATE(CalendarYear,6,22),1),"aaa")</f>
        <v>Sat</v>
      </c>
      <c r="Y7" s="23" t="str">
        <f ca="1">TEXT(WEEKDAY(DATE(CalendarYear,6,23),1),"aaa")</f>
        <v>Sun</v>
      </c>
      <c r="Z7" s="23" t="str">
        <f ca="1">TEXT(WEEKDAY(DATE(CalendarYear,6,24),1),"aaa")</f>
        <v>Mon</v>
      </c>
      <c r="AA7" s="23" t="str">
        <f ca="1">TEXT(WEEKDAY(DATE(CalendarYear,6,25),1),"aaa")</f>
        <v>Tue</v>
      </c>
      <c r="AB7" s="23" t="str">
        <f ca="1">TEXT(WEEKDAY(DATE(CalendarYear,6,26),1),"aaa")</f>
        <v>Wed</v>
      </c>
      <c r="AC7" s="23" t="str">
        <f ca="1">TEXT(WEEKDAY(DATE(CalendarYear,6,27),1),"aaa")</f>
        <v>Thu</v>
      </c>
      <c r="AD7" s="23" t="str">
        <f ca="1">TEXT(WEEKDAY(DATE(CalendarYear,6,28),1),"aaa")</f>
        <v>Fri</v>
      </c>
      <c r="AE7" s="23" t="str">
        <f ca="1">TEXT(WEEKDAY(DATE(CalendarYear,6,29),1),"aaa")</f>
        <v>Sat</v>
      </c>
      <c r="AF7" s="23" t="str">
        <f ca="1">TEXT(WEEKDAY(DATE(CalendarYear,6,30),1),"aaa")</f>
        <v>Sun</v>
      </c>
      <c r="AG7" s="23"/>
      <c r="AH7" s="7"/>
    </row>
    <row r="8" spans="2:34" ht="30" customHeight="1" x14ac:dyDescent="0.3">
      <c r="B8" s="22" t="s">
        <v>62</v>
      </c>
      <c r="C8" s="1" t="s">
        <v>0</v>
      </c>
      <c r="D8" s="1" t="s">
        <v>1</v>
      </c>
      <c r="E8" s="1" t="s">
        <v>2</v>
      </c>
      <c r="F8" s="1" t="s">
        <v>3</v>
      </c>
      <c r="G8" s="1" t="s">
        <v>4</v>
      </c>
      <c r="H8" s="1" t="s">
        <v>5</v>
      </c>
      <c r="I8" s="1" t="s">
        <v>6</v>
      </c>
      <c r="J8" s="1" t="s">
        <v>7</v>
      </c>
      <c r="K8" s="1" t="s">
        <v>8</v>
      </c>
      <c r="L8" s="1" t="s">
        <v>9</v>
      </c>
      <c r="M8" s="1" t="s">
        <v>10</v>
      </c>
      <c r="N8" s="1" t="s">
        <v>11</v>
      </c>
      <c r="O8" s="1" t="s">
        <v>12</v>
      </c>
      <c r="P8" s="1" t="s">
        <v>13</v>
      </c>
      <c r="Q8" s="1" t="s">
        <v>14</v>
      </c>
      <c r="R8" s="1" t="s">
        <v>15</v>
      </c>
      <c r="S8" s="1" t="s">
        <v>16</v>
      </c>
      <c r="T8" s="1" t="s">
        <v>17</v>
      </c>
      <c r="U8" s="1" t="s">
        <v>18</v>
      </c>
      <c r="V8" s="1" t="s">
        <v>19</v>
      </c>
      <c r="W8" s="1" t="s">
        <v>20</v>
      </c>
      <c r="X8" s="1" t="s">
        <v>21</v>
      </c>
      <c r="Y8" s="1" t="s">
        <v>22</v>
      </c>
      <c r="Z8" s="1" t="s">
        <v>23</v>
      </c>
      <c r="AA8" s="1" t="s">
        <v>24</v>
      </c>
      <c r="AB8" s="1" t="s">
        <v>25</v>
      </c>
      <c r="AC8" s="1" t="s">
        <v>26</v>
      </c>
      <c r="AD8" s="1" t="s">
        <v>27</v>
      </c>
      <c r="AE8" s="1" t="s">
        <v>28</v>
      </c>
      <c r="AF8" s="1" t="s">
        <v>29</v>
      </c>
      <c r="AG8" s="1" t="s">
        <v>33</v>
      </c>
      <c r="AH8" s="24" t="s">
        <v>63</v>
      </c>
    </row>
    <row r="9" spans="2:34" ht="30" customHeight="1" x14ac:dyDescent="0.3">
      <c r="B9" s="2" t="s">
        <v>57</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COUNTA(June[[#This Row],[1]:[ ]])</f>
        <v>0</v>
      </c>
    </row>
    <row r="10" spans="2:34" ht="30" customHeight="1" x14ac:dyDescent="0.3">
      <c r="B10" s="2" t="s">
        <v>58</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COUNTA(June[[#This Row],[1]:[ ]])</f>
        <v>0</v>
      </c>
    </row>
    <row r="11" spans="2:34" ht="30" customHeight="1" x14ac:dyDescent="0.3">
      <c r="B11" s="2" t="s">
        <v>59</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COUNTA(June[[#This Row],[1]:[ ]])</f>
        <v>0</v>
      </c>
    </row>
    <row r="12" spans="2:34" ht="30" customHeight="1" x14ac:dyDescent="0.3">
      <c r="B12" s="2" t="s">
        <v>60</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COUNTA(June[[#This Row],[1]:[ ]])</f>
        <v>0</v>
      </c>
    </row>
    <row r="13" spans="2:34" ht="30" customHeight="1" x14ac:dyDescent="0.3">
      <c r="B13" s="2" t="s">
        <v>61</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COUNTA(June[[#This Row],[1]:[ ]])</f>
        <v>0</v>
      </c>
    </row>
    <row r="14" spans="2:34" ht="30" customHeight="1" x14ac:dyDescent="0.3">
      <c r="B14" s="5" t="str">
        <f>MonthName&amp;" Total"</f>
        <v>June Total</v>
      </c>
      <c r="C14" s="4">
        <f>SUBTOTAL(103,June[1])</f>
        <v>0</v>
      </c>
      <c r="D14" s="4">
        <f>SUBTOTAL(103,June[2])</f>
        <v>0</v>
      </c>
      <c r="E14" s="4">
        <f>SUBTOTAL(103,June[3])</f>
        <v>0</v>
      </c>
      <c r="F14" s="4">
        <f>SUBTOTAL(103,June[4])</f>
        <v>0</v>
      </c>
      <c r="G14" s="4">
        <f>SUBTOTAL(103,June[5])</f>
        <v>0</v>
      </c>
      <c r="H14" s="4">
        <f>SUBTOTAL(103,June[6])</f>
        <v>0</v>
      </c>
      <c r="I14" s="4">
        <f>SUBTOTAL(103,June[7])</f>
        <v>0</v>
      </c>
      <c r="J14" s="4">
        <f>SUBTOTAL(103,June[8])</f>
        <v>0</v>
      </c>
      <c r="K14" s="4">
        <f>SUBTOTAL(103,June[9])</f>
        <v>0</v>
      </c>
      <c r="L14" s="4">
        <f>SUBTOTAL(103,June[10])</f>
        <v>0</v>
      </c>
      <c r="M14" s="4">
        <f>SUBTOTAL(103,June[11])</f>
        <v>0</v>
      </c>
      <c r="N14" s="4">
        <f>SUBTOTAL(103,June[12])</f>
        <v>0</v>
      </c>
      <c r="O14" s="4">
        <f>SUBTOTAL(103,June[13])</f>
        <v>0</v>
      </c>
      <c r="P14" s="4">
        <f>SUBTOTAL(103,June[14])</f>
        <v>0</v>
      </c>
      <c r="Q14" s="4">
        <f>SUBTOTAL(103,June[15])</f>
        <v>0</v>
      </c>
      <c r="R14" s="4">
        <f>SUBTOTAL(103,June[16])</f>
        <v>0</v>
      </c>
      <c r="S14" s="4">
        <f>SUBTOTAL(103,June[17])</f>
        <v>0</v>
      </c>
      <c r="T14" s="4">
        <f>SUBTOTAL(103,June[18])</f>
        <v>0</v>
      </c>
      <c r="U14" s="4">
        <f>SUBTOTAL(103,June[19])</f>
        <v>0</v>
      </c>
      <c r="V14" s="4">
        <f>SUBTOTAL(103,June[20])</f>
        <v>0</v>
      </c>
      <c r="W14" s="4">
        <f>SUBTOTAL(103,June[21])</f>
        <v>0</v>
      </c>
      <c r="X14" s="4">
        <f>SUBTOTAL(103,June[22])</f>
        <v>0</v>
      </c>
      <c r="Y14" s="4">
        <f>SUBTOTAL(103,June[23])</f>
        <v>0</v>
      </c>
      <c r="Z14" s="4">
        <f>SUBTOTAL(103,June[24])</f>
        <v>0</v>
      </c>
      <c r="AA14" s="4">
        <f>SUBTOTAL(103,June[25])</f>
        <v>0</v>
      </c>
      <c r="AB14" s="4">
        <f>SUBTOTAL(103,June[26])</f>
        <v>0</v>
      </c>
      <c r="AC14" s="4">
        <f>SUBTOTAL(103,June[27])</f>
        <v>0</v>
      </c>
      <c r="AD14" s="4">
        <f>SUBTOTAL(103,June[28])</f>
        <v>0</v>
      </c>
      <c r="AE14" s="4">
        <f>SUBTOTAL(103,June[29])</f>
        <v>0</v>
      </c>
      <c r="AF14" s="4">
        <f>SUBTOTAL(109,June[30])</f>
        <v>0</v>
      </c>
      <c r="AG14" s="4">
        <f>SUBTOTAL(109,June[[ ]])</f>
        <v>0</v>
      </c>
      <c r="AH14" s="4">
        <f>SUBTOTAL(109,June[Total days])</f>
        <v>0</v>
      </c>
    </row>
  </sheetData>
  <mergeCells count="6">
    <mergeCell ref="C6:AG6"/>
    <mergeCell ref="D4:F4"/>
    <mergeCell ref="H4:J4"/>
    <mergeCell ref="L4:M4"/>
    <mergeCell ref="O4:Q4"/>
    <mergeCell ref="S4:U4"/>
  </mergeCells>
  <conditionalFormatting sqref="C9:AG13">
    <cfRule type="expression" priority="1" stopIfTrue="1">
      <formula>C9=""</formula>
    </cfRule>
    <cfRule type="expression" dxfId="34" priority="2" stopIfTrue="1">
      <formula>C9=KeyCustom2</formula>
    </cfRule>
    <cfRule type="expression" dxfId="33" priority="3" stopIfTrue="1">
      <formula>C9=KeyCustom1</formula>
    </cfRule>
    <cfRule type="expression" dxfId="32" priority="4" stopIfTrue="1">
      <formula>C9=KeySick</formula>
    </cfRule>
    <cfRule type="expression" dxfId="31" priority="5" stopIfTrue="1">
      <formula>C9=KeyPersonal</formula>
    </cfRule>
    <cfRule type="expression" dxfId="30"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{5E94D469-7B22-408B-924D-8DC8A136AD3B}</x14:id>
        </ext>
      </extLst>
    </cfRule>
  </conditionalFormatting>
  <dataValidations count="15">
    <dataValidation allowBlank="1" showInputMessage="1" showErrorMessage="1" prompt="Weekdays in this row are automatically updated for the month according to the year in AH4. Each day of the month is a column to note an employee's absence and absence type" sqref="C7" xr:uid="{85B1AA25-701F-5E4F-A537-8492818323AC}"/>
    <dataValidation allowBlank="1" showInputMessage="1" showErrorMessage="1" prompt="Automatically updated year based on year entered in January worksheet" sqref="AH6" xr:uid="{84DE34BD-C74C-E949-BDDC-390099447919}"/>
    <dataValidation allowBlank="1" showInputMessage="1" showErrorMessage="1" prompt="Automatically calculates total number of days an employee was absent this month in this column" sqref="AH8" xr:uid="{EFC3BF89-2526-1648-9032-54E38409D629}"/>
    <dataValidation allowBlank="1" showInputMessage="1" showErrorMessage="1" prompt="Track June absence in this worksheet" sqref="A1" xr:uid="{00000000-0002-0000-0500-000003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8" xr:uid="{D4ADDEE7-3BB2-0A42-AA24-1DBB30531A38}"/>
    <dataValidation allowBlank="1" showInputMessage="1" showErrorMessage="1" prompt="Automatically updated title is in this cell. To modify the title, update B1 on January worksheet" sqref="B2" xr:uid="{00000000-0002-0000-0500-000005000000}"/>
    <dataValidation allowBlank="1" showInputMessage="1" showErrorMessage="1" prompt="The letter &quot;V&quot; indicates absence due to vacation" sqref="C4" xr:uid="{063A296C-F0C1-7D40-A420-7E4F7FE9CFFC}"/>
    <dataValidation allowBlank="1" showInputMessage="1" showErrorMessage="1" prompt="The letter &quot;P&quot; indicates absence due to personal reasons" sqref="G4" xr:uid="{7B0AE11E-F6A2-AD47-8416-1B2675569D32}"/>
    <dataValidation allowBlank="1" showInputMessage="1" showErrorMessage="1" prompt="The letter &quot;S&quot; indicates absence due to illness" sqref="K4" xr:uid="{B7A7B06A-9278-F146-B6AA-7DC18A17F2CB}"/>
    <dataValidation allowBlank="1" showInputMessage="1" showErrorMessage="1" prompt="Enter a letter and customize the label at right to add another key item" sqref="N4 R4" xr:uid="{BCCD7B63-1804-5040-82B0-DF0BF821857D}"/>
    <dataValidation allowBlank="1" showInputMessage="1" showErrorMessage="1" prompt="Enter a label to describe the custom key at left" sqref="O4:Q4 S4:U4" xr:uid="{7C729E06-0D5C-3147-AB97-5D821DA85CA6}"/>
    <dataValidation allowBlank="1" showInputMessage="1" showErrorMessage="1" prompt="Month name for this absence schedule is in this cell. Absence totals for this month are in last cell of the table. Select employee names in table column B" sqref="B2" xr:uid="{00000000-0002-0000-0500-00000C000000}"/>
    <dataValidation allowBlank="1" showInputMessage="1" showErrorMessage="1" prompt="Days of the month in this row are automatically generated. Enter an employee's absence and absence type in each column for each day of the month. Blank means no absence" sqref="C8" xr:uid="{5F765F6B-473A-3349-9925-D065E8DF0F17}"/>
    <dataValidation allowBlank="1" showInputMessage="1" showErrorMessage="1" prompt="This row defines the keys used in the table: cell C4 is Vacation, G4 is Personal, &amp; K4 is Sick leave. Cells N4 &amp; R4 are customizable " sqref="B4" xr:uid="{9A98F9D7-8874-4D13-82D2-1EEC27A6D951}"/>
    <dataValidation allowBlank="1" showInputMessage="1" showErrorMessage="1" prompt="Title of the worksheet is in this cell. " sqref="B1" xr:uid="{D81EDF62-F132-4F32-A772-764FF14B69A5}"/>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E94D469-7B22-408B-924D-8DC8A136AD3B}">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E000000}">
          <x14:formula1>
            <xm:f>'Employee names'!$B$4:$B$8</xm:f>
          </x14:formula1>
          <xm:sqref>B9:B13</xm:sqref>
        </x14:dataValidation>
      </x14:dataValidation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pageSetUpPr fitToPage="1"/>
  </sheetPr>
  <dimension ref="B1:AH14"/>
  <sheetViews>
    <sheetView showGridLines="0" zoomScaleNormal="100" workbookViewId="0"/>
  </sheetViews>
  <sheetFormatPr defaultColWidth="8.77734375" defaultRowHeight="30" customHeight="1" x14ac:dyDescent="0.3"/>
  <cols>
    <col min="1" max="1" width="2.6640625" customWidth="1"/>
    <col min="2" max="2" width="25.6640625" customWidth="1"/>
    <col min="3" max="33" width="4.6640625" customWidth="1"/>
    <col min="34" max="34" width="13.44140625" customWidth="1"/>
    <col min="35" max="35" width="2.6640625" customWidth="1"/>
  </cols>
  <sheetData>
    <row r="1" spans="2:34" ht="49.95" customHeight="1" x14ac:dyDescent="0.45">
      <c r="B1" s="26" t="s">
        <v>54</v>
      </c>
    </row>
    <row r="2" spans="2:34" ht="100.05" customHeight="1" x14ac:dyDescent="0.3">
      <c r="B2" s="34" t="s">
        <v>47</v>
      </c>
    </row>
    <row r="3" spans="2:34" ht="15" customHeight="1" x14ac:dyDescent="0.3">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x14ac:dyDescent="0.3">
      <c r="B4" s="8" t="s">
        <v>55</v>
      </c>
      <c r="C4" s="31" t="s">
        <v>32</v>
      </c>
      <c r="D4" s="36" t="s">
        <v>37</v>
      </c>
      <c r="E4" s="36"/>
      <c r="F4" s="36"/>
      <c r="G4" s="29" t="s">
        <v>35</v>
      </c>
      <c r="H4" s="36" t="s">
        <v>38</v>
      </c>
      <c r="I4" s="36"/>
      <c r="J4" s="36"/>
      <c r="K4" s="30" t="s">
        <v>31</v>
      </c>
      <c r="L4" s="36" t="s">
        <v>39</v>
      </c>
      <c r="M4" s="36"/>
      <c r="N4" s="19"/>
      <c r="O4" s="36" t="s">
        <v>40</v>
      </c>
      <c r="P4" s="36"/>
      <c r="Q4" s="36"/>
      <c r="R4" s="20"/>
      <c r="S4" s="36" t="s">
        <v>41</v>
      </c>
      <c r="T4" s="36"/>
      <c r="U4" s="36"/>
    </row>
    <row r="5" spans="2:34" ht="15" customHeight="1" x14ac:dyDescent="0.3">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5" customHeight="1" x14ac:dyDescent="0.3">
      <c r="B6" s="7"/>
      <c r="C6" s="35" t="s">
        <v>56</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 ca="1">CalendarYear</f>
        <v>2024</v>
      </c>
    </row>
    <row r="7" spans="2:34" ht="30" customHeight="1" x14ac:dyDescent="0.3">
      <c r="B7" s="7"/>
      <c r="C7" s="23" t="str">
        <f ca="1">TEXT(WEEKDAY(DATE(CalendarYear,7,1),1),"aaa")</f>
        <v>Mon</v>
      </c>
      <c r="D7" s="23" t="str">
        <f ca="1">TEXT(WEEKDAY(DATE(CalendarYear,7,2),1),"aaa")</f>
        <v>Tue</v>
      </c>
      <c r="E7" s="23" t="str">
        <f ca="1">TEXT(WEEKDAY(DATE(CalendarYear,7,3),1),"aaa")</f>
        <v>Wed</v>
      </c>
      <c r="F7" s="23" t="str">
        <f ca="1">TEXT(WEEKDAY(DATE(CalendarYear,7,4),1),"aaa")</f>
        <v>Thu</v>
      </c>
      <c r="G7" s="23" t="str">
        <f ca="1">TEXT(WEEKDAY(DATE(CalendarYear,7,5),1),"aaa")</f>
        <v>Fri</v>
      </c>
      <c r="H7" s="23" t="str">
        <f ca="1">TEXT(WEEKDAY(DATE(CalendarYear,7,6),1),"aaa")</f>
        <v>Sat</v>
      </c>
      <c r="I7" s="23" t="str">
        <f ca="1">TEXT(WEEKDAY(DATE(CalendarYear,7,7),1),"aaa")</f>
        <v>Sun</v>
      </c>
      <c r="J7" s="23" t="str">
        <f ca="1">TEXT(WEEKDAY(DATE(CalendarYear,7,8),1),"aaa")</f>
        <v>Mon</v>
      </c>
      <c r="K7" s="23" t="str">
        <f ca="1">TEXT(WEEKDAY(DATE(CalendarYear,7,9),1),"aaa")</f>
        <v>Tue</v>
      </c>
      <c r="L7" s="23" t="str">
        <f ca="1">TEXT(WEEKDAY(DATE(CalendarYear,7,10),1),"aaa")</f>
        <v>Wed</v>
      </c>
      <c r="M7" s="23" t="str">
        <f ca="1">TEXT(WEEKDAY(DATE(CalendarYear,7,11),1),"aaa")</f>
        <v>Thu</v>
      </c>
      <c r="N7" s="23" t="str">
        <f ca="1">TEXT(WEEKDAY(DATE(CalendarYear,7,12),1),"aaa")</f>
        <v>Fri</v>
      </c>
      <c r="O7" s="23" t="str">
        <f ca="1">TEXT(WEEKDAY(DATE(CalendarYear,7,13),1),"aaa")</f>
        <v>Sat</v>
      </c>
      <c r="P7" s="23" t="str">
        <f ca="1">TEXT(WEEKDAY(DATE(CalendarYear,7,14),1),"aaa")</f>
        <v>Sun</v>
      </c>
      <c r="Q7" s="23" t="str">
        <f ca="1">TEXT(WEEKDAY(DATE(CalendarYear,7,15),1),"aaa")</f>
        <v>Mon</v>
      </c>
      <c r="R7" s="23" t="str">
        <f ca="1">TEXT(WEEKDAY(DATE(CalendarYear,7,16),1),"aaa")</f>
        <v>Tue</v>
      </c>
      <c r="S7" s="23" t="str">
        <f ca="1">TEXT(WEEKDAY(DATE(CalendarYear,7,17),1),"aaa")</f>
        <v>Wed</v>
      </c>
      <c r="T7" s="23" t="str">
        <f ca="1">TEXT(WEEKDAY(DATE(CalendarYear,7,18),1),"aaa")</f>
        <v>Thu</v>
      </c>
      <c r="U7" s="23" t="str">
        <f ca="1">TEXT(WEEKDAY(DATE(CalendarYear,7,19),1),"aaa")</f>
        <v>Fri</v>
      </c>
      <c r="V7" s="23" t="str">
        <f ca="1">TEXT(WEEKDAY(DATE(CalendarYear,7,20),1),"aaa")</f>
        <v>Sat</v>
      </c>
      <c r="W7" s="23" t="str">
        <f ca="1">TEXT(WEEKDAY(DATE(CalendarYear,7,21),1),"aaa")</f>
        <v>Sun</v>
      </c>
      <c r="X7" s="23" t="str">
        <f ca="1">TEXT(WEEKDAY(DATE(CalendarYear,7,22),1),"aaa")</f>
        <v>Mon</v>
      </c>
      <c r="Y7" s="23" t="str">
        <f ca="1">TEXT(WEEKDAY(DATE(CalendarYear,7,23),1),"aaa")</f>
        <v>Tue</v>
      </c>
      <c r="Z7" s="23" t="str">
        <f ca="1">TEXT(WEEKDAY(DATE(CalendarYear,7,24),1),"aaa")</f>
        <v>Wed</v>
      </c>
      <c r="AA7" s="23" t="str">
        <f ca="1">TEXT(WEEKDAY(DATE(CalendarYear,7,25),1),"aaa")</f>
        <v>Thu</v>
      </c>
      <c r="AB7" s="23" t="str">
        <f ca="1">TEXT(WEEKDAY(DATE(CalendarYear,7,26),1),"aaa")</f>
        <v>Fri</v>
      </c>
      <c r="AC7" s="23" t="str">
        <f ca="1">TEXT(WEEKDAY(DATE(CalendarYear,7,27),1),"aaa")</f>
        <v>Sat</v>
      </c>
      <c r="AD7" s="23" t="str">
        <f ca="1">TEXT(WEEKDAY(DATE(CalendarYear,7,28),1),"aaa")</f>
        <v>Sun</v>
      </c>
      <c r="AE7" s="23" t="str">
        <f ca="1">TEXT(WEEKDAY(DATE(CalendarYear,7,29),1),"aaa")</f>
        <v>Mon</v>
      </c>
      <c r="AF7" s="23" t="str">
        <f ca="1">TEXT(WEEKDAY(DATE(CalendarYear,7,30),1),"aaa")</f>
        <v>Tue</v>
      </c>
      <c r="AG7" s="23" t="str">
        <f ca="1">TEXT(WEEKDAY(DATE(CalendarYear,7,31),1),"aaa")</f>
        <v>Wed</v>
      </c>
      <c r="AH7" s="7"/>
    </row>
    <row r="8" spans="2:34" ht="30" customHeight="1" x14ac:dyDescent="0.3">
      <c r="B8" s="22" t="s">
        <v>62</v>
      </c>
      <c r="C8" s="1" t="s">
        <v>0</v>
      </c>
      <c r="D8" s="1" t="s">
        <v>1</v>
      </c>
      <c r="E8" s="1" t="s">
        <v>2</v>
      </c>
      <c r="F8" s="1" t="s">
        <v>3</v>
      </c>
      <c r="G8" s="1" t="s">
        <v>4</v>
      </c>
      <c r="H8" s="1" t="s">
        <v>5</v>
      </c>
      <c r="I8" s="1" t="s">
        <v>6</v>
      </c>
      <c r="J8" s="1" t="s">
        <v>7</v>
      </c>
      <c r="K8" s="1" t="s">
        <v>8</v>
      </c>
      <c r="L8" s="1" t="s">
        <v>9</v>
      </c>
      <c r="M8" s="1" t="s">
        <v>10</v>
      </c>
      <c r="N8" s="1" t="s">
        <v>11</v>
      </c>
      <c r="O8" s="1" t="s">
        <v>12</v>
      </c>
      <c r="P8" s="1" t="s">
        <v>13</v>
      </c>
      <c r="Q8" s="1" t="s">
        <v>14</v>
      </c>
      <c r="R8" s="1" t="s">
        <v>15</v>
      </c>
      <c r="S8" s="1" t="s">
        <v>16</v>
      </c>
      <c r="T8" s="1" t="s">
        <v>17</v>
      </c>
      <c r="U8" s="1" t="s">
        <v>18</v>
      </c>
      <c r="V8" s="1" t="s">
        <v>19</v>
      </c>
      <c r="W8" s="1" t="s">
        <v>20</v>
      </c>
      <c r="X8" s="1" t="s">
        <v>21</v>
      </c>
      <c r="Y8" s="1" t="s">
        <v>22</v>
      </c>
      <c r="Z8" s="1" t="s">
        <v>23</v>
      </c>
      <c r="AA8" s="1" t="s">
        <v>24</v>
      </c>
      <c r="AB8" s="1" t="s">
        <v>25</v>
      </c>
      <c r="AC8" s="1" t="s">
        <v>26</v>
      </c>
      <c r="AD8" s="1" t="s">
        <v>27</v>
      </c>
      <c r="AE8" s="1" t="s">
        <v>28</v>
      </c>
      <c r="AF8" s="1" t="s">
        <v>29</v>
      </c>
      <c r="AG8" s="1" t="s">
        <v>30</v>
      </c>
      <c r="AH8" s="24" t="s">
        <v>63</v>
      </c>
    </row>
    <row r="9" spans="2:34" ht="30" customHeight="1" x14ac:dyDescent="0.3">
      <c r="B9" s="2" t="s">
        <v>57</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COUNTA(July[[#This Row],[1]:[31]])</f>
        <v>0</v>
      </c>
    </row>
    <row r="10" spans="2:34" ht="30" customHeight="1" x14ac:dyDescent="0.3">
      <c r="B10" s="2" t="s">
        <v>58</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COUNTA(July[[#This Row],[1]:[31]])</f>
        <v>0</v>
      </c>
    </row>
    <row r="11" spans="2:34" ht="30" customHeight="1" x14ac:dyDescent="0.3">
      <c r="B11" s="2" t="s">
        <v>59</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COUNTA(July[[#This Row],[1]:[31]])</f>
        <v>0</v>
      </c>
    </row>
    <row r="12" spans="2:34" ht="30" customHeight="1" x14ac:dyDescent="0.3">
      <c r="B12" s="2" t="s">
        <v>60</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COUNTA(July[[#This Row],[1]:[31]])</f>
        <v>0</v>
      </c>
    </row>
    <row r="13" spans="2:34" ht="30" customHeight="1" x14ac:dyDescent="0.3">
      <c r="B13" s="2" t="s">
        <v>61</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COUNTA(July[[#This Row],[1]:[31]])</f>
        <v>0</v>
      </c>
    </row>
    <row r="14" spans="2:34" ht="30" customHeight="1" x14ac:dyDescent="0.3">
      <c r="B14" s="5" t="str">
        <f>MonthName&amp;" Total"</f>
        <v>July Total</v>
      </c>
      <c r="C14" s="4">
        <f>SUBTOTAL(103,July[1])</f>
        <v>0</v>
      </c>
      <c r="D14" s="4">
        <f>SUBTOTAL(103,July[2])</f>
        <v>0</v>
      </c>
      <c r="E14" s="4">
        <f>SUBTOTAL(103,July[3])</f>
        <v>0</v>
      </c>
      <c r="F14" s="4">
        <f>SUBTOTAL(103,July[4])</f>
        <v>0</v>
      </c>
      <c r="G14" s="4">
        <f>SUBTOTAL(103,July[5])</f>
        <v>0</v>
      </c>
      <c r="H14" s="4">
        <f>SUBTOTAL(103,July[6])</f>
        <v>0</v>
      </c>
      <c r="I14" s="4">
        <f>SUBTOTAL(103,July[7])</f>
        <v>0</v>
      </c>
      <c r="J14" s="4">
        <f>SUBTOTAL(103,July[8])</f>
        <v>0</v>
      </c>
      <c r="K14" s="4">
        <f>SUBTOTAL(103,July[9])</f>
        <v>0</v>
      </c>
      <c r="L14" s="4">
        <f>SUBTOTAL(103,July[10])</f>
        <v>0</v>
      </c>
      <c r="M14" s="4">
        <f>SUBTOTAL(103,July[11])</f>
        <v>0</v>
      </c>
      <c r="N14" s="4">
        <f>SUBTOTAL(103,July[12])</f>
        <v>0</v>
      </c>
      <c r="O14" s="4">
        <f>SUBTOTAL(103,July[13])</f>
        <v>0</v>
      </c>
      <c r="P14" s="4">
        <f>SUBTOTAL(103,July[14])</f>
        <v>0</v>
      </c>
      <c r="Q14" s="4">
        <f>SUBTOTAL(103,July[15])</f>
        <v>0</v>
      </c>
      <c r="R14" s="4">
        <f>SUBTOTAL(103,July[16])</f>
        <v>0</v>
      </c>
      <c r="S14" s="4">
        <f>SUBTOTAL(103,July[17])</f>
        <v>0</v>
      </c>
      <c r="T14" s="4">
        <f>SUBTOTAL(103,July[18])</f>
        <v>0</v>
      </c>
      <c r="U14" s="4">
        <f>SUBTOTAL(103,July[19])</f>
        <v>0</v>
      </c>
      <c r="V14" s="4">
        <f>SUBTOTAL(103,July[20])</f>
        <v>0</v>
      </c>
      <c r="W14" s="4">
        <f>SUBTOTAL(103,July[21])</f>
        <v>0</v>
      </c>
      <c r="X14" s="4">
        <f>SUBTOTAL(103,July[22])</f>
        <v>0</v>
      </c>
      <c r="Y14" s="4">
        <f>SUBTOTAL(103,July[23])</f>
        <v>0</v>
      </c>
      <c r="Z14" s="4">
        <f>SUBTOTAL(103,July[24])</f>
        <v>0</v>
      </c>
      <c r="AA14" s="4">
        <f>SUBTOTAL(103,July[25])</f>
        <v>0</v>
      </c>
      <c r="AB14" s="4">
        <f>SUBTOTAL(103,July[26])</f>
        <v>0</v>
      </c>
      <c r="AC14" s="4">
        <f>SUBTOTAL(103,July[27])</f>
        <v>0</v>
      </c>
      <c r="AD14" s="4">
        <f>SUBTOTAL(103,July[28])</f>
        <v>0</v>
      </c>
      <c r="AE14" s="4">
        <f>SUBTOTAL(103,July[29])</f>
        <v>0</v>
      </c>
      <c r="AF14" s="4">
        <f>SUBTOTAL(109,July[30])</f>
        <v>0</v>
      </c>
      <c r="AG14" s="4">
        <f>SUBTOTAL(109,July[31])</f>
        <v>0</v>
      </c>
      <c r="AH14" s="4">
        <f>SUBTOTAL(109,July[Total days])</f>
        <v>0</v>
      </c>
    </row>
  </sheetData>
  <mergeCells count="6">
    <mergeCell ref="C6:AG6"/>
    <mergeCell ref="D4:F4"/>
    <mergeCell ref="H4:J4"/>
    <mergeCell ref="L4:M4"/>
    <mergeCell ref="O4:Q4"/>
    <mergeCell ref="S4:U4"/>
  </mergeCells>
  <conditionalFormatting sqref="C9:AG13">
    <cfRule type="expression" priority="1" stopIfTrue="1">
      <formula>C9=""</formula>
    </cfRule>
    <cfRule type="expression" dxfId="29" priority="2" stopIfTrue="1">
      <formula>C9=KeyCustom2</formula>
    </cfRule>
    <cfRule type="expression" dxfId="28" priority="3" stopIfTrue="1">
      <formula>C9=KeyCustom1</formula>
    </cfRule>
    <cfRule type="expression" dxfId="27" priority="4" stopIfTrue="1">
      <formula>C9=KeySick</formula>
    </cfRule>
    <cfRule type="expression" dxfId="26" priority="5" stopIfTrue="1">
      <formula>C9=KeyPersonal</formula>
    </cfRule>
    <cfRule type="expression" dxfId="25"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{E0DCF129-9B2A-4CEB-9E56-27607F4BED20}</x14:id>
        </ext>
      </extLst>
    </cfRule>
  </conditionalFormatting>
  <dataValidations count="15">
    <dataValidation allowBlank="1" showInputMessage="1" showErrorMessage="1" prompt="Days of the month in this row are automatically generated. Enter an employee's absence and absence type in each column for each day of the month. Blank means no absence" sqref="C8" xr:uid="{03C1A45F-45B9-C64C-AB94-81563D673730}"/>
    <dataValidation allowBlank="1" showInputMessage="1" showErrorMessage="1" prompt="Month name for this absence schedule is in this cell. Absence totals for this month are in last cell of the table. Select employee names in table column B" sqref="B2" xr:uid="{00000000-0002-0000-0600-000001000000}"/>
    <dataValidation allowBlank="1" showInputMessage="1" showErrorMessage="1" prompt="Enter a label to describe the custom key at left" sqref="O4:Q4 S4:U4" xr:uid="{0D4DD0DA-09CF-9E44-99CA-A5867B7A5DE0}"/>
    <dataValidation allowBlank="1" showInputMessage="1" showErrorMessage="1" prompt="Enter a letter and customize the label at right to add another key item" sqref="N4 R4" xr:uid="{7958A2AB-CEB1-064A-ADC4-DFE205FED828}"/>
    <dataValidation allowBlank="1" showInputMessage="1" showErrorMessage="1" prompt="The letter &quot;S&quot; indicates absence due to illness" sqref="K4" xr:uid="{58CC404D-17ED-6445-ACB8-A79585398428}"/>
    <dataValidation allowBlank="1" showInputMessage="1" showErrorMessage="1" prompt="The letter &quot;P&quot; indicates absence due to personal reasons" sqref="G4" xr:uid="{BB2F932F-117E-4C44-89E0-7036B9C55FB7}"/>
    <dataValidation allowBlank="1" showInputMessage="1" showErrorMessage="1" prompt="The letter &quot;V&quot; indicates absence due to vacation" sqref="C4" xr:uid="{02BD24EB-B095-F64C-94A8-7E7708BAF1AD}"/>
    <dataValidation allowBlank="1" showInputMessage="1" showErrorMessage="1" prompt="Automatically updated title is in this cell. To modify the title, update B1 on January worksheet" sqref="B2" xr:uid="{00000000-0002-0000-06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8" xr:uid="{56BA2E4C-7843-2040-9E97-682F447A602F}"/>
    <dataValidation allowBlank="1" showInputMessage="1" showErrorMessage="1" prompt="Track July absence in this worksheet" sqref="A1" xr:uid="{00000000-0002-0000-0600-00000A000000}"/>
    <dataValidation allowBlank="1" showInputMessage="1" showErrorMessage="1" prompt="Automatically calculates total number of days an employee was absent this month in this column" sqref="AH8" xr:uid="{7EEB97FE-C4E8-0B42-8F26-4ACE0C358EA5}"/>
    <dataValidation allowBlank="1" showInputMessage="1" showErrorMessage="1" prompt="Automatically updated year based on year entered in January worksheet" sqref="AH6" xr:uid="{00000000-0002-0000-0600-00000C000000}"/>
    <dataValidation allowBlank="1" showInputMessage="1" showErrorMessage="1" prompt="Weekdays in this row are automatically updated for the month according to the year in AH4. Each day of the month is a column to note an employee's absence and absence type" sqref="C7" xr:uid="{956AA00F-FA3E-EE4C-BC75-65E8AA2EA95F}"/>
    <dataValidation allowBlank="1" showInputMessage="1" showErrorMessage="1" prompt="This row defines the keys used in the table: cell C4 is Vacation, G4 is Personal, &amp; K4 is Sick leave. Cells N4 &amp; R4 are customizable " sqref="B4" xr:uid="{49FE03CF-624B-4523-A1B1-B51C2CB6F6D6}"/>
    <dataValidation allowBlank="1" showInputMessage="1" showErrorMessage="1" prompt="Title of the worksheet is in this cell. " sqref="B1" xr:uid="{0AC8E3EA-A233-463E-AEDF-A0DB4FC9697F}"/>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0DCF129-9B2A-4CEB-9E56-27607F4BED20}">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E000000}">
          <x14:formula1>
            <xm:f>'Employee names'!$B$4:$B$8</xm:f>
          </x14:formula1>
          <xm:sqref>B9:B13</xm:sqref>
        </x14:dataValidation>
      </x14:dataValidations>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pageSetUpPr fitToPage="1"/>
  </sheetPr>
  <dimension ref="B1:AH14"/>
  <sheetViews>
    <sheetView showGridLines="0" zoomScaleNormal="100" workbookViewId="0"/>
  </sheetViews>
  <sheetFormatPr defaultColWidth="8.77734375" defaultRowHeight="30" customHeight="1" x14ac:dyDescent="0.3"/>
  <cols>
    <col min="1" max="1" width="2.6640625" customWidth="1"/>
    <col min="2" max="2" width="25.6640625" customWidth="1"/>
    <col min="3" max="33" width="4.6640625" customWidth="1"/>
    <col min="34" max="34" width="13.44140625" customWidth="1"/>
    <col min="35" max="35" width="2.6640625" customWidth="1"/>
  </cols>
  <sheetData>
    <row r="1" spans="2:34" ht="49.95" customHeight="1" x14ac:dyDescent="0.45">
      <c r="B1" s="26" t="s">
        <v>54</v>
      </c>
    </row>
    <row r="2" spans="2:34" ht="100.05" customHeight="1" x14ac:dyDescent="0.3">
      <c r="B2" s="33" t="s">
        <v>48</v>
      </c>
    </row>
    <row r="3" spans="2:34" ht="15" customHeight="1" x14ac:dyDescent="0.3">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x14ac:dyDescent="0.3">
      <c r="B4" s="8" t="s">
        <v>55</v>
      </c>
      <c r="C4" s="31" t="s">
        <v>32</v>
      </c>
      <c r="D4" s="36" t="s">
        <v>37</v>
      </c>
      <c r="E4" s="36"/>
      <c r="F4" s="36"/>
      <c r="G4" s="29" t="s">
        <v>35</v>
      </c>
      <c r="H4" s="36" t="s">
        <v>38</v>
      </c>
      <c r="I4" s="36"/>
      <c r="J4" s="36"/>
      <c r="K4" s="30" t="s">
        <v>31</v>
      </c>
      <c r="L4" s="36" t="s">
        <v>39</v>
      </c>
      <c r="M4" s="36"/>
      <c r="N4" s="19"/>
      <c r="O4" s="36" t="s">
        <v>40</v>
      </c>
      <c r="P4" s="36"/>
      <c r="Q4" s="36"/>
      <c r="R4" s="20"/>
      <c r="S4" s="36" t="s">
        <v>41</v>
      </c>
      <c r="T4" s="36"/>
      <c r="U4" s="36"/>
    </row>
    <row r="5" spans="2:34" ht="15" customHeight="1" x14ac:dyDescent="0.3">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5" customHeight="1" x14ac:dyDescent="0.3">
      <c r="B6" s="7"/>
      <c r="C6" s="35" t="s">
        <v>56</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 ca="1">CalendarYear</f>
        <v>2024</v>
      </c>
    </row>
    <row r="7" spans="2:34" ht="30" customHeight="1" x14ac:dyDescent="0.3">
      <c r="B7" s="7"/>
      <c r="C7" s="23" t="str">
        <f ca="1">TEXT(WEEKDAY(DATE(CalendarYear,8,1),1),"aaa")</f>
        <v>Thu</v>
      </c>
      <c r="D7" s="23" t="str">
        <f ca="1">TEXT(WEEKDAY(DATE(CalendarYear,8,2),1),"aaa")</f>
        <v>Fri</v>
      </c>
      <c r="E7" s="23" t="str">
        <f ca="1">TEXT(WEEKDAY(DATE(CalendarYear,8,3),1),"aaa")</f>
        <v>Sat</v>
      </c>
      <c r="F7" s="23" t="str">
        <f ca="1">TEXT(WEEKDAY(DATE(CalendarYear,8,4),1),"aaa")</f>
        <v>Sun</v>
      </c>
      <c r="G7" s="23" t="str">
        <f ca="1">TEXT(WEEKDAY(DATE(CalendarYear,8,5),1),"aaa")</f>
        <v>Mon</v>
      </c>
      <c r="H7" s="23" t="str">
        <f ca="1">TEXT(WEEKDAY(DATE(CalendarYear,8,6),1),"aaa")</f>
        <v>Tue</v>
      </c>
      <c r="I7" s="23" t="str">
        <f ca="1">TEXT(WEEKDAY(DATE(CalendarYear,8,7),1),"aaa")</f>
        <v>Wed</v>
      </c>
      <c r="J7" s="23" t="str">
        <f ca="1">TEXT(WEEKDAY(DATE(CalendarYear,8,8),1),"aaa")</f>
        <v>Thu</v>
      </c>
      <c r="K7" s="23" t="str">
        <f ca="1">TEXT(WEEKDAY(DATE(CalendarYear,8,9),1),"aaa")</f>
        <v>Fri</v>
      </c>
      <c r="L7" s="23" t="str">
        <f ca="1">TEXT(WEEKDAY(DATE(CalendarYear,8,10),1),"aaa")</f>
        <v>Sat</v>
      </c>
      <c r="M7" s="23" t="str">
        <f ca="1">TEXT(WEEKDAY(DATE(CalendarYear,8,11),1),"aaa")</f>
        <v>Sun</v>
      </c>
      <c r="N7" s="23" t="str">
        <f ca="1">TEXT(WEEKDAY(DATE(CalendarYear,8,12),1),"aaa")</f>
        <v>Mon</v>
      </c>
      <c r="O7" s="23" t="str">
        <f ca="1">TEXT(WEEKDAY(DATE(CalendarYear,8,13),1),"aaa")</f>
        <v>Tue</v>
      </c>
      <c r="P7" s="23" t="str">
        <f ca="1">TEXT(WEEKDAY(DATE(CalendarYear,8,14),1),"aaa")</f>
        <v>Wed</v>
      </c>
      <c r="Q7" s="23" t="str">
        <f ca="1">TEXT(WEEKDAY(DATE(CalendarYear,8,15),1),"aaa")</f>
        <v>Thu</v>
      </c>
      <c r="R7" s="23" t="str">
        <f ca="1">TEXT(WEEKDAY(DATE(CalendarYear,8,16),1),"aaa")</f>
        <v>Fri</v>
      </c>
      <c r="S7" s="23" t="str">
        <f ca="1">TEXT(WEEKDAY(DATE(CalendarYear,8,17),1),"aaa")</f>
        <v>Sat</v>
      </c>
      <c r="T7" s="23" t="str">
        <f ca="1">TEXT(WEEKDAY(DATE(CalendarYear,8,18),1),"aaa")</f>
        <v>Sun</v>
      </c>
      <c r="U7" s="23" t="str">
        <f ca="1">TEXT(WEEKDAY(DATE(CalendarYear,8,19),1),"aaa")</f>
        <v>Mon</v>
      </c>
      <c r="V7" s="23" t="str">
        <f ca="1">TEXT(WEEKDAY(DATE(CalendarYear,8,20),1),"aaa")</f>
        <v>Tue</v>
      </c>
      <c r="W7" s="23" t="str">
        <f ca="1">TEXT(WEEKDAY(DATE(CalendarYear,8,21),1),"aaa")</f>
        <v>Wed</v>
      </c>
      <c r="X7" s="23" t="str">
        <f ca="1">TEXT(WEEKDAY(DATE(CalendarYear,8,22),1),"aaa")</f>
        <v>Thu</v>
      </c>
      <c r="Y7" s="23" t="str">
        <f ca="1">TEXT(WEEKDAY(DATE(CalendarYear,8,23),1),"aaa")</f>
        <v>Fri</v>
      </c>
      <c r="Z7" s="23" t="str">
        <f ca="1">TEXT(WEEKDAY(DATE(CalendarYear,8,24),1),"aaa")</f>
        <v>Sat</v>
      </c>
      <c r="AA7" s="23" t="str">
        <f ca="1">TEXT(WEEKDAY(DATE(CalendarYear,8,25),1),"aaa")</f>
        <v>Sun</v>
      </c>
      <c r="AB7" s="23" t="str">
        <f ca="1">TEXT(WEEKDAY(DATE(CalendarYear,8,26),1),"aaa")</f>
        <v>Mon</v>
      </c>
      <c r="AC7" s="23" t="str">
        <f ca="1">TEXT(WEEKDAY(DATE(CalendarYear,8,27),1),"aaa")</f>
        <v>Tue</v>
      </c>
      <c r="AD7" s="23" t="str">
        <f ca="1">TEXT(WEEKDAY(DATE(CalendarYear,8,28),1),"aaa")</f>
        <v>Wed</v>
      </c>
      <c r="AE7" s="23" t="str">
        <f ca="1">TEXT(WEEKDAY(DATE(CalendarYear,8,29),1),"aaa")</f>
        <v>Thu</v>
      </c>
      <c r="AF7" s="23" t="str">
        <f ca="1">TEXT(WEEKDAY(DATE(CalendarYear,8,30),1),"aaa")</f>
        <v>Fri</v>
      </c>
      <c r="AG7" s="23" t="str">
        <f ca="1">TEXT(WEEKDAY(DATE(CalendarYear,8,31),1),"aaa")</f>
        <v>Sat</v>
      </c>
      <c r="AH7" s="7"/>
    </row>
    <row r="8" spans="2:34" ht="30" customHeight="1" x14ac:dyDescent="0.3">
      <c r="B8" s="22" t="s">
        <v>62</v>
      </c>
      <c r="C8" s="1" t="s">
        <v>0</v>
      </c>
      <c r="D8" s="1" t="s">
        <v>1</v>
      </c>
      <c r="E8" s="1" t="s">
        <v>2</v>
      </c>
      <c r="F8" s="1" t="s">
        <v>3</v>
      </c>
      <c r="G8" s="1" t="s">
        <v>4</v>
      </c>
      <c r="H8" s="1" t="s">
        <v>5</v>
      </c>
      <c r="I8" s="1" t="s">
        <v>6</v>
      </c>
      <c r="J8" s="1" t="s">
        <v>7</v>
      </c>
      <c r="K8" s="1" t="s">
        <v>8</v>
      </c>
      <c r="L8" s="1" t="s">
        <v>9</v>
      </c>
      <c r="M8" s="1" t="s">
        <v>10</v>
      </c>
      <c r="N8" s="1" t="s">
        <v>11</v>
      </c>
      <c r="O8" s="1" t="s">
        <v>12</v>
      </c>
      <c r="P8" s="1" t="s">
        <v>13</v>
      </c>
      <c r="Q8" s="1" t="s">
        <v>14</v>
      </c>
      <c r="R8" s="1" t="s">
        <v>15</v>
      </c>
      <c r="S8" s="1" t="s">
        <v>16</v>
      </c>
      <c r="T8" s="1" t="s">
        <v>17</v>
      </c>
      <c r="U8" s="1" t="s">
        <v>18</v>
      </c>
      <c r="V8" s="1" t="s">
        <v>19</v>
      </c>
      <c r="W8" s="1" t="s">
        <v>20</v>
      </c>
      <c r="X8" s="1" t="s">
        <v>21</v>
      </c>
      <c r="Y8" s="1" t="s">
        <v>22</v>
      </c>
      <c r="Z8" s="1" t="s">
        <v>23</v>
      </c>
      <c r="AA8" s="1" t="s">
        <v>24</v>
      </c>
      <c r="AB8" s="1" t="s">
        <v>25</v>
      </c>
      <c r="AC8" s="1" t="s">
        <v>26</v>
      </c>
      <c r="AD8" s="1" t="s">
        <v>27</v>
      </c>
      <c r="AE8" s="1" t="s">
        <v>28</v>
      </c>
      <c r="AF8" s="1" t="s">
        <v>29</v>
      </c>
      <c r="AG8" s="1" t="s">
        <v>30</v>
      </c>
      <c r="AH8" s="24" t="s">
        <v>63</v>
      </c>
    </row>
    <row r="9" spans="2:34" ht="30" customHeight="1" x14ac:dyDescent="0.3">
      <c r="B9" s="2" t="s">
        <v>57</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COUNTA(August[[#This Row],[1]:[31]])</f>
        <v>0</v>
      </c>
    </row>
    <row r="10" spans="2:34" ht="30" customHeight="1" x14ac:dyDescent="0.3">
      <c r="B10" s="2" t="s">
        <v>58</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COUNTA(August[[#This Row],[1]:[31]])</f>
        <v>0</v>
      </c>
    </row>
    <row r="11" spans="2:34" ht="30" customHeight="1" x14ac:dyDescent="0.3">
      <c r="B11" s="2" t="s">
        <v>59</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COUNTA(August[[#This Row],[1]:[31]])</f>
        <v>0</v>
      </c>
    </row>
    <row r="12" spans="2:34" ht="30" customHeight="1" x14ac:dyDescent="0.3">
      <c r="B12" s="2" t="s">
        <v>60</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COUNTA(August[[#This Row],[1]:[31]])</f>
        <v>0</v>
      </c>
    </row>
    <row r="13" spans="2:34" ht="30" customHeight="1" x14ac:dyDescent="0.3">
      <c r="B13" s="2" t="s">
        <v>61</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COUNTA(August[[#This Row],[1]:[31]])</f>
        <v>0</v>
      </c>
    </row>
    <row r="14" spans="2:34" ht="30" customHeight="1" x14ac:dyDescent="0.3">
      <c r="B14" s="5" t="str">
        <f>MonthName&amp;" Total"</f>
        <v>August Total</v>
      </c>
      <c r="C14" s="4">
        <f>SUBTOTAL(103,August[1])</f>
        <v>0</v>
      </c>
      <c r="D14" s="4">
        <f>SUBTOTAL(103,August[2])</f>
        <v>0</v>
      </c>
      <c r="E14" s="4">
        <f>SUBTOTAL(103,August[3])</f>
        <v>0</v>
      </c>
      <c r="F14" s="4">
        <f>SUBTOTAL(103,August[4])</f>
        <v>0</v>
      </c>
      <c r="G14" s="4">
        <f>SUBTOTAL(103,August[5])</f>
        <v>0</v>
      </c>
      <c r="H14" s="4">
        <f>SUBTOTAL(103,August[6])</f>
        <v>0</v>
      </c>
      <c r="I14" s="4">
        <f>SUBTOTAL(103,August[7])</f>
        <v>0</v>
      </c>
      <c r="J14" s="4">
        <f>SUBTOTAL(103,August[8])</f>
        <v>0</v>
      </c>
      <c r="K14" s="4">
        <f>SUBTOTAL(103,August[9])</f>
        <v>0</v>
      </c>
      <c r="L14" s="4">
        <f>SUBTOTAL(103,August[10])</f>
        <v>0</v>
      </c>
      <c r="M14" s="4">
        <f>SUBTOTAL(103,August[11])</f>
        <v>0</v>
      </c>
      <c r="N14" s="4">
        <f>SUBTOTAL(103,August[12])</f>
        <v>0</v>
      </c>
      <c r="O14" s="4">
        <f>SUBTOTAL(103,August[13])</f>
        <v>0</v>
      </c>
      <c r="P14" s="4">
        <f>SUBTOTAL(103,August[14])</f>
        <v>0</v>
      </c>
      <c r="Q14" s="4">
        <f>SUBTOTAL(103,August[15])</f>
        <v>0</v>
      </c>
      <c r="R14" s="4">
        <f>SUBTOTAL(103,August[16])</f>
        <v>0</v>
      </c>
      <c r="S14" s="4">
        <f>SUBTOTAL(103,August[17])</f>
        <v>0</v>
      </c>
      <c r="T14" s="4">
        <f>SUBTOTAL(103,August[18])</f>
        <v>0</v>
      </c>
      <c r="U14" s="4">
        <f>SUBTOTAL(103,August[19])</f>
        <v>0</v>
      </c>
      <c r="V14" s="4">
        <f>SUBTOTAL(103,August[20])</f>
        <v>0</v>
      </c>
      <c r="W14" s="4">
        <f>SUBTOTAL(103,August[21])</f>
        <v>0</v>
      </c>
      <c r="X14" s="4">
        <f>SUBTOTAL(103,August[22])</f>
        <v>0</v>
      </c>
      <c r="Y14" s="4">
        <f>SUBTOTAL(103,August[23])</f>
        <v>0</v>
      </c>
      <c r="Z14" s="4">
        <f>SUBTOTAL(103,August[24])</f>
        <v>0</v>
      </c>
      <c r="AA14" s="4">
        <f>SUBTOTAL(103,August[25])</f>
        <v>0</v>
      </c>
      <c r="AB14" s="4">
        <f>SUBTOTAL(103,August[26])</f>
        <v>0</v>
      </c>
      <c r="AC14" s="4">
        <f>SUBTOTAL(103,August[27])</f>
        <v>0</v>
      </c>
      <c r="AD14" s="4">
        <f>SUBTOTAL(103,August[28])</f>
        <v>0</v>
      </c>
      <c r="AE14" s="4">
        <f>SUBTOTAL(103,August[29])</f>
        <v>0</v>
      </c>
      <c r="AF14" s="4">
        <f>SUBTOTAL(109,August[30])</f>
        <v>0</v>
      </c>
      <c r="AG14" s="4">
        <f>SUBTOTAL(109,August[31])</f>
        <v>0</v>
      </c>
      <c r="AH14" s="4">
        <f>SUBTOTAL(109,August[Total days])</f>
        <v>0</v>
      </c>
    </row>
  </sheetData>
  <mergeCells count="6">
    <mergeCell ref="C6:AG6"/>
    <mergeCell ref="D4:F4"/>
    <mergeCell ref="H4:J4"/>
    <mergeCell ref="L4:M4"/>
    <mergeCell ref="O4:Q4"/>
    <mergeCell ref="S4:U4"/>
  </mergeCells>
  <conditionalFormatting sqref="C9:AG13">
    <cfRule type="expression" priority="1" stopIfTrue="1">
      <formula>C9=""</formula>
    </cfRule>
    <cfRule type="expression" dxfId="24" priority="2" stopIfTrue="1">
      <formula>C9=KeyCustom2</formula>
    </cfRule>
    <cfRule type="expression" dxfId="23" priority="3" stopIfTrue="1">
      <formula>C9=KeyCustom1</formula>
    </cfRule>
    <cfRule type="expression" dxfId="22" priority="4" stopIfTrue="1">
      <formula>C9=KeySick</formula>
    </cfRule>
    <cfRule type="expression" dxfId="21" priority="5" stopIfTrue="1">
      <formula>C9=KeyPersonal</formula>
    </cfRule>
    <cfRule type="expression" dxfId="20"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{09900229-9536-43AB-AAE0-FC121BDECD61}</x14:id>
        </ext>
      </extLst>
    </cfRule>
  </conditionalFormatting>
  <dataValidations count="15">
    <dataValidation allowBlank="1" showInputMessage="1" showErrorMessage="1" prompt="Weekdays in this row are automatically updated for the month according to the year in AH4. Each day of the month is a column to note an employee's absence and absence type" sqref="C7" xr:uid="{C31066D8-39EA-EB48-A883-D56040D3EA81}"/>
    <dataValidation allowBlank="1" showInputMessage="1" showErrorMessage="1" prompt="Automatically updated year based on year entered in January worksheet" sqref="AH6" xr:uid="{4F3A1A67-5AD0-224A-B9EB-2AA94773859B}"/>
    <dataValidation allowBlank="1" showInputMessage="1" showErrorMessage="1" prompt="Automatically calculates total number of days an employee was absent this month in this column" sqref="AH8" xr:uid="{AC80500B-13F9-964F-8855-BCABB1C8AF13}"/>
    <dataValidation allowBlank="1" showInputMessage="1" showErrorMessage="1" prompt="Track August absence in this worksheet" sqref="A1" xr:uid="{00000000-0002-0000-0700-000003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8" xr:uid="{3B37E336-5BFF-874C-B045-F359DA78F99B}"/>
    <dataValidation allowBlank="1" showInputMessage="1" showErrorMessage="1" prompt="Automatically updated title is in this cell. To modify the title, update B1 on January worksheet" sqref="B2" xr:uid="{00000000-0002-0000-0700-000005000000}"/>
    <dataValidation allowBlank="1" showInputMessage="1" showErrorMessage="1" prompt="The letter &quot;V&quot; indicates absence due to vacation" sqref="C4" xr:uid="{F48C7677-CB94-014F-B8C8-88FB8A294CFF}"/>
    <dataValidation allowBlank="1" showInputMessage="1" showErrorMessage="1" prompt="The letter &quot;P&quot; indicates absence due to personal reasons" sqref="G4" xr:uid="{63B459E7-42D5-4B48-B692-D0F49341AB9B}"/>
    <dataValidation allowBlank="1" showInputMessage="1" showErrorMessage="1" prompt="The letter &quot;S&quot; indicates absence due to illness" sqref="K4" xr:uid="{037577DF-4C4B-BA4C-A23D-EB4A1705B78B}"/>
    <dataValidation allowBlank="1" showInputMessage="1" showErrorMessage="1" prompt="Enter a letter and customize the label at right to add another key item" sqref="N4 R4" xr:uid="{ADD73E45-E7E5-5E43-8099-AF7C06C25726}"/>
    <dataValidation allowBlank="1" showInputMessage="1" showErrorMessage="1" prompt="Enter a label to describe the custom key at left" sqref="O4:Q4 S4:U4" xr:uid="{FB014BD1-5D10-9342-967F-5A90B982AACD}"/>
    <dataValidation allowBlank="1" showInputMessage="1" showErrorMessage="1" prompt="Month name for this absence schedule is in this cell. Absence totals for this month are in last cell of the table. Select employee names in table column B" sqref="B2" xr:uid="{00000000-0002-0000-0700-00000C000000}"/>
    <dataValidation allowBlank="1" showInputMessage="1" showErrorMessage="1" prompt="Days of the month in this row are automatically generated. Enter an employee's absence and absence type in each column for each day of the month. Blank means no absence" sqref="C8" xr:uid="{ACF8EA0E-6010-5D46-9524-6055BFC9D4A3}"/>
    <dataValidation allowBlank="1" showInputMessage="1" showErrorMessage="1" prompt="This row defines the keys used in the table: cell C4 is Vacation, G4 is Personal, &amp; K4 is Sick leave. Cells N4 &amp; R4 are customizable " sqref="B4" xr:uid="{2AD8EE52-D84F-4685-9E2E-4F8D1A731125}"/>
    <dataValidation allowBlank="1" showInputMessage="1" showErrorMessage="1" prompt="Title of the worksheet is in this cell. " sqref="B1" xr:uid="{3F261A71-5753-4B06-A7AE-03F6BBA4818C}"/>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9900229-9536-43AB-AAE0-FC121BDECD61}">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E000000}">
          <x14:formula1>
            <xm:f>'Employee names'!$B$4:$B$8</xm:f>
          </x14:formula1>
          <xm:sqref>B9:B13</xm:sqref>
        </x14:dataValidation>
      </x14:dataValidations>
    </ext>
  </extLst>
</worksheet>
</file>

<file path=xl/worksheets/sheet9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pageSetUpPr fitToPage="1"/>
  </sheetPr>
  <dimension ref="B1:AH14"/>
  <sheetViews>
    <sheetView showGridLines="0" zoomScaleNormal="100" workbookViewId="0"/>
  </sheetViews>
  <sheetFormatPr defaultColWidth="8.77734375" defaultRowHeight="30" customHeight="1" x14ac:dyDescent="0.3"/>
  <cols>
    <col min="1" max="1" width="2.6640625" customWidth="1"/>
    <col min="2" max="2" width="25.6640625" customWidth="1"/>
    <col min="3" max="33" width="4.6640625" customWidth="1"/>
    <col min="34" max="34" width="13.44140625" customWidth="1"/>
    <col min="35" max="35" width="2.6640625" customWidth="1"/>
  </cols>
  <sheetData>
    <row r="1" spans="2:34" ht="49.95" customHeight="1" x14ac:dyDescent="0.45">
      <c r="B1" s="26" t="s">
        <v>54</v>
      </c>
    </row>
    <row r="2" spans="2:34" ht="100.05" customHeight="1" x14ac:dyDescent="0.3">
      <c r="B2" s="32" t="s">
        <v>49</v>
      </c>
    </row>
    <row r="3" spans="2:34" ht="15" customHeight="1" x14ac:dyDescent="0.3">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x14ac:dyDescent="0.3">
      <c r="B4" s="8" t="s">
        <v>55</v>
      </c>
      <c r="C4" s="31" t="s">
        <v>32</v>
      </c>
      <c r="D4" s="36" t="s">
        <v>37</v>
      </c>
      <c r="E4" s="36"/>
      <c r="F4" s="36"/>
      <c r="G4" s="29" t="s">
        <v>35</v>
      </c>
      <c r="H4" s="36" t="s">
        <v>38</v>
      </c>
      <c r="I4" s="36"/>
      <c r="J4" s="36"/>
      <c r="K4" s="30" t="s">
        <v>31</v>
      </c>
      <c r="L4" s="36" t="s">
        <v>39</v>
      </c>
      <c r="M4" s="36"/>
      <c r="N4" s="19"/>
      <c r="O4" s="36" t="s">
        <v>40</v>
      </c>
      <c r="P4" s="36"/>
      <c r="Q4" s="36"/>
      <c r="R4" s="20"/>
      <c r="S4" s="36" t="s">
        <v>41</v>
      </c>
      <c r="T4" s="36"/>
      <c r="U4" s="36"/>
    </row>
    <row r="5" spans="2:34" ht="15" customHeight="1" x14ac:dyDescent="0.3">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5" customHeight="1" x14ac:dyDescent="0.3">
      <c r="B6" s="7"/>
      <c r="C6" s="35" t="s">
        <v>56</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 ca="1">CalendarYear</f>
        <v>2024</v>
      </c>
    </row>
    <row r="7" spans="2:34" ht="30" customHeight="1" x14ac:dyDescent="0.3">
      <c r="B7" s="7"/>
      <c r="C7" s="23" t="str">
        <f ca="1">TEXT(WEEKDAY(DATE(CalendarYear,9,1),1),"aaa")</f>
        <v>Sun</v>
      </c>
      <c r="D7" s="23" t="str">
        <f ca="1">TEXT(WEEKDAY(DATE(CalendarYear,9,2),1),"aaa")</f>
        <v>Mon</v>
      </c>
      <c r="E7" s="23" t="str">
        <f ca="1">TEXT(WEEKDAY(DATE(CalendarYear,9,3),1),"aaa")</f>
        <v>Tue</v>
      </c>
      <c r="F7" s="23" t="str">
        <f ca="1">TEXT(WEEKDAY(DATE(CalendarYear,9,4),1),"aaa")</f>
        <v>Wed</v>
      </c>
      <c r="G7" s="23" t="str">
        <f ca="1">TEXT(WEEKDAY(DATE(CalendarYear,9,5),1),"aaa")</f>
        <v>Thu</v>
      </c>
      <c r="H7" s="23" t="str">
        <f ca="1">TEXT(WEEKDAY(DATE(CalendarYear,9,6),1),"aaa")</f>
        <v>Fri</v>
      </c>
      <c r="I7" s="23" t="str">
        <f ca="1">TEXT(WEEKDAY(DATE(CalendarYear,9,7),1),"aaa")</f>
        <v>Sat</v>
      </c>
      <c r="J7" s="23" t="str">
        <f ca="1">TEXT(WEEKDAY(DATE(CalendarYear,9,8),1),"aaa")</f>
        <v>Sun</v>
      </c>
      <c r="K7" s="23" t="str">
        <f ca="1">TEXT(WEEKDAY(DATE(CalendarYear,9,9),1),"aaa")</f>
        <v>Mon</v>
      </c>
      <c r="L7" s="23" t="str">
        <f ca="1">TEXT(WEEKDAY(DATE(CalendarYear,9,10),1),"aaa")</f>
        <v>Tue</v>
      </c>
      <c r="M7" s="23" t="str">
        <f ca="1">TEXT(WEEKDAY(DATE(CalendarYear,9,11),1),"aaa")</f>
        <v>Wed</v>
      </c>
      <c r="N7" s="23" t="str">
        <f ca="1">TEXT(WEEKDAY(DATE(CalendarYear,9,12),1),"aaa")</f>
        <v>Thu</v>
      </c>
      <c r="O7" s="23" t="str">
        <f ca="1">TEXT(WEEKDAY(DATE(CalendarYear,9,13),1),"aaa")</f>
        <v>Fri</v>
      </c>
      <c r="P7" s="23" t="str">
        <f ca="1">TEXT(WEEKDAY(DATE(CalendarYear,9,14),1),"aaa")</f>
        <v>Sat</v>
      </c>
      <c r="Q7" s="23" t="str">
        <f ca="1">TEXT(WEEKDAY(DATE(CalendarYear,9,15),1),"aaa")</f>
        <v>Sun</v>
      </c>
      <c r="R7" s="23" t="str">
        <f ca="1">TEXT(WEEKDAY(DATE(CalendarYear,9,16),1),"aaa")</f>
        <v>Mon</v>
      </c>
      <c r="S7" s="23" t="str">
        <f ca="1">TEXT(WEEKDAY(DATE(CalendarYear,9,17),1),"aaa")</f>
        <v>Tue</v>
      </c>
      <c r="T7" s="23" t="str">
        <f ca="1">TEXT(WEEKDAY(DATE(CalendarYear,9,18),1),"aaa")</f>
        <v>Wed</v>
      </c>
      <c r="U7" s="23" t="str">
        <f ca="1">TEXT(WEEKDAY(DATE(CalendarYear,9,19),1),"aaa")</f>
        <v>Thu</v>
      </c>
      <c r="V7" s="23" t="str">
        <f ca="1">TEXT(WEEKDAY(DATE(CalendarYear,9,20),1),"aaa")</f>
        <v>Fri</v>
      </c>
      <c r="W7" s="23" t="str">
        <f ca="1">TEXT(WEEKDAY(DATE(CalendarYear,9,21),1),"aaa")</f>
        <v>Sat</v>
      </c>
      <c r="X7" s="23" t="str">
        <f ca="1">TEXT(WEEKDAY(DATE(CalendarYear,9,22),1),"aaa")</f>
        <v>Sun</v>
      </c>
      <c r="Y7" s="23" t="str">
        <f ca="1">TEXT(WEEKDAY(DATE(CalendarYear,9,23),1),"aaa")</f>
        <v>Mon</v>
      </c>
      <c r="Z7" s="23" t="str">
        <f ca="1">TEXT(WEEKDAY(DATE(CalendarYear,9,24),1),"aaa")</f>
        <v>Tue</v>
      </c>
      <c r="AA7" s="23" t="str">
        <f ca="1">TEXT(WEEKDAY(DATE(CalendarYear,9,25),1),"aaa")</f>
        <v>Wed</v>
      </c>
      <c r="AB7" s="23" t="str">
        <f ca="1">TEXT(WEEKDAY(DATE(CalendarYear,9,26),1),"aaa")</f>
        <v>Thu</v>
      </c>
      <c r="AC7" s="23" t="str">
        <f ca="1">TEXT(WEEKDAY(DATE(CalendarYear,9,27),1),"aaa")</f>
        <v>Fri</v>
      </c>
      <c r="AD7" s="23" t="str">
        <f ca="1">TEXT(WEEKDAY(DATE(CalendarYear,9,28),1),"aaa")</f>
        <v>Sat</v>
      </c>
      <c r="AE7" s="23" t="str">
        <f ca="1">TEXT(WEEKDAY(DATE(CalendarYear,9,29),1),"aaa")</f>
        <v>Sun</v>
      </c>
      <c r="AF7" s="23" t="str">
        <f ca="1">TEXT(WEEKDAY(DATE(CalendarYear,9,30),1),"aaa")</f>
        <v>Mon</v>
      </c>
      <c r="AG7" s="23"/>
      <c r="AH7" s="7"/>
    </row>
    <row r="8" spans="2:34" ht="30" customHeight="1" x14ac:dyDescent="0.3">
      <c r="B8" s="22" t="s">
        <v>62</v>
      </c>
      <c r="C8" s="1" t="s">
        <v>0</v>
      </c>
      <c r="D8" s="1" t="s">
        <v>1</v>
      </c>
      <c r="E8" s="1" t="s">
        <v>2</v>
      </c>
      <c r="F8" s="1" t="s">
        <v>3</v>
      </c>
      <c r="G8" s="1" t="s">
        <v>4</v>
      </c>
      <c r="H8" s="1" t="s">
        <v>5</v>
      </c>
      <c r="I8" s="1" t="s">
        <v>6</v>
      </c>
      <c r="J8" s="1" t="s">
        <v>7</v>
      </c>
      <c r="K8" s="1" t="s">
        <v>8</v>
      </c>
      <c r="L8" s="1" t="s">
        <v>9</v>
      </c>
      <c r="M8" s="1" t="s">
        <v>10</v>
      </c>
      <c r="N8" s="1" t="s">
        <v>11</v>
      </c>
      <c r="O8" s="1" t="s">
        <v>12</v>
      </c>
      <c r="P8" s="1" t="s">
        <v>13</v>
      </c>
      <c r="Q8" s="1" t="s">
        <v>14</v>
      </c>
      <c r="R8" s="1" t="s">
        <v>15</v>
      </c>
      <c r="S8" s="1" t="s">
        <v>16</v>
      </c>
      <c r="T8" s="1" t="s">
        <v>17</v>
      </c>
      <c r="U8" s="1" t="s">
        <v>18</v>
      </c>
      <c r="V8" s="1" t="s">
        <v>19</v>
      </c>
      <c r="W8" s="1" t="s">
        <v>20</v>
      </c>
      <c r="X8" s="1" t="s">
        <v>21</v>
      </c>
      <c r="Y8" s="1" t="s">
        <v>22</v>
      </c>
      <c r="Z8" s="1" t="s">
        <v>23</v>
      </c>
      <c r="AA8" s="1" t="s">
        <v>24</v>
      </c>
      <c r="AB8" s="1" t="s">
        <v>25</v>
      </c>
      <c r="AC8" s="1" t="s">
        <v>26</v>
      </c>
      <c r="AD8" s="1" t="s">
        <v>27</v>
      </c>
      <c r="AE8" s="1" t="s">
        <v>28</v>
      </c>
      <c r="AF8" s="1" t="s">
        <v>29</v>
      </c>
      <c r="AG8" s="1" t="s">
        <v>33</v>
      </c>
      <c r="AH8" s="24" t="s">
        <v>63</v>
      </c>
    </row>
    <row r="9" spans="2:34" ht="30" customHeight="1" x14ac:dyDescent="0.3">
      <c r="B9" s="2" t="s">
        <v>57</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COUNTA(September[[#This Row],[1]:[ ]])</f>
        <v>0</v>
      </c>
    </row>
    <row r="10" spans="2:34" ht="30" customHeight="1" x14ac:dyDescent="0.3">
      <c r="B10" s="2" t="s">
        <v>58</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COUNTA(September[[#This Row],[1]:[ ]])</f>
        <v>0</v>
      </c>
    </row>
    <row r="11" spans="2:34" ht="30" customHeight="1" x14ac:dyDescent="0.3">
      <c r="B11" s="2" t="s">
        <v>59</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COUNTA(September[[#This Row],[1]:[ ]])</f>
        <v>0</v>
      </c>
    </row>
    <row r="12" spans="2:34" ht="30" customHeight="1" x14ac:dyDescent="0.3">
      <c r="B12" s="2" t="s">
        <v>60</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COUNTA(September[[#This Row],[1]:[ ]])</f>
        <v>0</v>
      </c>
    </row>
    <row r="13" spans="2:34" ht="30" customHeight="1" x14ac:dyDescent="0.3">
      <c r="B13" s="2" t="s">
        <v>61</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COUNTA(September[[#This Row],[1]:[ ]])</f>
        <v>0</v>
      </c>
    </row>
    <row r="14" spans="2:34" ht="30" customHeight="1" x14ac:dyDescent="0.3">
      <c r="B14" s="5" t="str">
        <f>MonthName&amp;" Total"</f>
        <v>September Total</v>
      </c>
      <c r="C14" s="4">
        <f>SUBTOTAL(103,September[1])</f>
        <v>0</v>
      </c>
      <c r="D14" s="4">
        <f>SUBTOTAL(103,September[2])</f>
        <v>0</v>
      </c>
      <c r="E14" s="4">
        <f>SUBTOTAL(103,September[3])</f>
        <v>0</v>
      </c>
      <c r="F14" s="4">
        <f>SUBTOTAL(103,September[4])</f>
        <v>0</v>
      </c>
      <c r="G14" s="4">
        <f>SUBTOTAL(103,September[5])</f>
        <v>0</v>
      </c>
      <c r="H14" s="4">
        <f>SUBTOTAL(103,September[6])</f>
        <v>0</v>
      </c>
      <c r="I14" s="4">
        <f>SUBTOTAL(103,September[7])</f>
        <v>0</v>
      </c>
      <c r="J14" s="4">
        <f>SUBTOTAL(103,September[8])</f>
        <v>0</v>
      </c>
      <c r="K14" s="4">
        <f>SUBTOTAL(103,September[9])</f>
        <v>0</v>
      </c>
      <c r="L14" s="4">
        <f>SUBTOTAL(103,September[10])</f>
        <v>0</v>
      </c>
      <c r="M14" s="4">
        <f>SUBTOTAL(103,September[11])</f>
        <v>0</v>
      </c>
      <c r="N14" s="4">
        <f>SUBTOTAL(103,September[12])</f>
        <v>0</v>
      </c>
      <c r="O14" s="4">
        <f>SUBTOTAL(103,September[13])</f>
        <v>0</v>
      </c>
      <c r="P14" s="4">
        <f>SUBTOTAL(103,September[14])</f>
        <v>0</v>
      </c>
      <c r="Q14" s="4">
        <f>SUBTOTAL(103,September[15])</f>
        <v>0</v>
      </c>
      <c r="R14" s="4">
        <f>SUBTOTAL(103,September[16])</f>
        <v>0</v>
      </c>
      <c r="S14" s="4">
        <f>SUBTOTAL(103,September[17])</f>
        <v>0</v>
      </c>
      <c r="T14" s="4">
        <f>SUBTOTAL(103,September[18])</f>
        <v>0</v>
      </c>
      <c r="U14" s="4">
        <f>SUBTOTAL(103,September[19])</f>
        <v>0</v>
      </c>
      <c r="V14" s="4">
        <f>SUBTOTAL(103,September[20])</f>
        <v>0</v>
      </c>
      <c r="W14" s="4">
        <f>SUBTOTAL(103,September[21])</f>
        <v>0</v>
      </c>
      <c r="X14" s="4">
        <f>SUBTOTAL(103,September[22])</f>
        <v>0</v>
      </c>
      <c r="Y14" s="4">
        <f>SUBTOTAL(103,September[23])</f>
        <v>0</v>
      </c>
      <c r="Z14" s="4">
        <f>SUBTOTAL(103,September[24])</f>
        <v>0</v>
      </c>
      <c r="AA14" s="4">
        <f>SUBTOTAL(103,September[25])</f>
        <v>0</v>
      </c>
      <c r="AB14" s="4">
        <f>SUBTOTAL(103,September[26])</f>
        <v>0</v>
      </c>
      <c r="AC14" s="4">
        <f>SUBTOTAL(103,September[27])</f>
        <v>0</v>
      </c>
      <c r="AD14" s="4">
        <f>SUBTOTAL(103,September[28])</f>
        <v>0</v>
      </c>
      <c r="AE14" s="4">
        <f>SUBTOTAL(103,September[29])</f>
        <v>0</v>
      </c>
      <c r="AF14" s="4">
        <f>SUBTOTAL(109,September[30])</f>
        <v>0</v>
      </c>
      <c r="AG14" s="4">
        <f>SUBTOTAL(109,September[[ ]])</f>
        <v>0</v>
      </c>
      <c r="AH14" s="4">
        <f>SUBTOTAL(109,September[Total days])</f>
        <v>0</v>
      </c>
    </row>
  </sheetData>
  <mergeCells count="6">
    <mergeCell ref="C6:AG6"/>
    <mergeCell ref="D4:F4"/>
    <mergeCell ref="H4:J4"/>
    <mergeCell ref="L4:M4"/>
    <mergeCell ref="O4:Q4"/>
    <mergeCell ref="S4:U4"/>
  </mergeCells>
  <conditionalFormatting sqref="C9:AG13">
    <cfRule type="expression" priority="1" stopIfTrue="1">
      <formula>C9=""</formula>
    </cfRule>
    <cfRule type="expression" dxfId="19" priority="2" stopIfTrue="1">
      <formula>C9=KeyCustom2</formula>
    </cfRule>
    <cfRule type="expression" dxfId="18" priority="3" stopIfTrue="1">
      <formula>C9=KeyCustom1</formula>
    </cfRule>
    <cfRule type="expression" dxfId="17" priority="4" stopIfTrue="1">
      <formula>C9=KeySick</formula>
    </cfRule>
    <cfRule type="expression" dxfId="16" priority="5" stopIfTrue="1">
      <formula>C9=KeyPersonal</formula>
    </cfRule>
    <cfRule type="expression" dxfId="15"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{1A021984-06A1-41D9-90D2-8C16E885020B}</x14:id>
        </ext>
      </extLst>
    </cfRule>
  </conditionalFormatting>
  <dataValidations count="15">
    <dataValidation allowBlank="1" showInputMessage="1" showErrorMessage="1" prompt="Days of the month in this row are automatically generated. Enter an employee's absence and absence type in each column for each day of the month. Blank means no absence" sqref="C8" xr:uid="{9DDE2A21-51EA-3649-A2EE-B04BD18F4ABA}"/>
    <dataValidation allowBlank="1" showInputMessage="1" showErrorMessage="1" prompt="Month name for this absence schedule is in this cell. Absence totals for this month are in last cell of the table. Select employee names in table column B" sqref="B2" xr:uid="{00000000-0002-0000-0800-000001000000}"/>
    <dataValidation allowBlank="1" showInputMessage="1" showErrorMessage="1" prompt="Enter a label to describe the custom key at left" sqref="O4:Q4 S4:U4" xr:uid="{5116644F-0501-8B49-8158-4564676A664E}"/>
    <dataValidation allowBlank="1" showInputMessage="1" showErrorMessage="1" prompt="Enter a letter and customize the label at right to add another key item" sqref="N4 R4" xr:uid="{58CFE273-C075-BB40-8F28-5FCC44B7E3A3}"/>
    <dataValidation allowBlank="1" showInputMessage="1" showErrorMessage="1" prompt="The letter &quot;S&quot; indicates absence due to illness" sqref="K4" xr:uid="{EEC4FBAF-1EBD-4C4D-9809-847842EA837E}"/>
    <dataValidation allowBlank="1" showInputMessage="1" showErrorMessage="1" prompt="The letter &quot;P&quot; indicates absence due to personal reasons" sqref="G4" xr:uid="{846A0B75-93D1-0640-8A7F-0B42F6009C81}"/>
    <dataValidation allowBlank="1" showInputMessage="1" showErrorMessage="1" prompt="The letter &quot;V&quot; indicates absence due to vacation" sqref="C4" xr:uid="{286BFB05-7A4F-C140-BF05-59F3E17D85F5}"/>
    <dataValidation allowBlank="1" showInputMessage="1" showErrorMessage="1" prompt="Automatically updated title is in this cell. To modify the title, update B1 on January worksheet" sqref="B2" xr:uid="{00000000-0002-0000-08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8" xr:uid="{C813148F-9330-314A-8F3F-150F6150691C}"/>
    <dataValidation allowBlank="1" showInputMessage="1" showErrorMessage="1" prompt="Track September absence in this worksheet" sqref="A1" xr:uid="{00000000-0002-0000-0800-00000A000000}"/>
    <dataValidation allowBlank="1" showInputMessage="1" showErrorMessage="1" prompt="Automatically calculates total number of days an employee was absent this month in this column" sqref="AH8" xr:uid="{5C77DC9E-A1AE-7C41-B518-6426DAF8D1EE}"/>
    <dataValidation allowBlank="1" showInputMessage="1" showErrorMessage="1" prompt="Automatically updated year based on year entered in January worksheet" sqref="AH6" xr:uid="{075296AD-6F4A-1446-94E5-CA2E94C7BFCE}"/>
    <dataValidation allowBlank="1" showInputMessage="1" showErrorMessage="1" prompt="Weekdays in this row are automatically updated for the month according to the year in AH4. Each day of the month is a column to note an employee's absence and absence type" sqref="C7" xr:uid="{D85777C8-14EB-B748-8BBD-8B9BF124E384}"/>
    <dataValidation allowBlank="1" showInputMessage="1" showErrorMessage="1" prompt="This row defines the keys used in the table: cell C4 is Vacation, G4 is Personal, &amp; K4 is Sick leave. Cells N4 &amp; R4 are customizable " sqref="B4" xr:uid="{258809B3-02AD-47F3-A0C7-61BAF9DAB51A}"/>
    <dataValidation allowBlank="1" showInputMessage="1" showErrorMessage="1" prompt="Title of the worksheet is in this cell. " sqref="B1" xr:uid="{EDB7A32F-2F43-4B5F-BF9B-69D720D668DD}"/>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A021984-06A1-41D9-90D2-8C16E885020B}">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E000000}">
          <x14:formula1>
            <xm:f>'Employee names'!$B$4:$B$8</xm:f>
          </x14:formula1>
          <xm:sqref>B9:B13</xm:sqref>
        </x14:dataValidation>
      </x14:dataValidations>
    </ext>
  </extLst>
</worksheet>
</file>

<file path=customXml/_rels/item1.xml.rels>&#65279;<?xml version="1.0" encoding="utf-8"?><Relationships xmlns="http://schemas.openxmlformats.org/package/2006/relationships"><Relationship Type="http://schemas.openxmlformats.org/officeDocument/2006/relationships/customXmlProps" Target="/customXml/itemProps11.xml" Id="rId1" /></Relationships>
</file>

<file path=customXml/_rels/item23.xml.rels>&#65279;<?xml version="1.0" encoding="utf-8"?><Relationships xmlns="http://schemas.openxmlformats.org/package/2006/relationships"><Relationship Type="http://schemas.openxmlformats.org/officeDocument/2006/relationships/customXmlProps" Target="/customXml/itemProps23.xml" Id="rId1" /></Relationships>
</file>

<file path=customXml/_rels/item32.xml.rels>&#65279;<?xml version="1.0" encoding="utf-8"?><Relationships xmlns="http://schemas.openxmlformats.org/package/2006/relationships"><Relationship Type="http://schemas.openxmlformats.org/officeDocument/2006/relationships/customXmlProps" Target="/customXml/itemProps32.xml" Id="rId1"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1.xml><?xml version="1.0" encoding="utf-8"?>
<ds:datastoreItem xmlns:ds="http://schemas.openxmlformats.org/officeDocument/2006/customXml" ds:itemID="{51F058CA-AF0F-4794-AA37-06C85ADD9B08}">
  <ds:schemaRefs>
    <ds:schemaRef ds:uri="http://schemas.microsoft.com/sharepoint/v3/contenttype/forms"/>
  </ds:schemaRefs>
</ds:datastoreItem>
</file>

<file path=customXml/itemProps23.xml><?xml version="1.0" encoding="utf-8"?>
<ds:datastoreItem xmlns:ds="http://schemas.openxmlformats.org/officeDocument/2006/customXml" ds:itemID="{A7C9C07F-CF0F-4409-BAA3-C354F11EB2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2.xml><?xml version="1.0" encoding="utf-8"?>
<ds:datastoreItem xmlns:ds="http://schemas.openxmlformats.org/officeDocument/2006/customXml" ds:itemID="{57E6EC00-C2D4-4219-8EFE-E4A250F3C6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TM03987167</ap:Template>
  <ap:Application>Microsoft Excel</ap:Application>
  <ap:DocSecurity>0</ap:DocSecurity>
  <ap:ScaleCrop>false</ap:ScaleCrop>
  <ap:HeadingPairs>
    <vt:vector baseType="variant" size="4">
      <vt:variant>
        <vt:lpstr>Worksheets</vt:lpstr>
      </vt:variant>
      <vt:variant>
        <vt:i4>13</vt:i4>
      </vt:variant>
      <vt:variant>
        <vt:lpstr>Named Ranges</vt:lpstr>
      </vt:variant>
      <vt:variant>
        <vt:i4>48</vt:i4>
      </vt:variant>
    </vt:vector>
  </ap:HeadingPairs>
  <ap:TitlesOfParts>
    <vt:vector baseType="lpstr" size="61">
      <vt:lpstr>January</vt:lpstr>
      <vt:lpstr>February</vt:lpstr>
      <vt:lpstr>March</vt:lpstr>
      <vt:lpstr>April</vt:lpstr>
      <vt:lpstr>May</vt:lpstr>
      <vt:lpstr>June</vt:lpstr>
      <vt:lpstr>July</vt:lpstr>
      <vt:lpstr>August</vt:lpstr>
      <vt:lpstr>September</vt:lpstr>
      <vt:lpstr>October</vt:lpstr>
      <vt:lpstr>November</vt:lpstr>
      <vt:lpstr>December</vt:lpstr>
      <vt:lpstr>Employee names</vt:lpstr>
      <vt:lpstr>CalendarYear</vt:lpstr>
      <vt:lpstr>ColumnTitle13</vt:lpstr>
      <vt:lpstr>Employee_Absence_Title</vt:lpstr>
      <vt:lpstr>Key_name</vt:lpstr>
      <vt:lpstr>KeyCustom1</vt:lpstr>
      <vt:lpstr>KeyCustom1Label</vt:lpstr>
      <vt:lpstr>KeyCustom2</vt:lpstr>
      <vt:lpstr>KeyCustom2Label</vt:lpstr>
      <vt:lpstr>KeyPersonal</vt:lpstr>
      <vt:lpstr>KeyPersonalLabel</vt:lpstr>
      <vt:lpstr>KeySick</vt:lpstr>
      <vt:lpstr>KeySickLabel</vt:lpstr>
      <vt:lpstr>KeyVacation</vt:lpstr>
      <vt:lpstr>KeyVacationLabel</vt:lpstr>
      <vt:lpstr>April!MonthName</vt:lpstr>
      <vt:lpstr>August!MonthName</vt:lpstr>
      <vt:lpstr>December!MonthName</vt:lpstr>
      <vt:lpstr>February!MonthName</vt:lpstr>
      <vt:lpstr>January!MonthName</vt:lpstr>
      <vt:lpstr>July!MonthName</vt:lpstr>
      <vt:lpstr>June!MonthName</vt:lpstr>
      <vt:lpstr>March!MonthName</vt:lpstr>
      <vt:lpstr>May!MonthName</vt:lpstr>
      <vt:lpstr>November!MonthName</vt:lpstr>
      <vt:lpstr>October!MonthName</vt:lpstr>
      <vt:lpstr>September!MonthName</vt:lpstr>
      <vt:lpstr>April!Print_Titles</vt:lpstr>
      <vt:lpstr>August!Print_Titles</vt:lpstr>
      <vt:lpstr>December!Print_Titles</vt:lpstr>
      <vt:lpstr>February!Print_Titles</vt:lpstr>
      <vt:lpstr>January!Print_Titles</vt:lpstr>
      <vt:lpstr>July!Print_Titles</vt:lpstr>
      <vt:lpstr>June!Print_Titles</vt:lpstr>
      <vt:lpstr>March!Print_Titles</vt:lpstr>
      <vt:lpstr>May!Print_Titles</vt:lpstr>
      <vt:lpstr>November!Print_Titles</vt:lpstr>
      <vt:lpstr>October!Print_Titles</vt:lpstr>
      <vt:lpstr>September!Print_Titles</vt:lpstr>
      <vt:lpstr>Title1</vt:lpstr>
      <vt:lpstr>Title10</vt:lpstr>
      <vt:lpstr>Title11</vt:lpstr>
      <vt:lpstr>Title12</vt:lpstr>
      <vt:lpstr>Title2</vt:lpstr>
      <vt:lpstr>Title3</vt:lpstr>
      <vt:lpstr>Title6</vt:lpstr>
      <vt:lpstr>Title7</vt:lpstr>
      <vt:lpstr>Title8</vt:lpstr>
      <vt:lpstr>Title9</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2023-01-31T06:59:27Z</dcterms:created>
  <dcterms:modified xsi:type="dcterms:W3CDTF">2024-02-21T06:33:52Z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