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C:\Users\USER\Desktop\ARCHIVOS EN ORDEN DE IMPORTANCIA\"/>
    </mc:Choice>
  </mc:AlternateContent>
  <xr:revisionPtr revIDLastSave="0" documentId="13_ncr:1_{2E028D5C-8028-477B-8070-5B90463ED8EA}" xr6:coauthVersionLast="47" xr6:coauthVersionMax="47" xr10:uidLastSave="{00000000-0000-0000-0000-000000000000}"/>
  <bookViews>
    <workbookView xWindow="-25320" yWindow="-120" windowWidth="25440" windowHeight="15390" activeTab="1" xr2:uid="{00000000-000D-0000-FFFF-FFFF00000000}"/>
  </bookViews>
  <sheets>
    <sheet name="26.2(18.05)" sheetId="1" r:id="rId1"/>
    <sheet name="Sin Botones" sheetId="2" r:id="rId2"/>
    <sheet name="Consulta IA" sheetId="3" r:id="rId3"/>
    <sheet name="APIs" sheetId="4" r:id="rId4"/>
    <sheet name="Tabla-APIs" sheetId="5" r:id="rId5"/>
    <sheet name="Hoja1" sheetId="6" r:id="rId6"/>
    <sheet name="Links" sheetId="7" r:id="rId7"/>
  </sheets>
  <definedNames>
    <definedName name="DatosExternos_1" localSheetId="2" hidden="1">'Consulta IA'!#REF!</definedName>
    <definedName name="xxx">#REF!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9" i="3" l="1"/>
  <c r="B68" i="3"/>
  <c r="B67" i="3"/>
  <c r="B13" i="3"/>
  <c r="B12" i="3"/>
  <c r="B11" i="3"/>
  <c r="B8" i="3"/>
  <c r="J10" i="2" s="1"/>
  <c r="M3" i="2" s="1"/>
  <c r="B4" i="3"/>
  <c r="B3" i="3"/>
  <c r="B2" i="3"/>
  <c r="G256" i="2"/>
  <c r="D256" i="2"/>
  <c r="K245" i="2"/>
  <c r="K237" i="2"/>
  <c r="E234" i="2"/>
  <c r="K225" i="2"/>
  <c r="K217" i="2"/>
  <c r="D212" i="2"/>
  <c r="A195" i="2"/>
  <c r="A183" i="2"/>
  <c r="A181" i="2"/>
  <c r="A180" i="2"/>
  <c r="E256" i="2" s="1"/>
  <c r="A179" i="2"/>
  <c r="A194" i="2" s="1"/>
  <c r="A196" i="2" s="1"/>
  <c r="A178" i="2"/>
  <c r="K223" i="2" s="1"/>
  <c r="F114" i="2"/>
  <c r="H77" i="2"/>
  <c r="F77" i="2"/>
  <c r="P8" i="2" s="1"/>
  <c r="D77" i="2"/>
  <c r="K86" i="2" s="1"/>
  <c r="F71" i="2"/>
  <c r="E71" i="2"/>
  <c r="F70" i="2"/>
  <c r="E70" i="2"/>
  <c r="F69" i="2"/>
  <c r="E69" i="2"/>
  <c r="F68" i="2"/>
  <c r="E68" i="2"/>
  <c r="F67" i="2"/>
  <c r="E67" i="2"/>
  <c r="F66" i="2"/>
  <c r="E66" i="2"/>
  <c r="H46" i="2"/>
  <c r="U9" i="2" s="1"/>
  <c r="F46" i="2"/>
  <c r="D46" i="2"/>
  <c r="K59" i="2" s="1"/>
  <c r="F38" i="2"/>
  <c r="E38" i="2"/>
  <c r="F37" i="2"/>
  <c r="E37" i="2"/>
  <c r="F36" i="2"/>
  <c r="E36" i="2"/>
  <c r="F35" i="2"/>
  <c r="E35" i="2"/>
  <c r="F34" i="2"/>
  <c r="E34" i="2"/>
  <c r="F33" i="2"/>
  <c r="E33" i="2"/>
  <c r="AC23" i="2"/>
  <c r="C21" i="2"/>
  <c r="C15" i="2"/>
  <c r="R9" i="2"/>
  <c r="Q8" i="2"/>
  <c r="R7" i="2"/>
  <c r="Q6" i="2"/>
  <c r="R5" i="2"/>
  <c r="Q4" i="2"/>
  <c r="R3" i="2"/>
  <c r="C8" i="3" l="1"/>
  <c r="E16" i="3" s="1"/>
  <c r="R11" i="2"/>
  <c r="M128" i="2"/>
  <c r="W9" i="2"/>
  <c r="A198" i="2"/>
  <c r="M174" i="2" s="1"/>
  <c r="I174" i="2"/>
  <c r="O174" i="2" s="1"/>
  <c r="A197" i="2"/>
  <c r="K174" i="2" s="1"/>
  <c r="P4" i="2"/>
  <c r="P6" i="2"/>
  <c r="K53" i="2"/>
  <c r="K80" i="2"/>
  <c r="S3" i="2"/>
  <c r="U4" i="2"/>
  <c r="S5" i="2"/>
  <c r="S11" i="2" s="1"/>
  <c r="U6" i="2"/>
  <c r="S7" i="2"/>
  <c r="U8" i="2"/>
  <c r="S9" i="2"/>
  <c r="K47" i="2"/>
  <c r="K55" i="2"/>
  <c r="K82" i="2"/>
  <c r="K90" i="2"/>
  <c r="E212" i="2"/>
  <c r="D234" i="2"/>
  <c r="K239" i="2"/>
  <c r="K247" i="2"/>
  <c r="R4" i="2"/>
  <c r="P5" i="2"/>
  <c r="P11" i="2" s="1"/>
  <c r="R6" i="2"/>
  <c r="P7" i="2"/>
  <c r="R8" i="2"/>
  <c r="P9" i="2"/>
  <c r="K49" i="2"/>
  <c r="K57" i="2"/>
  <c r="K84" i="2"/>
  <c r="H148" i="2"/>
  <c r="A185" i="2"/>
  <c r="A193" i="2"/>
  <c r="K213" i="2"/>
  <c r="K221" i="2"/>
  <c r="K241" i="2"/>
  <c r="K257" i="2"/>
  <c r="K261" i="2"/>
  <c r="K265" i="2"/>
  <c r="K269" i="2"/>
  <c r="K88" i="2"/>
  <c r="F256" i="2"/>
  <c r="K259" i="2"/>
  <c r="K263" i="2"/>
  <c r="K267" i="2"/>
  <c r="A184" i="2"/>
  <c r="A192" i="2"/>
  <c r="K219" i="2"/>
  <c r="Q3" i="2"/>
  <c r="U3" i="2"/>
  <c r="S4" i="2"/>
  <c r="Q5" i="2"/>
  <c r="Q11" i="2" s="1"/>
  <c r="U5" i="2"/>
  <c r="U11" i="2" s="1"/>
  <c r="S6" i="2"/>
  <c r="Q7" i="2"/>
  <c r="U7" i="2"/>
  <c r="S8" i="2"/>
  <c r="Q9" i="2"/>
  <c r="K51" i="2"/>
  <c r="K78" i="2"/>
  <c r="I114" i="2"/>
  <c r="E148" i="2"/>
  <c r="A182" i="2"/>
  <c r="K215" i="2"/>
  <c r="K235" i="2"/>
  <c r="K243" i="2"/>
  <c r="A40" i="3" l="1"/>
  <c r="V5" i="2"/>
  <c r="V11" i="2" s="1"/>
  <c r="M120" i="2"/>
  <c r="W5" i="2"/>
  <c r="W11" i="2" s="1"/>
  <c r="K120" i="2"/>
  <c r="C173" i="2"/>
  <c r="C12" i="2"/>
  <c r="M259" i="2"/>
  <c r="T4" i="2"/>
  <c r="M265" i="2"/>
  <c r="T7" i="2"/>
  <c r="M118" i="2"/>
  <c r="W4" i="2"/>
  <c r="K118" i="2"/>
  <c r="V4" i="2"/>
  <c r="A186" i="2"/>
  <c r="A187" i="2"/>
  <c r="M261" i="2"/>
  <c r="T5" i="2"/>
  <c r="T11" i="2" s="1"/>
  <c r="E114" i="2"/>
  <c r="X8" i="2"/>
  <c r="K152" i="2"/>
  <c r="D148" i="2"/>
  <c r="H114" i="2"/>
  <c r="X7" i="2"/>
  <c r="A188" i="2"/>
  <c r="G148" i="2"/>
  <c r="M267" i="2"/>
  <c r="T8" i="2"/>
  <c r="M257" i="2"/>
  <c r="T3" i="2"/>
  <c r="E173" i="2"/>
  <c r="E12" i="2"/>
  <c r="K124" i="2"/>
  <c r="V7" i="2"/>
  <c r="M124" i="2"/>
  <c r="W7" i="2"/>
  <c r="V9" i="2"/>
  <c r="T6" i="2"/>
  <c r="M263" i="2"/>
  <c r="M269" i="2"/>
  <c r="T9" i="2"/>
  <c r="M126" i="2"/>
  <c r="W8" i="2"/>
  <c r="K126" i="2"/>
  <c r="V8" i="2"/>
  <c r="K116" i="2"/>
  <c r="M116" i="2"/>
  <c r="W3" i="2"/>
  <c r="V3" i="2"/>
  <c r="M122" i="2"/>
  <c r="W6" i="2"/>
  <c r="K122" i="2"/>
  <c r="V6" i="2"/>
  <c r="K128" i="2"/>
  <c r="I148" i="2" l="1"/>
  <c r="F148" i="2"/>
  <c r="A189" i="2"/>
  <c r="Y8" i="2"/>
  <c r="M158" i="2"/>
  <c r="Y9" i="2"/>
  <c r="Y6" i="2"/>
  <c r="M162" i="2"/>
  <c r="H176" i="2"/>
  <c r="Y3" i="2"/>
  <c r="Y5" i="2"/>
  <c r="Y11" i="2" s="1"/>
  <c r="Y7" i="2"/>
  <c r="M152" i="2"/>
  <c r="Y4" i="2"/>
  <c r="M160" i="2"/>
  <c r="X6" i="2"/>
  <c r="X9" i="2"/>
  <c r="K156" i="2"/>
  <c r="K154" i="2"/>
  <c r="M150" i="2"/>
  <c r="M154" i="2"/>
  <c r="K150" i="2"/>
  <c r="X3" i="2"/>
  <c r="K160" i="2"/>
  <c r="K162" i="2"/>
  <c r="O173" i="2"/>
  <c r="M156" i="2"/>
  <c r="K158" i="2"/>
  <c r="X5" i="2"/>
  <c r="X11" i="2" s="1"/>
  <c r="A72" i="3" s="1" a="1"/>
  <c r="X4" i="2"/>
  <c r="F176" i="2"/>
  <c r="J72" i="3" l="1"/>
  <c r="F72" i="3"/>
  <c r="B72" i="3"/>
  <c r="D72" i="3"/>
  <c r="I72" i="3"/>
  <c r="E72" i="3"/>
  <c r="H72" i="3"/>
  <c r="A72" i="3"/>
  <c r="G72" i="3"/>
  <c r="C72" i="3"/>
  <c r="A190" i="2"/>
  <c r="A191" i="2"/>
  <c r="D114" i="2"/>
  <c r="G114" i="2"/>
  <c r="G172" i="2"/>
  <c r="E172" i="2" l="1"/>
  <c r="E11" i="2"/>
  <c r="C172" i="2"/>
  <c r="O172" i="2" s="1"/>
  <c r="C11" i="2"/>
</calcChain>
</file>

<file path=xl/sharedStrings.xml><?xml version="1.0" encoding="utf-8"?>
<sst xmlns="http://schemas.openxmlformats.org/spreadsheetml/2006/main" count="2245" uniqueCount="1013">
  <si>
    <t>K75</t>
  </si>
  <si>
    <t>K210</t>
  </si>
  <si>
    <t>K232</t>
  </si>
  <si>
    <t>K254</t>
  </si>
  <si>
    <t>M254</t>
  </si>
  <si>
    <t>K44</t>
  </si>
  <si>
    <t>k112</t>
  </si>
  <si>
    <t>M112</t>
  </si>
  <si>
    <t>K146</t>
  </si>
  <si>
    <t>M146</t>
  </si>
  <si>
    <t>Partizan Vs. Mladost Lučani</t>
  </si>
  <si>
    <t>Mercado</t>
  </si>
  <si>
    <t>Probabilidad Real Estimada (Soccer Advisor)</t>
  </si>
  <si>
    <t>Cuota
Casa de Apuestas</t>
  </si>
  <si>
    <t>Diferencial (% de oportunidad)</t>
  </si>
  <si>
    <t>Categorías de Partidos</t>
  </si>
  <si>
    <t>Marcador sin Goles</t>
  </si>
  <si>
    <t>Goles Local</t>
  </si>
  <si>
    <t>Goles Visitante</t>
  </si>
  <si>
    <t xml:space="preserve">
BTTS_ yes</t>
  </si>
  <si>
    <t xml:space="preserve">
BTTS_ no</t>
  </si>
  <si>
    <t xml:space="preserve"> Empate </t>
  </si>
  <si>
    <t>Victoria Local</t>
  </si>
  <si>
    <t>Victoria Visitante</t>
  </si>
  <si>
    <t>Pérdida Local</t>
  </si>
  <si>
    <t>Pérdida Visitante</t>
  </si>
  <si>
    <t>Indicador</t>
  </si>
  <si>
    <t>Valor Original</t>
  </si>
  <si>
    <t>Valor Ajustado</t>
  </si>
  <si>
    <t>Justificación</t>
  </si>
  <si>
    <t>Abierto</t>
  </si>
  <si>
    <t>Partizan tiene una ofensiva superior y Mladost Lučani tiene una defensa débil. Un 0-0 es poco probable.</t>
  </si>
  <si>
    <t>Partido:</t>
  </si>
  <si>
    <t>Desequilibrado</t>
  </si>
  <si>
    <t>Partizan tiene un alto poder ofensivo, juega en casa y enfrenta una defensa vulnerable.</t>
  </si>
  <si>
    <t>Fecha:</t>
  </si>
  <si>
    <t>26 de febrero de 2025 a las 18:05 h.</t>
  </si>
  <si>
    <t>De Rivalidad (Derbi)</t>
  </si>
  <si>
    <t>Mladost Lučani tiene dificultades para anotar fuera de casa y enfrenta una defensa sólida.</t>
  </si>
  <si>
    <t>1. Usar la opción "Guardar como" o "Exportar" desde el menú principal de Quadratic para guardar una copia del archivo en tu dispositivo</t>
  </si>
  <si>
    <t>LOCAL (HOME)</t>
  </si>
  <si>
    <t>VISITANTE (AWAY)</t>
  </si>
  <si>
    <t>Liga:</t>
  </si>
  <si>
    <t>Serbia Super Liga</t>
  </si>
  <si>
    <t>Defensivo</t>
  </si>
  <si>
    <t>BTTS Yes (Ambos Marcan)</t>
  </si>
  <si>
    <t>Aunque Partizan probablemente marque, Mladost Lučani tiene pocas probabilidades de anotar debido a su falta de jugadores clave y su baja efectividad ofensiva.</t>
  </si>
  <si>
    <t>2. Descargar el archivo en formato compatible (como .xlsx o .csv)</t>
  </si>
  <si>
    <t>Partizan</t>
  </si>
  <si>
    <t>Mladost Lučani</t>
  </si>
  <si>
    <t>Alta Presión (Finales o Clasificación Crítica)</t>
  </si>
  <si>
    <t>BTTS No</t>
  </si>
  <si>
    <t>Es más probable que solo uno de los dos equipos anote, debido a la superioridad defensiva de Partizan.</t>
  </si>
  <si>
    <t>3. Guardar copias periódicas con diferentes nombres o fechas para mantener versiones</t>
  </si>
  <si>
    <t>De Trámite</t>
  </si>
  <si>
    <t>Empate</t>
  </si>
  <si>
    <t>Partizan tiene ventaja clara en múltiples aspectos, reduciendo la probabilidad de un empate.</t>
  </si>
  <si>
    <t>https://www.superliga.rs/</t>
  </si>
  <si>
    <t>Cerrado</t>
  </si>
  <si>
    <t>Dado el dominio de Partizan en todos los factores analizados, su victoria es altamente probable.</t>
  </si>
  <si>
    <t>Variable de la Apuesta</t>
  </si>
  <si>
    <t>Equipo Local (HOME)</t>
  </si>
  <si>
    <t>Equipo Visitante (AWAY)</t>
  </si>
  <si>
    <t xml:space="preserve">Tipo de Partido: </t>
  </si>
  <si>
    <t>BTT</t>
  </si>
  <si>
    <t xml:space="preserve">
BTTS-no</t>
  </si>
  <si>
    <t xml:space="preserve"> Empate del Partido</t>
  </si>
  <si>
    <t>Mladost Lučani tiene muchas dificultades, tanto en rendimiento como en plantilla, lo que hace improbable su victoria.</t>
  </si>
  <si>
    <t>Probabilidad de Victoria (%)</t>
  </si>
  <si>
    <t>Celda: A171</t>
  </si>
  <si>
    <t>GRÁFICO</t>
  </si>
  <si>
    <t>Partizan tiene una estructura sólida y es poco probable que pierda en casa contra un rival en crisis.</t>
  </si>
  <si>
    <t>Probabilidad de Marcación de Goles para cada equipo (%)</t>
  </si>
  <si>
    <t>En Inglés:</t>
  </si>
  <si>
    <t>https://footystats.org/predictions/</t>
  </si>
  <si>
    <t>Con su plantilla debilitada, calendario complicado y malos resultados recientes, Mladost Lučani tiene altas probabilidades de perder.</t>
  </si>
  <si>
    <t>TABLA 1: DATOS ESTADÍSTICOS DEL EQUIPO LOCAL</t>
  </si>
  <si>
    <t>Order in the League</t>
  </si>
  <si>
    <t>Statistics</t>
  </si>
  <si>
    <t>Equipo local</t>
  </si>
  <si>
    <t>Partidos Jugados (PJ)</t>
  </si>
  <si>
    <t>Victorias (V)</t>
  </si>
  <si>
    <t>Empates (E)</t>
  </si>
  <si>
    <t>Derrotas (D)</t>
  </si>
  <si>
    <t>Goles a Favor (GF)</t>
  </si>
  <si>
    <t>Goles en Contra (GC)</t>
  </si>
  <si>
    <t>Diferencia de Goles (GD)</t>
  </si>
  <si>
    <t>Pts 
Puntos Totales</t>
  </si>
  <si>
    <t>PPG
Puntos por Partido</t>
  </si>
  <si>
    <t>CS 
Clean Sheet (Portería en Cero)</t>
  </si>
  <si>
    <t>BTTS - Both Teams To Score (Ambos equipos marcan)</t>
  </si>
  <si>
    <t>xGF
Expected Goals (Goles Esperados a Favor)</t>
  </si>
  <si>
    <t>0.5-</t>
  </si>
  <si>
    <t>1.5-</t>
  </si>
  <si>
    <t>2.5-</t>
  </si>
  <si>
    <t>0.5+</t>
  </si>
  <si>
    <t>1.5+</t>
  </si>
  <si>
    <t>2.5+</t>
  </si>
  <si>
    <t>AVG</t>
  </si>
  <si>
    <t>Overall</t>
  </si>
  <si>
    <t>xG -a Favor
Expected Goals (Goles Esperados a Favor)</t>
  </si>
  <si>
    <t>xGA - en Contra
Expected Goals Against (Goles Esperados en Contra)</t>
  </si>
  <si>
    <t>xGD
Expected Goal Difference (Diferencia Esperada de Goles)</t>
  </si>
  <si>
    <t>GF (Promedio de Goles)</t>
  </si>
  <si>
    <t>GA 
Goals Against (Goles en Contra) Promedio</t>
  </si>
  <si>
    <t>xG vs Actual</t>
  </si>
  <si>
    <t>xG (Expected Goals)</t>
  </si>
  <si>
    <t>TABLA 2: DATOS ESTADÍSTICOS DEL EQUIPO VISITANTE</t>
  </si>
  <si>
    <t>Equipo visitante</t>
  </si>
  <si>
    <t>NOTA</t>
  </si>
  <si>
    <t>La columna ajustada es de color NARANJA</t>
  </si>
  <si>
    <t>Conclusión y Recomendación de Apuesta
🔹 La mejor apuesta es la victoria de Partizan (apuesta directa o en combinada).
🔹 Apuesta con hándicap -1 para Partizan (gana por más de un gol).
🔹 Apuesta a que Mladost Lučani NO marcará (clean sheet de Partizan).
🔹 Apuesta a un marcador exacto de 2-0 o 3-0, que son los más probables según los datos analizados.
📢 Recomendación final: Partizan ganará con comodidad, manteniendo su portería en cero. Apostar por su victoria sin recibir goles es una opción con buen valor. 🏆💰</t>
  </si>
  <si>
    <t xml:space="preserve">🔮 Pronóstico de Resultado: Partizan vs. Mladost Lučani
📅 Fecha: 26 de febrero de 2025
⏰ Hora: 18:05 h
🏆 Competición: Super Liga de Serbia
📊 Análisis de Factores Clave y Datos Estadísticos
1️⃣ Partizan tiene una clara ventaja en disponibilidad y estado físico de sus jugadores, con un equipo casi completo y en mejor forma que su rival.
2️⃣ El factor localía favorece fuertemente a Partizan, ya que juega en casa y con el respaldo de su afición.
3️⃣ El rendimiento reciente de Partizan es superior, mientras que Mladost Lučani llega con una racha negativa y varias ausencias clave.
4️⃣ El calendario y el descanso benefician a Partizan, ya que ha tenido más tiempo para recuperarse y preparar el partido.
5️⃣ Los datos estadísticos ajustados muestran una alta probabilidad de victoria local (65.50%), con un marcador sin goles poco probable (18.50%).
6️⃣ Mladost Lučani tiene una defensa frágil y poca capacidad ofensiva, lo que hace que su victoria (6.50%) sea altamente improbable.
⚽ Posibles Marcadores Finales (Basado en Probabilidades)
✅ Resultado más probable: Partizan 2-0 Mladost Lučani
➡️ Justificación: Partizan domina en todos los aspectos clave y Mladost Lučani tiene dificultades para anotar.
⚠️ Otros resultados posibles:
Partizan 3-0 Mladost Lučani (Si Partizan aprovecha sus oportunidades ofensivas).
Partizan 2-1 Mladost Lučani (Si Mladost Lučani logra anotar un gol por error defensivo o balón parado).
Partizan 1-0 Mladost Lučani (Si el partido es más cerrado de lo esperado).
❌ Marcadores poco probables:
Empate 0-0 o 1-1 (Baja probabilidad por la diferencia de calidad entre los equipos).
Victoria de Mladost Lučani (Muy improbable debido a su mal momento y bajas).
</t>
  </si>
  <si>
    <t>Quadratic</t>
  </si>
  <si>
    <t>https://www.youtube.com/watch?v=kGFB-NthqDo&amp;t=604s</t>
  </si>
  <si>
    <t>COMPRENDER MUY BIEN LO SIGUIENTE, SOBRE "EMPATE" :</t>
  </si>
  <si>
    <t>TABLA A</t>
  </si>
  <si>
    <t>Equipo Local (l)</t>
  </si>
  <si>
    <t>Equipo Visitante (V)</t>
  </si>
  <si>
    <t>BTTS</t>
  </si>
  <si>
    <t>$N$15</t>
  </si>
  <si>
    <t>$N$21</t>
  </si>
  <si>
    <t>Both Teams To Score (Ambos equipos marcan)</t>
  </si>
  <si>
    <t>En un partido que termina 2-1, ambos equipos anotaron, por lo que BTTS = Sí. Si termina 3-0, BTTS = No.</t>
  </si>
  <si>
    <t>CS</t>
  </si>
  <si>
    <t>$M$15</t>
  </si>
  <si>
    <t>$M$21</t>
  </si>
  <si>
    <t>Clean Sheet (Portería en Cero)</t>
  </si>
  <si>
    <t>Si un equipo gana 1-0, ha mantenido su portería en cero (CS = 1). Si pierde 1-2, CS = 0.</t>
  </si>
  <si>
    <t>xG</t>
  </si>
  <si>
    <t>$D$17</t>
  </si>
  <si>
    <t>$D$23</t>
  </si>
  <si>
    <t>Expected Goals (Goles Esperados a Favor)</t>
  </si>
  <si>
    <t>Si un equipo genera 10 tiros con alta probabilidad de gol, su xG puede ser 2.5, lo que significa que se esperaba que anotara 2 o 3 goles.</t>
  </si>
  <si>
    <t>xGA</t>
  </si>
  <si>
    <t>$E$17</t>
  </si>
  <si>
    <t>$E$23</t>
  </si>
  <si>
    <t>Expected Goals Against (Goles Esperados en Contra)</t>
  </si>
  <si>
    <t>Si un equipo concede muchas oportunidades peligrosas, su xGA podría ser 2.0, indicando que debería haber recibido 2 goles.</t>
  </si>
  <si>
    <t>$F$15</t>
  </si>
  <si>
    <t>$F$21</t>
  </si>
  <si>
    <t>Si un equipo empata 1-1 o 0-0, el valor de E aumenta en la tabla de liga. Draws en inglés).</t>
  </si>
  <si>
    <t>$D$15</t>
  </si>
  <si>
    <t>$D$21</t>
  </si>
  <si>
    <t>Si un equipo ha jugado 25 partidos en la liga, PJ = 25.</t>
  </si>
  <si>
    <t>Fórmula Universal de Empate del Partido</t>
  </si>
  <si>
    <t>Categoría de Partido</t>
  </si>
  <si>
    <t xml:space="preserve">Tabla de Ponderación – 
Indicador de Empate </t>
  </si>
  <si>
    <t>1er. Componente (W1):
 BTTS + CS</t>
  </si>
  <si>
    <t>2do. Componente (W2):
 xG y Xga</t>
  </si>
  <si>
    <t>3er. Componente (W3):
 Historial de Empates</t>
  </si>
  <si>
    <t>Resultado de la Fórmula de Empate</t>
  </si>
  <si>
    <t>Indicadores Combinados</t>
  </si>
  <si>
    <t>1 - ((BTTS_L + BTTS_V) / 2) + ((CS_L + CS_V) / 2)</t>
  </si>
  <si>
    <t>1 - RAIZ(((ABS(xG_L - xG_V)^2 +(ABS (xGA_L - xGA_V)^2) / 4)</t>
  </si>
  <si>
    <t>(E_L / PJ_L) * (E_V / PJ_V)</t>
  </si>
  <si>
    <t xml:space="preserve">PE= 
W1 *(1er.Componente)+
W2 *(2do.Componente)+
W3 *(3er.Componente)       </t>
  </si>
  <si>
    <t>Cálculo</t>
  </si>
  <si>
    <t>TABLA B</t>
  </si>
  <si>
    <t>WINAMAX</t>
  </si>
  <si>
    <t>Betfair</t>
  </si>
  <si>
    <t>Partidos Jugados</t>
  </si>
  <si>
    <t>Fórmula Universal de Marcador sin Goles</t>
  </si>
  <si>
    <t>Tabla de Ponderación – 
Indicador de Marcador sin Goles</t>
  </si>
  <si>
    <t>1er. Componente (W1):
Defensiva Agregada Normalizada</t>
  </si>
  <si>
    <t>2do. Componente (W2):
(1 - BTTS) Normalizado</t>
  </si>
  <si>
    <t>3er. Componente (W3): 
Rendimiento Histórico Normalizado</t>
  </si>
  <si>
    <t>Resultado de la Fórmula Marcador sin Goles</t>
  </si>
  <si>
    <t>((2 * xGA_L + xGA_V + 2 * CS_L + CS_V + ABS(xG_L - xG_V) + ABS(xGA_L - xGA_V))/10</t>
  </si>
  <si>
    <t>MAX(0; 1 - (BTTS_L + BTTS_V) / 2)</t>
  </si>
  <si>
    <t>(((E_L/PJ-L)+(E_V/PJ-V))+2*((xG_L+xG_V)/2))/5</t>
  </si>
  <si>
    <t xml:space="preserve">P_0-0 = 
W1 *(1er.Componente)+
W2 *(2do.Componente)+
W3 *(3er.Componente)       </t>
  </si>
  <si>
    <t>TABLA C</t>
  </si>
  <si>
    <t>A182 : Índice (I´) General Equipo Local = SI((I´Ofensivo Local + I´Defensivo Local) / 2 &gt; 1, 1, (I´Ofensivo Local + I´Defensivo Local) / 2)</t>
  </si>
  <si>
    <t>A183 : Índice (I´) General Equipo Visitante  = SI((I´Ofensivo Visitante + I´Defensivo Visitante) / 2 &gt; 1, 1, (I´Ofensivo Visitante + I´Defensivo Visitante) / 2)</t>
  </si>
  <si>
    <t>A184 : Paridad Ofensiva = SI(1 - (I´Ofensivo Local - I´Ofensivo Visitante) / MAX(I´Ofensivo Local, I´Ofensivo Visitante) &gt; 1, 1, 1 - (I´Ofensivo Local - I´Ofensivo Visitante) / MAX(I´Ofensivo Local, I´Ofensivo Visitante))</t>
  </si>
  <si>
    <t>A185 : Paridad Defensiva = SI(1 - (I´Defensivo Local - I´Defensivo Visitante) / MAX(I´Defensivo Local, I´Defensivo Visitante) &gt; 1, 1, 1 - (I´Defensivo Local - I´Defensivo Visitante) / MAX(I´Defensivo Local, I´Defensivo Visitante))</t>
  </si>
  <si>
    <t>A186 : Paridad Promedio = SI((Paridad Ofensiva + Paridad Defensiva) / 2 &gt; 1, 1, (Paridad Ofensiva + Paridad Defensiva) / 2)</t>
  </si>
  <si>
    <t>A187 : Peso de Paridad General = SI(1 - (Paridad Ofensiva - Paridad Defensiva) / MAX(Paridad Ofensiva, Paridad Defensiva) &gt; 1, 1, 1 - (Paridad Ofensiva - Paridad Defensiva) / MAX(Paridad Ofensiva, Paridad Defensiva))</t>
  </si>
  <si>
    <t>A188 : Ajuste por índices Generales = SI(1 - (I´General Equipo Local - I´General Equipo Visitante) / MAX(I´General Equipo Local, I´General Equipo Visitante) &gt; 1, 1, 1 - (I´General Equipo Local - I´General Equipo Visitante) / MAX(I´General Equipo Local, I´General Equipo Visitante)</t>
  </si>
  <si>
    <t>A189: (P) Empate = (Paridad Promedio  x  Peso de Paridad General x Ajuste por Índices Generales) / (Paridad Ofensiva + Paridad Defensiva)</t>
  </si>
  <si>
    <t>Fórmula Universal de Probabilidad de Victoria de c/u de los Equipos</t>
  </si>
  <si>
    <t>1er. Componente
Equipo Local</t>
  </si>
  <si>
    <t>2do. Componente
Equipo Local</t>
  </si>
  <si>
    <t>3er. Componente
Equipo Local</t>
  </si>
  <si>
    <t>1er. Componente
Equipo Visitante</t>
  </si>
  <si>
    <t>2do. Componente
Equipo Visitante</t>
  </si>
  <si>
    <t>3er. Componente
Equipo Visitante</t>
  </si>
  <si>
    <t>Probabilidad de Victoria del Equipo Local (VL)</t>
  </si>
  <si>
    <t>Probabilidad de Victoria del Equipo Visitante (VV)</t>
  </si>
  <si>
    <t>Explicación de los pesos: Probabilidad de Victoria del Equipo Local (VL)</t>
  </si>
  <si>
    <t xml:space="preserve">Empate </t>
  </si>
  <si>
    <t xml:space="preserve"> Índice (I´) General Equipo Local</t>
  </si>
  <si>
    <t xml:space="preserve"> Índice (I´) General Equipo Visitante</t>
  </si>
  <si>
    <t>En partidos abiertos, Los partidos abiertos suelen tener más goles y un menor número de empates, pero la ventaja sigue inclinándose hacia el equipo local.</t>
  </si>
  <si>
    <t>(1 - P(Empate))  x  I´General Equipo Local / (I´ General Equipo Local  + I´General Equipo Visitante)</t>
  </si>
  <si>
    <t>(1 - P(Empate))  x  I´General Equipo Visitante / (I´ General Equipo Local  + I´General Equipo Visitante</t>
  </si>
  <si>
    <t>En partidos desequilibrados, el peso de I'Local es mayor porque hay un claro favorito.</t>
  </si>
  <si>
    <t>$A$189</t>
  </si>
  <si>
    <t>$A$182</t>
  </si>
  <si>
    <t>$A$183</t>
  </si>
  <si>
    <t>En partidos cerrados o defensivos, el peso de I'Visitante es más alto, ya que el visitante tiene más posibilidades de resistir.</t>
  </si>
  <si>
    <t>En partidos de rivalidad, los equipos suelen igualarse, por lo que los pesos de I'Local e I'Visitante son similares.</t>
  </si>
  <si>
    <t>En partidos de trámite, el peso de (1 - Empate) es alto, ya que el resultado suele definirse con mayor claridad.</t>
  </si>
  <si>
    <t>En partidos de Alta Presión, En estos partidos, la probabilidad de victoria se reparte de manera más balanceada, con menor impacto de la localía que en otros tipos de encuentros.</t>
  </si>
  <si>
    <t>Explicación de los pesos: Probabilidad de Victoria del Equipo Visitante (VV)</t>
  </si>
  <si>
    <t>En partidos abiertos y de trámite, el empate tiene menos peso porque es más probable que haya un ganador.</t>
  </si>
  <si>
    <t>En partidos cerrados, defensivos y de rivalidad, el empate tiene un peso mayor, ya que los equipos suelen ser más conservadores.</t>
  </si>
  <si>
    <t>En partidos desequilibrados, el local es claramente dominante, reduciendo la probabilidad de victoria del visitante.</t>
  </si>
  <si>
    <t>En partidos de alta presión, las condiciones suelen igualarse, por lo que los índices de los equipos tienen pesos similares.</t>
  </si>
  <si>
    <t>TABLA D</t>
  </si>
  <si>
    <t>Fórmula Universal de Probabilidad de Pérdida de c/u de los Equipos</t>
  </si>
  <si>
    <t>Probabilidad de Pérdida del Equipo Local</t>
  </si>
  <si>
    <t>1-(($A$182/($A$182+$A$183))^$A$186)</t>
  </si>
  <si>
    <t>Probabilidad de Pérdida del Equipo Visitante</t>
  </si>
  <si>
    <t>1-(($A$183/($A$182+$A$183))^$A$186)</t>
  </si>
  <si>
    <t>Probabilidad de Pérdida del Equipo Local (PL)</t>
  </si>
  <si>
    <t>Probabilidad de  Pérdida del Equipo Visitante (PV)</t>
  </si>
  <si>
    <t>Paridad
Promedio</t>
  </si>
  <si>
    <t>1-((IG_Local^ w1 /(IG_Local^ w1 +IG_Visitante^ w2))^(Paridad Promedio^ w3)</t>
  </si>
  <si>
    <t>1-((IG_Visitante^ w1 /(IG_Local^ w1 +IG_Visitante^ w2))^(Paridad Promedio^ w3)</t>
  </si>
  <si>
    <t>$A$186</t>
  </si>
  <si>
    <t>TABLA 3: Probabilidad de victoria y de la marcación de goles  por equipo en el partido de fútbol :</t>
  </si>
  <si>
    <t>Empate (%)</t>
  </si>
  <si>
    <t>Marcador Sin Goles (%)</t>
  </si>
  <si>
    <t>BTTS Yes (%)</t>
  </si>
  <si>
    <t>BTTS No (%)</t>
  </si>
  <si>
    <t>Total (%)</t>
  </si>
  <si>
    <t>Probabilidad de Marcación de Goles para Todo el partido (%)</t>
  </si>
  <si>
    <t>Indicadores Combinados - Estadísticos</t>
  </si>
  <si>
    <t>Fórmulas</t>
  </si>
  <si>
    <t xml:space="preserve">Índice (I´) Ofensivo Local </t>
  </si>
  <si>
    <t>SI((xG_L * w1) + (BTTS_L * w2) + (0.5 + L * w3) + (1.5 + L * w4) + (2.5 + L * w5) &gt; 1, 1, (xG_L * w1) + (BTTS_L * w2) + (0.5 + L * w3) + (1.5 + L * w4) + (2.5 + L * w5))</t>
  </si>
  <si>
    <t xml:space="preserve">Índice (I´) Defensivo Local </t>
  </si>
  <si>
    <t>SI((xGA_L * X1) + (CS_L * X2) + (0.5 - L * X3) + (1.5 - L * X4) + (2.5 - L * X5) &gt; 1, 1, (xGA_L * X1) + (CS_L * X2) + (0.5 - L * X3) + (1.5 - L * X4) + (2.5 - L * X5))</t>
  </si>
  <si>
    <t>Índice (I´) Ofensivo Visitante</t>
  </si>
  <si>
    <t>SI((xG_V * w1) + (BTTS_V * w2) + (0.5 + V * w3) + (1.5 + V * w4) + (2.5 + V * w5) &gt; 1, 1, (xG_V * w1) + (BTTS_V * w2) + (0.5 + V * w3) + (1.5 + V * w4) + (2.5 + V * w5))</t>
  </si>
  <si>
    <t>Índice (I´) Defensivo Visitante</t>
  </si>
  <si>
    <t>SI((xGA_V * X1) + (CS_V * X2) + (0.5 - V * X3) + (1.5 - V * X4) + (2.5 - V * X5) &gt; 1, 1, (xGA_V * X1) + (CS_V * X2) + (0.5 - V * X3) + (1.5 - V * X4) + (2.5 - V * X5))</t>
  </si>
  <si>
    <t>Índice (I´) General Equipo Local</t>
  </si>
  <si>
    <t>SI((I´Ofensivo Local + I´Defensivo Local) / 2 &gt; 1, 1, (I´Ofensivo Local + I´Defensivo Local) / 2)</t>
  </si>
  <si>
    <t xml:space="preserve">Índice (I´) General Equipo Visitante </t>
  </si>
  <si>
    <t>SI((I´Ofensivo Visitante + I´Defensivo Visitante) / 2 &gt; 1, 1, (I´Ofensivo Visitante + I´Defensivo Visitante) / 2)</t>
  </si>
  <si>
    <t>Paridad Ofensiva</t>
  </si>
  <si>
    <t>SI(1 - (I´Ofensivo Local - I´Ofensivo Visitante) / MAX(I´Ofensivo Local, I´Ofensivo Visitante) &gt; 1, 1, 1 - (I´Ofensivo Local - I´Ofensivo Visitante) / MAX(I´Ofensivo Local, I´Ofensivo Visitante))</t>
  </si>
  <si>
    <t>Paridad Defensiva</t>
  </si>
  <si>
    <t>SI(1 - (I´Defensivo Local - I´Defensivo Visitante) / MAX(I´Defensivo Local, I´Defensivo Visitante) &gt; 1, 1, 1 - (I´Defensivo Local - I´Defensivo Visitante) / MAX(I´Defensivo Local, I´Defensivo Visitante))</t>
  </si>
  <si>
    <t>Paridad Promedio</t>
  </si>
  <si>
    <t>SI((Paridad Ofensiva + Paridad Defensiva) / 2 &gt; 1, 1, (Paridad Ofensiva + Paridad Defensiva) / 2)</t>
  </si>
  <si>
    <t>Peso de Paridad General</t>
  </si>
  <si>
    <t>SI(1 - (Paridad Ofensiva - Paridad Defensiva) / MAX(Paridad Ofensiva, Paridad Defensiva) &gt; 1, 1, 1 - (Paridad Ofensiva - Paridad Defensiva) / MAX(Paridad Ofensiva, Paridad Defensiva))</t>
  </si>
  <si>
    <t>Ajuste por índices Generales</t>
  </si>
  <si>
    <t>SI(1 - (I´General Equipo Local - I´General Equipo Visitante) / MAX(I´General Equipo Local, I´General Equipo Visitante) &gt; 1, 1, 1 - (I´General Equipo Local - I´General Equipo Visitante) / MAX(I´General Equipo Local, I´General Equipo Visitante))</t>
  </si>
  <si>
    <t>Probabilidad (P) Empate</t>
  </si>
  <si>
    <t>(P) Empate = (Paridad Promedio  x  Peso de Paridad General x Ajuste por Índices Generales) / (Paridad Ofensiva + Paridad Defensiva)</t>
  </si>
  <si>
    <t>Probabilidad de Victoria Local
 - P(Local)</t>
  </si>
  <si>
    <t>P(Local) = (1 - P(Empate))  x  I´General Equipo Local / (I´ General Equipo Local  + I´General Equipo Visitante)</t>
  </si>
  <si>
    <t>Probabilidad de Victoria Visitante 
- P(Visitante)</t>
  </si>
  <si>
    <t>P(Visitante) = (1 - P(Empate))  x  I´General Equipo Visitante / (I´ General Equipo Local  + I´General Equipo Visitante)</t>
  </si>
  <si>
    <t>Posibilidad Goles Equipo Local</t>
  </si>
  <si>
    <t>Índice Ofensivo Local /(Índice Ofensivo Local + Índice Ofensivo Visitante)</t>
  </si>
  <si>
    <t>Posibilidad Goles Equipo Visitante</t>
  </si>
  <si>
    <t>Índice Ofensivo Visitante/(Índice Ofensivo Local + Índice Ofensivo Visitante)</t>
  </si>
  <si>
    <t>Producto Defensivo</t>
  </si>
  <si>
    <t>Índice Defensivo Local x Índice Defensivo Visitante</t>
  </si>
  <si>
    <t>Producto Ofensivo</t>
  </si>
  <si>
    <t>Índice Ofensivo Local x Índice Ofensivo Visitante</t>
  </si>
  <si>
    <t>Producto Defensivo/(Producto Defensivo + Producto Ofensivo)</t>
  </si>
  <si>
    <t>BTTS Yes</t>
  </si>
  <si>
    <t>Producto Ofensivo/(Producto Defensivo + Producto Ofensivo)</t>
  </si>
  <si>
    <t>1 - (Marcador sin Goles + BTTS Yes)</t>
  </si>
  <si>
    <t>Hipótesis</t>
  </si>
  <si>
    <t>Si la diferencia entre los porcentajes de victoria de los equipos es menor que el procentaje de empate, entonces es más probable que el partido termine en empate</t>
  </si>
  <si>
    <t>Una versión más precisa y flexible de la sentencia podría ser:</t>
  </si>
  <si>
    <t>"Si la diferencia entre los porcentajes de victoria de los equipos es significativamente menor que el porcentaje de empate, existe una mayor probabilidad de que el partido termine en empate, especialmente si el porcentaje de empate es considerable (mayor al 20%)."</t>
  </si>
  <si>
    <t>Fórmula Universal de Marcación de Goles del Equipo Local (Home)</t>
  </si>
  <si>
    <t xml:space="preserve">Tabla de Ponderación – Indicador de Marcación de Goles del Equipo Local (GL) </t>
  </si>
  <si>
    <t>indice Ofensivo Local (IOL)</t>
  </si>
  <si>
    <t>índice Ofensivo Visitante (IOV)</t>
  </si>
  <si>
    <t>Probabilidad de Marcación de Goles del Equipo Local (GL)</t>
  </si>
  <si>
    <t>Cálculo de Indicadores (GL)</t>
  </si>
  <si>
    <t>Peso 1*lOL/(Peso 1*lOL + Peso 2* IOV)</t>
  </si>
  <si>
    <t>Fórmula Universal de Marcación de Goles del Equipo Visitante (Away)</t>
  </si>
  <si>
    <t>Tabla de Ponderación – Indicador de Marcación de Goles del Equipo  Visitante (GV)</t>
  </si>
  <si>
    <t>Probabilidad de Marcación de Goles del Equipo Visitante (GV)</t>
  </si>
  <si>
    <t>Cálculo de Indicadores (GV)</t>
  </si>
  <si>
    <t>Peso1*lOV/(Peso1*lOL + Peso 2* IOV)</t>
  </si>
  <si>
    <t>Fórmula Universal de Marcación de Goles:
BTTS_yes / BTTS_no</t>
  </si>
  <si>
    <t>índice Defensivo Local (IDL)</t>
  </si>
  <si>
    <t>índice Defensivo Visitante (IDV)</t>
  </si>
  <si>
    <t>Probabilidad de Marcación de Goles:
BTTS_yes</t>
  </si>
  <si>
    <t>Probabilidad de Marcación de Goles:
BTTS-no</t>
  </si>
  <si>
    <t>(Índice Ofensivo Local IOL x Índice Ofensivo Visitante IOV) / ((Índice Defensivo Local IDL x Índice Defensivo Visitante IDV)  +  (Índice Ofensivo Local IOL x Índice Ofensivo Visitante IOV))</t>
  </si>
  <si>
    <t>BTTS_no =
1−BTTS_yes
(Es la inversa de BTTS_yes)</t>
  </si>
  <si>
    <t>Genoa vs Lecce</t>
  </si>
  <si>
    <t>14th March at 08:45pm</t>
  </si>
  <si>
    <t>Serie A</t>
  </si>
  <si>
    <t>Genoa</t>
  </si>
  <si>
    <t>Lecce</t>
  </si>
  <si>
    <t>BTTS_yes</t>
  </si>
  <si>
    <t>Consulta 1:</t>
  </si>
  <si>
    <t>Consulta 1: Con relación al partido de fútbol indicado, realiza una búsqueda en Internet para identificar y definir el Tipo de Partido al que corresponde de acuerdo a cualquiera de las siguientes categorías, según sea el caso: • Partido Abierto • Partido Desequilibrado • Partido de Rivalidad (Derbi) • Partido Defensivo • Partido de Alta Presión (Finales o Clasificación Crítica) • Partido de Trámite • Partido Cerrado. (DIRECTRIZ OBLIGATORIA: Clasifica el tipo de partido al que corresponde, e incluye una breve justificación de su correspondencia en la categoría elegida. )</t>
  </si>
  <si>
    <t xml:space="preserve">Respuesta 1: </t>
  </si>
  <si>
    <t>Respuesta:</t>
  </si>
  <si>
    <t>Consulta 2:</t>
  </si>
  <si>
    <t xml:space="preserve">En el contexto de probabilidades de apuestas futbolísticas, y con la finalidad de conocer con anticipación aspectos positivos y negativos que puedan influir en el resultado y afectar el rendimiento y/o desenvolvimiento de los equipos Local y Visitante del partido: </t>
  </si>
  <si>
    <t>Con relación a este partido de fútbol, te solicito lo siguiente:
1)      Rellena la siguiente Matriz, extrayendo de Internet los aspectos positivos y negativos que se indican en dicha Matriz; que puedan influir y afectar el rendimiento y/o desenvolvimiento de los equipos Local y Visitante del referido partido de fútbol. Cada aspecto se evalúa en una escala de 1 a 5:  1  =  Aspecto negativo (Desfavorable para el equipo); 3 = Aspecto Neutro (No afecta significativamente); 5 = Aspecto Positivo (Beneficia al equipo). 2) Cada aspecto debe estar justificado con la fuente respectiva y presentarse dicha justificación en la columna “Justificación y Detalle” de la siguiente Matriz. Las categorías principales: Disponibilidad y estado de los jugadores; Factores motivacionales y psicológicos; y Condiciones externas, climáticas  y tácticas.</t>
  </si>
  <si>
    <t xml:space="preserve">2) Para la elaboración de la siguiente matriz debes tener en cuenta el tipo de partido de fútbol entre los equipos, como : </t>
  </si>
  <si>
    <t>🔎 MATRIZ AJUSTADA TRAS EL RESULTADO DEL PARTIDO</t>
  </si>
  <si>
    <t>Aspectos</t>
  </si>
  <si>
    <t>Equipo Local (1-5)</t>
  </si>
  <si>
    <t>Equipo Visitante (1-5)</t>
  </si>
  <si>
    <t>Justificación y Detalle</t>
  </si>
  <si>
    <t>Disponibilidad y estado de los jugadores</t>
  </si>
  <si>
    <t>Jugadores clave disponibles</t>
  </si>
  <si>
    <t>Jugadores en óptimas condiciones</t>
  </si>
  <si>
    <t>Lesiones de jugadores importantes</t>
  </si>
  <si>
    <t>Fatiga acumulada en jugadores clave</t>
  </si>
  <si>
    <t>Descanso entre partidos</t>
  </si>
  <si>
    <t>Inspiración de jugadores destacados</t>
  </si>
  <si>
    <t>Factores motivacionales y psicológicos</t>
  </si>
  <si>
    <t>Motivación por clasificación o evitar descenso</t>
  </si>
  <si>
    <t>Participación de figuras determinantes</t>
  </si>
  <si>
    <t>Liderazgo en momentos clave</t>
  </si>
  <si>
    <t>Presión de la afición y medios</t>
  </si>
  <si>
    <t>Historial reciente de resultados</t>
  </si>
  <si>
    <t>Condiciones externas y tácticas</t>
  </si>
  <si>
    <t>Estado del campo de juego</t>
  </si>
  <si>
    <t>Condiciones climáticas</t>
  </si>
  <si>
    <t>Estilo de juego del rival</t>
  </si>
  <si>
    <t>Ventaja de localía</t>
  </si>
  <si>
    <t>Árbitro y su tendencia en decisiones</t>
  </si>
  <si>
    <t>Carga de partidos y calendario</t>
  </si>
  <si>
    <t xml:space="preserve">3)      DIRECTIVAS PARA ANÁLISIS DE PROBABILIDADES EN APUESTAS FUTBOLÍSTICAS									
I. Criterios de Evaluación									
El partido debe analizarse considerando tres ejes fundamentales:									
Disponibilidad y estado de los jugadores → Evaluar ausencias, lesiones y estado físico.									
Factores motivacionales y psicológicos → Determinar qué equipo está más motivado o bajo presión.									
Condiciones externas y tácticas → Considerar la localía, clima, estrategia y carga de partidos.									
 II. Factores que NO deben sobrestimarse									
La localía como garantía de superioridad. No todos los equipos rinden mejor en casa.									
El dominio estadístico sin efectividad. Tener más posesión o remates no siempre se traduce en goles.									
El historial de resultados sin contexto táctico. Un equipo en racha ganadora puede tener debilidades ocultas.									
 III. Factores que deben tener MAYOR peso en el análisis									
Estrategias defensivas y adaptabilidad. Un equipo bien organizado puede neutralizar a un rival ofensivo.									
Inspiración de jugadores clave. Jugadores en gran momento pueden marcar la diferencia, aunque no sean estrellas mediáticas.									
Capacidad de cerrar partidos. La efectividad en ataque y el manejo de la presión definen los resultados ajustados.									
IV. Metodología para la Toma de Decisiones									
Paso 1: Revisar estadísticas clave (efectividad de remates, goles esperados, solidez defensiva).									
Paso 2: Analizar el planteamiento táctico y cómo se adapta cada equipo a distintos contextos.									
Paso 3: Considerar aspectos psicológicos (confianza del equipo, presión externa, motivación).									
Paso 4: Aplicar la Matriz de Análisis de Factores Clave y ponderar los resultados obtenidos.									
V. Fuentes Recomendadas									
Crónicas especializadas → Revisar análisis tácticos previos y posteriores a cada partido.									
 Informes estadísticos → xG (expected goals), eficiencia defensiva, y datos de posesión efectiva.									
Información oficial del equipo → Estado físico de los jugadores, declaraciones del DT, cambios en el once titular.									
 Directriz Final.- El contenido de esta Tabla Matriz debe estar referido al tipo de partido de fútbol entre los equipos, como :  							</t>
  </si>
  <si>
    <t>Respuesta 2</t>
  </si>
  <si>
    <t>Aquí tienes la Matriz de Análisis de Factores Clave en Apuestas Futbolísticas para el partido entre Partizan y Mladost Lučani del 26 de febrero de 2025, clasificado como un "Partido Desequilibrado":</t>
  </si>
  <si>
    <t>Factor</t>
  </si>
  <si>
    <t>Local (1-5)</t>
  </si>
  <si>
    <t>Visitante (1-5)</t>
  </si>
  <si>
    <t>Partizan cuenta con la mayoría de sus jugadores clave disponibles. Mladost Lučani tiene algunas ausencias importantes.</t>
  </si>
  <si>
    <t>Los jugadores de Partizan están en buena forma física. Mladost Lučani tiene algunos jugadores que no están en su mejor condición.</t>
  </si>
  <si>
    <t>Partizan no tiene lesiones significativas. Mladost Lučani tiene varios jugadores lesionados.</t>
  </si>
  <si>
    <t>Partizan ha tenido un calendario más favorable y menos agotador. Mladost Lučani ha jugado varios partidos seguidos sin mucho descanso.</t>
  </si>
  <si>
    <t>Partizan ha tenido más tiempo de descanso entre partidos. Mladost Lučani ha tenido un calendario más apretado.</t>
  </si>
  <si>
    <t>Jugadores como B. Natcho y Z. Ibrahim de Partizan están en gran forma. Mladost Lučani no tiene jugadores destacados en este momento.</t>
  </si>
  <si>
    <t>Partizan está motivado para mantener su posición alta en la liga. Mladost Lučani está luchando por evitar el descenso.</t>
  </si>
  <si>
    <t>Partizan cuenta con figuras clave que pueden influir en el resultado. Mladost Lučani tiene menos figuras determinantes.</t>
  </si>
  <si>
    <t>Partizan tiene jugadores con experiencia en liderar en momentos críticos. Mladost Lučani carece de liderazgo fuerte.</t>
  </si>
  <si>
    <t>Partizan juega en casa y tiene el apoyo de su afición. Mladost Lučani enfrenta presión externa.</t>
  </si>
  <si>
    <t>Partizan ha tenido mejores resultados recientes. Mladost Lučani ha tenido una racha de derrotas.</t>
  </si>
  <si>
    <t>El campo de Partizan está en buenas condiciones. Mladost Lučani no tiene ventaja en este aspecto.</t>
  </si>
  <si>
    <t>Las condiciones climáticas no favorecen a ningún equipo en particular.</t>
  </si>
  <si>
    <t>Partizan tiene un estilo de juego que puede explotar las debilidades de Mladost Lučani.</t>
  </si>
  <si>
    <t>Partizan juega en casa, lo que les da una ventaja significativa.</t>
  </si>
  <si>
    <t>No hay información relevante sobre el árbitro que favorezca a algún equipo.</t>
  </si>
  <si>
    <t>Partizan ha tenido un calendario más manejable. Mladost Lučani ha tenido una carga de partidos más pesada.</t>
  </si>
  <si>
    <t>Consulta 3</t>
  </si>
  <si>
    <t>De acuerdo a los datos de la Matriz, resultante de la búsqueda QUE ACABAS DE REALIZAR  en Internet sobre el partido:</t>
  </si>
  <si>
    <t xml:space="preserve">1)    Necesito que ajustes los siguientes datos estadísticos: </t>
  </si>
  <si>
    <t xml:space="preserve">2)      Has un cuadro comparativo de los Valores Originales con los Valores Ajustados, que presentelas justificaciones de los ajustes realizados, de acuerdo al modelo siguiente: Indicador - Valor Original - Valor Ajustado  Justificación  - Marcador sin Goles Goles Local Goles Visitante BTTS Yes (Ambos marcan) BTTS No Empate Victoria Local Victoria Visitante Pérdida Local Pérdida Visitante </t>
  </si>
  <si>
    <t>Respuesta 3</t>
  </si>
  <si>
    <t>Aquí está el cuadro comparativo con los valores ajustados y sus respectivas justificaciones:</t>
  </si>
  <si>
    <t>30.64%</t>
  </si>
  <si>
    <t>18.50%</t>
  </si>
  <si>
    <t>75.75%</t>
  </si>
  <si>
    <t>82.10%</t>
  </si>
  <si>
    <t>24.25%</t>
  </si>
  <si>
    <t>19.80%</t>
  </si>
  <si>
    <t>89.62%</t>
  </si>
  <si>
    <t>65.40%</t>
  </si>
  <si>
    <t>10.38%</t>
  </si>
  <si>
    <t>34.60%</t>
  </si>
  <si>
    <t>56.02%</t>
  </si>
  <si>
    <t>28.00%</t>
  </si>
  <si>
    <t>33.04%</t>
  </si>
  <si>
    <t>65.50%</t>
  </si>
  <si>
    <t>30.56%</t>
  </si>
  <si>
    <t>6.50%</t>
  </si>
  <si>
    <t>47.65%</t>
  </si>
  <si>
    <t>10.20%</t>
  </si>
  <si>
    <t>53.57%</t>
  </si>
  <si>
    <t>80.00%</t>
  </si>
  <si>
    <t>Estos ajustes reflejan la superioridad de Partizan y la situación complicada de Mladost Lučani en este partido. 📊⚽</t>
  </si>
  <si>
    <t>Consulta 4</t>
  </si>
  <si>
    <t>Consulta: Has un pronóstico de resultados basándote en los aspectos indicados en la matriz y en los datos estadísticos que te he proporcionado; CON UNA CONCLUSIÓN FINAL QUE RECOMIENDE HACER LA MEJOR APUESTA</t>
  </si>
  <si>
    <t>Respuesta 4</t>
  </si>
  <si>
    <t>🔮 Pronóstico de Resultado: Partizan vs. Mladost Lučani</t>
  </si>
  <si>
    <t>📅 Fecha: 26 de febrero de 2025</t>
  </si>
  <si>
    <t>⏰ Hora: 18:05 h</t>
  </si>
  <si>
    <t>🏆 Competición: Super Liga de Serbia</t>
  </si>
  <si>
    <t>📊 Análisis de Factores Clave y Datos Estadísticos</t>
  </si>
  <si>
    <t>1️⃣ Partizan tiene una clara ventaja en disponibilidad y estado físico de sus jugadores, con un equipo casi completo y en mejor forma que su rival.</t>
  </si>
  <si>
    <t>2️⃣ El factor localía favorece fuertemente a Partizan, ya que juega en casa y con el respaldo de su afición.</t>
  </si>
  <si>
    <t>3️⃣ El rendimiento reciente de Partizan es superior, mientras que Mladost Lučani llega con una racha negativa y varias ausencias clave.</t>
  </si>
  <si>
    <t>4️⃣ El calendario y el descanso benefician a Partizan, ya que ha tenido más tiempo para recuperarse y preparar el partido.</t>
  </si>
  <si>
    <t>5️⃣ Los datos estadísticos ajustados muestran una alta probabilidad de victoria local (65.50%), con un marcador sin goles poco probable (18.50%).</t>
  </si>
  <si>
    <t>6️⃣ Mladost Lučani tiene una defensa frágil y poca capacidad ofensiva, lo que hace que su victoria (6.50%) sea altamente improbable.</t>
  </si>
  <si>
    <t>⚽ Posibles Marcadores Finales (Basado en Probabilidades)</t>
  </si>
  <si>
    <t>✅ Resultado más probable: Partizan 2-0 Mladost Lučani</t>
  </si>
  <si>
    <t>➡️ Justificación: Partizan domina en todos los aspectos clave y Mladost Lučani tiene dificultades para anotar.</t>
  </si>
  <si>
    <t>⚠️ Otros resultados posibles:</t>
  </si>
  <si>
    <t>Partizan 3-0 Mladost Lučani (Si Partizan aprovecha sus oportunidades ofensivas).</t>
  </si>
  <si>
    <t>Partizan 2-1 Mladost Lučani (Si Mladost Lučani logra anotar un gol por error defensivo o balón parado).</t>
  </si>
  <si>
    <t>Partizan 1-0 Mladost Lučani (Si el partido es más cerrado de lo esperado).</t>
  </si>
  <si>
    <t>❌ Marcadores poco probables:</t>
  </si>
  <si>
    <t>Empate 0-0 o 1-1 (Baja probabilidad por la diferencia de calidad entre los equipos).</t>
  </si>
  <si>
    <t>Victoria de Mladost Lučani (Muy improbable debido a su mal momento y bajas).</t>
  </si>
  <si>
    <t>🎯 Conclusión y Recomendación de Apuesta</t>
  </si>
  <si>
    <t>🔹 La mejor apuesta es la victoria de Partizan (apuesta directa o en combinada).</t>
  </si>
  <si>
    <t>🔹 Apuesta con hándicap -1 para Partizan (gana por más de un gol).</t>
  </si>
  <si>
    <t>🔹 Apuesta a que Mladost Lučani NO marcará (clean sheet de Partizan).</t>
  </si>
  <si>
    <t>🔹 Apuesta a un marcador exacto de 2-0 o 3-0, que son los más probables según los datos analizados.</t>
  </si>
  <si>
    <t>📢 Recomendación final: Partizan ganará con comodidad, manteniendo su portería en cero. Apostar por su victoria sin recibir goles es una opción con buen valor. 🏆💰</t>
  </si>
  <si>
    <t>API - nombre y Utilidad</t>
  </si>
  <si>
    <t>ASPECTO A CONSULTAR</t>
  </si>
  <si>
    <t>BeSoccer API: Para obtener información sobre las alineaciones probables, lesiones actuales y estado físico de los jugadores.</t>
  </si>
  <si>
    <t xml:space="preserve">API de datos de jugadores: </t>
  </si>
  <si>
    <t>InStat: Para analizar las estadísticas recientes de ambos equipos, incluyendo rendimiento en los últimos partidos y patrones tácticos.</t>
  </si>
  <si>
    <t xml:space="preserve">API de estadísticas de partidos: </t>
  </si>
  <si>
    <t>OpenWeatherMap: Para conocer las condiciones climáticas previstas en la fecha y lugar del partido.</t>
  </si>
  <si>
    <t xml:space="preserve">API de condiciones climáticas: </t>
  </si>
  <si>
    <t>360Player: Para profundizar en el análisis táctico y estrategias utilizadas por los equipos en encuentros anteriores.</t>
  </si>
  <si>
    <t xml:space="preserve">API de análisis táctico: </t>
  </si>
  <si>
    <t>Classora: Es una base de conocimiento orientada al análisis de datos que almacena información estructurada y permite representarla en múltiples formatos. Ofrece una API comercial para enriquecimiento semántico y una web abierta donde es posible consultar información recopilada.</t>
  </si>
  <si>
    <t>Sportian: Anteriormente conocida como LaLiga Tech, es una empresa que ofrece soluciones de transformación digital para el sector del deporte y el entretenimiento. Aunque sus servicios están más orientados a organizaciones deportivas, pueden proporcionar herramientas útiles para el análisis de datos. 
WIKIPEDIA</t>
  </si>
  <si>
    <t>https://foroapuestas.forobet.com/betfair/55166-primeros-pasos-con-el-api-de-betfair-version-es.html</t>
  </si>
  <si>
    <t>las 14 mejores API deportivas para utilizar en su próxima aplicación
Última actualización:
mayo 14, 2024
Share on:
Los artículos de Geekflare están escritos por humanos para humanos.
Titus Kamunya
Titus Kamunya
Colaborador</t>
  </si>
  <si>
    <t>API</t>
  </si>
  <si>
    <t>Divulgación de la publicidad</t>
  </si>
  <si>
    <t>las 14 mejores API deportivas para utilizar en su próxima aplicación</t>
  </si>
  <si>
    <t>Última actualización:mayo 14, 2024</t>
  </si>
  <si>
    <t>Share on:</t>
  </si>
  <si>
    <t>Los artículos de Geekflare están escritos por humanos para humanos.</t>
  </si>
  <si>
    <t>Titus Kamunya</t>
  </si>
  <si>
    <t>Colaborador</t>
  </si>
  <si>
    <t>El deporte es una actividad que une a personas de todas las profesiones y condiciones sociales. Puede crear una aplicación deportiva centrada en deportes como el fútbol o el general.</t>
  </si>
  <si>
    <t>Independientemente de la categoría que elija, los sitios web de deportes tienen un gran potencial, ya que puede ganar dinero a través de banners publicitarios, marketing de afiliación o anuncios en pantalla de plataformas como Google AdSense.</t>
  </si>
  <si>
    <t>Las noticias deportivas y los resultados en directo son sensibles al tiempo. Por lo tanto, debe actualizar constantemente su sitio web para estar al día de lo que ocurre en el campo. Puede recopilar y mostrar estos datos en su sitio web deportivo utilizando las API deportivas.</t>
  </si>
  <si>
    <t>Introducción a las API deportivas</t>
  </si>
  <si>
    <t>Primeros pasos con el API de Betfair (versión .es)</t>
  </si>
  <si>
    <t>Viendo que el mercado de Betfair se mueve muy rápido para ser todo manual, y con los comentarios de @The Horse Whisper sobre Cymatic, me he dicho que había que probar si era verdad eso de que se puede acceder al API de Betfair siendo español.</t>
  </si>
  <si>
    <t>Así que la respuesta es que sí. Veamos cómo.</t>
  </si>
  <si>
    <t>Hay 3 formas de hacer login:</t>
  </si>
  <si>
    <t>- Interactive login, para desktop, que básicamente consiste en embeber la página de login de Betfair</t>
  </si>
  <si>
    <t>- Non-Interactive (bot) login, especialmente preferido para bots</t>
  </si>
  <si>
    <t>- Interactive Login - API Endpoint, el método más simple.</t>
  </si>
  <si>
    <t>El primero no me interesa, así que no lo he mirado.</t>
  </si>
  <si>
    <t>Para el segundo se necesita un certificado, que tenéis que subir en https://myaccount.betfair.es/account...rity?showAPI=1 pero el proceso para crearlo es un poco infernal y entretenido. Una vez creado se sube :</t>
  </si>
  <si>
    <t>Para ver cómo crearlo mirad en https://api.developer.betfair.com/se...28bot%29+login</t>
  </si>
  <si>
    <t>Nos queda el más simple, el Interactive Login sobre el API Endpoint.</t>
  </si>
  <si>
    <t>Lo primero que necesitamos es un AppKey , que será el identificador de aplicación.</t>
  </si>
  <si>
    <t>El problema es que para generarlo necesitamos un SessionToken o token de sesión, que tal y como está la documentación ahora, con las herramientas de Betfair no va.</t>
  </si>
  <si>
    <t>Así que por orden:</t>
  </si>
  <si>
    <t>1) Entrad en www.betfair.es con vuestro usuario y contraseña con Chrome</t>
  </si>
  <si>
    <t>2) Botón derecho, "Inspeccionar elemento". Aparece una ventana abajo o a la derecha con las herramientas para desarrolladores.</t>
  </si>
  <si>
    <t>3) En la pestaña de "Resources" vais a "Cookies" y seleccionáis "uk-api.betfair.es"</t>
  </si>
  <si>
    <t>4) Bajando veréis una variable llamada "ssoid", ese es vuestro SessionToken.</t>
  </si>
  <si>
    <t>Ojo, el SessionToken cambia cada vez que os conectáis, así que es importante que lo actualicéis en las llamadas posteriores, si no dará error.</t>
  </si>
  <si>
    <t>5) Armados con ese SessionToken nos vamos al Accounts API Demo tool de Betfair: https://developer.betfair.com/exchan...unts-api-demo/</t>
  </si>
  <si>
    <t>Con el EndPoint UK , elegimos "createDeveloperAppKeys", primera opción de la izquierda, damos un nombre a nuestra aplicación, y pulsamos Execute. Ya tenemos un AppKey. Tomamos el que sale en la columna "Application Key" para la version "1.0" (no el que pone DELAY).</t>
  </si>
  <si>
    <t>Ahora que tenemos un sessionTokey y un AppKey, podemos ya operar con el API.</t>
  </si>
  <si>
    <t>Podemos irnos por ejemplo a la herramienta de demo de Betfair en https://developer.betfair.com/exchan...ting-api-demo/</t>
  </si>
  <si>
    <t>Rellenamos arriba AppKey y SessionToken y podemos probar todas las funciones:</t>
  </si>
  <si>
    <t>1) Listamos todos los tipos de eventos con "listEventTypes"</t>
  </si>
  <si>
    <t>2) Listamos todas las competiciones de tenis (según la respuesta anterior, es el tipo de competición 2) poniendo un 2 en "event Type Ids"</t>
  </si>
  <si>
    <t>3) Listar todos los partidos de tenis (recordemos, eventos tipo 2)</t>
  </si>
  <si>
    <t>4) Vemos todos los mercados por ejemplo del Wozniacki-Kuznetsova:</t>
  </si>
  <si>
    <t>5) Con ListMarketBook podemos ver ya los datos de selecciones, cuotas, dinero, etc.</t>
  </si>
  <si>
    <t>También podemos acceder vía el interfaz y recoger toda esta información en JSON. Para ello, por ejemplo si tenemos curl instalado pues es simple.</t>
  </si>
  <si>
    <t>1) Con nuestra AppKey necesitamos un SessionToken y lo obtenemos con esta instrucción:</t>
  </si>
  <si>
    <t>Código PHP:</t>
  </si>
  <si>
    <t>curl -k -i -H "Accept: application/json" -H "X-Application: NUESTRO_APP_KEY" -X POST -d 'username=USUARIOBETFAIR&amp;password=PASSWORDBETFAIR' https://identitysso.betfair.es/api/login </t>
  </si>
  <si>
    <t>La respuesta será:</t>
  </si>
  <si>
    <t>HTTP/1.1 200 OKContent-Type: application/jsonContent-Length: 115Date: Thu, 05 Nov 2015 12:16:34 GMT</t>
  </si>
  <si>
    <t>{"token":"NUESTRO_SESSION_TOKEN","product":"NUESTROAPPKEY","status":"SUCCESS","error":""} </t>
  </si>
  <si>
    <t>Con ese Session Token ya podemos seguir pidiendo cosas. Por ejemplo, replico la primera llamada de las anteriores, una llamada a listEventTypes para ver los deportes que tiene disponibles Betfair</t>
  </si>
  <si>
    <t>curl -s -X POST --header "Accept: application/json" --header "Content-Type: application/json" --header "X-Application: NUESTRO_APP_KEY" --header "X-Authentication:   NUESTRO_TOKEN_DE_SESION"  --data "[{ \"jsonrpc\": \"2.0\", \"method\": \"SportsAPING/v1.0/listEventTypes\", \"params\": {\"filter\":{}}, \"id\": 1}] " https://api.betfair.com/exchange/betting/json-rpc/v1 </t>
  </si>
  <si>
    <t>Y la respuesta será un JSON con los deportes y su número de mercados:</t>
  </si>
  <si>
    <t>[  </t>
  </si>
  <si>
    <t>   {  </t>
  </si>
  <si>
    <t>      "jsonrpc":"2.0",</t>
  </si>
  <si>
    <t>      "result":[  </t>
  </si>
  <si>
    <t>         {  </t>
  </si>
  <si>
    <t>            "eventType":{  </t>
  </si>
  <si>
    <t>               "id":"468328",</t>
  </si>
  <si>
    <t>               "name":"Handball"</t>
  </si>
  <si>
    <t>            },</t>
  </si>
  <si>
    <t>            "marketCount":14</t>
  </si>
  <si>
    <t>         },</t>
  </si>
  <si>
    <t>               "id":"1",</t>
  </si>
  <si>
    <t>               "name":"Soccer"</t>
  </si>
  <si>
    <t>            "marketCount":1943</t>
  </si>
  <si>
    <t>               "id":"2",</t>
  </si>
  <si>
    <t>               "name":"Tennis"</t>
  </si>
  <si>
    <t>            "marketCount":81</t>
  </si>
  <si>
    <t>               "id":"3",</t>
  </si>
  <si>
    <t>               "name":"Golf"</t>
  </si>
  <si>
    <t>            "marketCount":2</t>
  </si>
  <si>
    <t>               "id":"6422",</t>
  </si>
  <si>
    <t>               "name":"Snooker"</t>
  </si>
  <si>
    <t>            "marketCount":7</t>
  </si>
  <si>
    <t>               "id":"998917",</t>
  </si>
  <si>
    <t>               "name":"Volleyball"</t>
  </si>
  <si>
    <t>            "marketCount":16</t>
  </si>
  <si>
    <t>               "id":"6423",</t>
  </si>
  <si>
    <t>               "name":"American Football"</t>
  </si>
  <si>
    <t>            "marketCount":13</t>
  </si>
  <si>
    <t>               "id":"8",</t>
  </si>
  <si>
    <t>               "name":"Motor Sport"</t>
  </si>
  <si>
    <t>               "id":"7522",</t>
  </si>
  <si>
    <t>               "name":"Basketball"</t>
  </si>
  <si>
    <t>            "marketCount":163</t>
  </si>
  <si>
    <t>         }</t>
  </si>
  <si>
    <t>      ],</t>
  </si>
  <si>
    <t>      "id":1</t>
  </si>
  <si>
    <t>   }</t>
  </si>
  <si>
    <t>] </t>
  </si>
  <si>
    <t>Ya sólo falta que los desarrolladores de bots se vayan actualizando a esto. Pero al menos para nuestras apps se puede empezar a plantear desarrollos.</t>
  </si>
  <si>
    <t>Compartir</t>
  </si>
  <si>
    <t>LBD</t>
  </si>
  <si>
    <t>Tú dijiste:</t>
  </si>
  <si>
    <t>En el contexto de apuestas futbolísticas, proporcioname API´s para los siguientes aspectos que necesito evaluar: API de datos de jugadores: Para obtener información sobre ausencias, lesiones y estado físico de los jugadores. API de estadísticas de partidos: Para obtener datos sobre la motivación, presión, rendimiento reciente, etc. API de condiciones climáticas: Para obtener información sobre el clima en el lugar del partido. API de análisis táctico: Para obtener información sobre estrategias y tácticas de los equipos. Ejemplo de integración de múltiples APIs</t>
  </si>
  <si>
    <t>ChatGPT Plus</t>
  </si>
  <si>
    <t>Para abordar tus necesidades en el ámbito de las apuestas futbolísticas, te propongo las siguientes APIs que pueden proporcionarte información relevante:</t>
  </si>
  <si>
    <t>1. API de datos de jugadores: Para obtener información sobre ausencias, lesiones y estado físico de los jugadores, la API de BeSoccer es una opción destacada. BeSoccer cuenta con una de las bases de datos de fútbol más completas del mundo, ofreciendo información detallada sobre jugadores, incluyendo estadísticas, historial de lesiones y estado físico. Puedes acceder a su API en su sitio web oficial: </t>
  </si>
  <si>
    <t>api.besoccer.com</t>
  </si>
  <si>
    <t>2. API de estadísticas de partidos: Para analizar aspectos como motivación, presión y rendimiento reciente de los equipos, InStat proporciona servicios de análisis de rendimiento deportivo. Ofrece estadísticas detalladas de equipos y jugadores, lo que puede ayudarte a evaluar el estado actual y las tendencias de rendimiento. Más información está disponible en su página:</t>
  </si>
  <si>
    <t>3. API de condiciones climáticas: Para obtener información sobre el clima en el lugar del partido, puedes utilizar APIs meteorológicas como OpenWeatherMap o Weatherbit. Estas plataformas ofrecen datos en tiempo real sobre condiciones climáticas, lo cual es crucial para evaluar cómo el clima puede afectar el desarrollo de un partido.</t>
  </si>
  <si>
    <t>4. API de análisis táctico: Para acceder a información sobre estrategias y tácticas de los equipos, la API de 360Player ofrece herramientas de análisis táctico y estadísticas avanzadas. Esta plataforma permite el seguimiento de métricas clave y proporciona visualizaciones que pueden ser útiles para entender las tácticas empleadas por los equipos. Puedes explorar sus funcionalidades aquí: </t>
  </si>
  <si>
    <t>es.360player.com</t>
  </si>
  <si>
    <t>Ejemplo de integración de múltiples APIs: Imagina que deseas evaluar un partido próximo entre dos equipos. Podrías integrar las siguientes APIs en tu sistema:</t>
  </si>
  <si>
    <t>BeSoccer API: Para obtener información sobre las alineaciones probables, lesiones actuales y estado físico de los jugadores.</t>
  </si>
  <si>
    <t>InStat: Para analizar las estadísticas recientes de ambos equipos, incluyendo rendimiento en los últimos partidos y patrones tácticos.</t>
  </si>
  <si>
    <t>OpenWeatherMap: Para conocer las condiciones climáticas previstas en la fecha y lugar del partido.</t>
  </si>
  <si>
    <t>360Player: Para profundizar en el análisis táctico y estrategias utilizadas por los equipos en encuentros anteriores.</t>
  </si>
  <si>
    <t>Al combinar la información de estas fuentes, podrías obtener una visión integral que te permita realizar evaluaciones más precisas y fundamentadas para tus apuestas futbolísticas.</t>
  </si>
  <si>
    <t>Recuerda que la calidad de tus predicciones dependerá de la correcta interpretación y análisis de los datos proporcionados por estas APIs.</t>
  </si>
  <si>
    <t>Fuentes</t>
  </si>
  <si>
    <t>Con relación a las apuestas futbolísticas: 1) ¿Existen APIs gratuitas?; 2) Respecto a tu respuesta anterior, ¿ Cuáles son las APIs gratuitas que aconsejas consultar?; ¿Puedes darme los Links exactos de las APIs gratuitas que comentas?</t>
  </si>
  <si>
    <t>las 14 mejores API deportivas para utilizar en su próxima ...</t>
  </si>
  <si>
    <t>geekflare.com</t>
  </si>
  <si>
    <t>forobet.com</t>
  </si>
  <si>
    <t>En el ámbito de las apuestas futbolísticas, es fundamental contar con datos precisos y actualizados. A continuación, te presento algunas APIs gratuitas que pueden ser de utilidad:</t>
  </si>
  <si>
    <t>1. APIs de datos de jugadores y estadísticas de partidos:</t>
  </si>
  <si>
    <t>Classora: Es una base de conocimiento orientada al análisis de datos que almacena información estructurada y permite representarla en múltiples formatos. Ofrece una API comercial para enriquecimiento semántico y una web abierta donde es posible consultar información recopilada. </t>
  </si>
  <si>
    <t>Wikipedia</t>
  </si>
  <si>
    <t>BeSoccer: Proporciona estadísticas, resultados y noticias de clubes de fútbol y jugadores de las principales ligas europeas, así como de varias ligas sudamericanas y clasificaciones a copas del mundo. También ofrece análisis de datos de futbolistas a través de la herramienta BeSoccer Pro. </t>
  </si>
  <si>
    <t>2. APIs de condiciones climáticas:</t>
  </si>
  <si>
    <t>OpenWeatherMap: Ofrece datos meteorológicos actuales, pronósticos y datos históricos de forma gratuita. Es ampliamente utilizada para obtener información sobre el clima en eventos deportivos.</t>
  </si>
  <si>
    <t>3. APIs de análisis táctico:</t>
  </si>
  <si>
    <t>InStat: Es una empresa de análisis de rendimiento deportivo que proporciona estadísticas detalladas de equipos y jugadores. Aunque sus servicios son mayormente comerciales, ofrecen algunas herramientas y datos que pueden ser útiles para análisis tácticos. </t>
  </si>
  <si>
    <t>Consideraciones adicionales:</t>
  </si>
  <si>
    <t>Sportian: Anteriormente conocida como LaLiga Tech, es una empresa que ofrece soluciones de transformación digital para el sector del deporte y el entretenimiento. Aunque sus servicios están más orientados a organizaciones deportivas, pueden proporcionar herramientas útiles para el análisis de datos. </t>
  </si>
  <si>
    <t>Es importante destacar que, si bien algunas de estas APIs ofrecen planes gratuitos, las funcionalidades pueden ser limitadas en comparación con las versiones de pago. Se recomienda revisar la documentación y las condiciones de uso de cada API para asegurarse de que se ajusten a tus necesidades específicas.</t>
  </si>
  <si>
    <t>Dame un ejemplo y los pasos que debo realizar para ingresar y copiar el llink de una API. LO ÓPTIMO SERÍA ALGUNAS DE LA APIs ANTERIORES PARA EMPEZAR.</t>
  </si>
  <si>
    <t>Vamos a usar OpenWeatherMap, que es una API gratuita para obtener datos meteorológicos, como ejemplo. Aquí están los pasos que debes seguir para ingresar y copiar el enlace de la API:</t>
  </si>
  <si>
    <t>Ejemplo con OpenWeatherMap</t>
  </si>
  <si>
    <t>Objetivo: Obtener datos del clima en un estadio de fútbol antes de un partido.</t>
  </si>
  <si>
    <t>Pasos para acceder a la API y copiar el enlace:</t>
  </si>
  <si>
    <t>1. Ir al sitio web de la API</t>
  </si>
  <si>
    <t>Abre tu navegador y ve a:</t>
  </si>
  <si>
    <t>👉 https://openweathermap.org/api</t>
  </si>
  <si>
    <t>2. Registrarte en la plataforma</t>
  </si>
  <si>
    <t>Haz clic en "Sign Up" o "Create an account".</t>
  </si>
  <si>
    <t>Completa el formulario con tu correo electrónico y contraseña.</t>
  </si>
  <si>
    <t>Verifica tu cuenta a través del correo que recibirás.</t>
  </si>
  <si>
    <t>3. Obtener una clave de API (API Key)</t>
  </si>
  <si>
    <t>Inicia sesión en OpenWeatherMap.</t>
  </si>
  <si>
    <t>Ve a la sección "API keys" en tu cuenta.</t>
  </si>
  <si>
    <t>Copia la clave generada (necesaria para hacer solicitudes).</t>
  </si>
  <si>
    <t>4. Copiar el link de la API</t>
  </si>
  <si>
    <t>Para obtener datos meteorológicos de una ciudad (ejemplo: Madrid), copia y usa este enlace:</t>
  </si>
  <si>
    <t>bash</t>
  </si>
  <si>
    <t>CopiarEditar</t>
  </si>
  <si>
    <t>https://api.openweathermap.org/data/2.5/weather?q=Madrid&amp;appid=TU_API_KEY</t>
  </si>
  <si>
    <t>Reemplaza TU_API_KEY con la clave que copiaste en el paso anterior.</t>
  </si>
  <si>
    <t>Cómo probar la API</t>
  </si>
  <si>
    <t>Para verificar que funciona, puedes hacer lo siguiente:</t>
  </si>
  <si>
    <t>✅ Opción 1: Usar el navegador</t>
  </si>
  <si>
    <t>Copia y pega el link en la barra de direcciones del navegador.</t>
  </si>
  <si>
    <t>Si la API funciona correctamente, verás una respuesta en formato JSON con la información del clima.</t>
  </si>
  <si>
    <t>✅ Opción 2: Usar Postman</t>
  </si>
  <si>
    <t>Descarga e instala Postman (https://www.postman.com/).</t>
  </si>
  <si>
    <t>Crea una nueva solicitud de tipo GET y pega la URL.</t>
  </si>
  <si>
    <t>Presiona "Send" y verás los datos del clima en formato JSON.</t>
  </si>
  <si>
    <t>✅ Opción 3: Usar Python</t>
  </si>
  <si>
    <t>Puedes hacer la solicitud en Python usando la librería requests:</t>
  </si>
  <si>
    <t>python</t>
  </si>
  <si>
    <t>import requests</t>
  </si>
  <si>
    <t>url = "https://api.openweathermap.org/data/2.5/weather?q=Madrid&amp;appid=TU_API_KEY"</t>
  </si>
  <si>
    <t>response = requests.get(url)</t>
  </si>
  <si>
    <t>print(response.json())</t>
  </si>
  <si>
    <t>¿Quieres otro ejemplo con una API de fútbol?</t>
  </si>
  <si>
    <t>Si te interesa, puedo guiarte con BeSoccer o alguna otra API para datos de jugadores y equipos. 🚀</t>
  </si>
  <si>
    <t>¡Claro que sí!, Si es posible GUÍAME COMO HACER CON LAS SIGUIENTES PARA OBTENER SUS RESPECTIVAS APIs: Classora. BeSoccer OpenWeatherMap: Ofrece datos meteorológicos actuales, pronósticos y datos históricos de forma gratuita. Es ampliamente utilizada para obtener información sobre el clima en eventos deportivos. 3. APIs de análisis táctico: InStat: Es una empresa de análisis de rendimiento deportivo que proporciona estadísticas detalladas de equipos y jugadores. Aunque sus servicios son mayormente comerciales, ofrecen algunas herramientas y datos que pueden ser útiles para análisis tácticos. WIKIPEDIA Consideraciones adicionales: Sportian: Anteriormente conocida como LaLiga Tech, es una empresa que ofrece soluciones de transformación digital para el sector del deporte y el entretenimiento. Aunque sus servicios están más orientados a organizaciones deportivas, pueden proporcionar herramientas útiles para el análisis de datos. WIKIPEDIA</t>
  </si>
  <si>
    <t>BeSoccer API | La API de Fútbol más completa</t>
  </si>
  <si>
    <t>besoccer.com</t>
  </si>
  <si>
    <t>¡Por supuesto! A continuación, te guiaré sobre cómo acceder y utilizar las APIs de las plataformas mencionadas:</t>
  </si>
  <si>
    <t>1. BeSoccer API</t>
  </si>
  <si>
    <t>BeSoccer ofrece una API que proporciona información detallada sobre competiciones, equipos y jugadores a nivel mundial.</t>
  </si>
  <si>
    <t>Pasos para acceder:</t>
  </si>
  <si>
    <t>1. Visita el sitio web de BeSoccer API: </t>
  </si>
  <si>
    <t>BeSoccer</t>
  </si>
  <si>
    <t>2. Registro:</t>
  </si>
  <si>
    <t>Haz clic en "Entrar" o "Registrarse" en la esquina superior derecha.</t>
  </si>
  <si>
    <t>Completa el formulario con tus datos personales y confirma tu registro.</t>
  </si>
  <si>
    <t>3. Accede a la documentación:</t>
  </si>
  <si>
    <t>Una vez registrado, navega a la sección de documentación para familiarizarte con las funcionalidades de la API. </t>
  </si>
  <si>
    <t>4. Obtén tu clave de API:</t>
  </si>
  <si>
    <t>Después de iniciar sesión, podrás generar una clave de API que te permitirá realizar solicitudes a los endpoints disponibles.</t>
  </si>
  <si>
    <t>Ejemplo de solicitud:</t>
  </si>
  <si>
    <t>Para obtener información sobre un equipo específico:</t>
  </si>
  <si>
    <t>https://api.besoccer.com/v2/team?id=EQUIPO_ID&amp;token=TU_API_KEY</t>
  </si>
  <si>
    <t>Reemplaza EQUIPO_ID con el identificador del equipo y TU_API_KEY con tu clave personal.</t>
  </si>
  <si>
    <t>2. OpenWeatherMap API</t>
  </si>
  <si>
    <t>OpenWeatherMap proporciona datos meteorológicos actuales, pronósticos y datos históricos de forma gratuita.</t>
  </si>
  <si>
    <t>1. Visita el sitio web de OpenWeatherMap: </t>
  </si>
  <si>
    <t>openweathermap.org</t>
  </si>
  <si>
    <t>Haz clic en "Sign Up" y completa el formulario de registro.</t>
  </si>
  <si>
    <t>3. Obtén tu clave de API:</t>
  </si>
  <si>
    <t>Después de iniciar sesión, dirígete a la sección "API keys" para generar tu clave.</t>
  </si>
  <si>
    <t>4. Revisa la documentación:</t>
  </si>
  <si>
    <t>Familiarízate con los diferentes endpoints y parámetros disponibles en la documentación oficial.</t>
  </si>
  <si>
    <t>Para obtener el clima actual de una ciudad:</t>
  </si>
  <si>
    <t>https://api.openweathermap.org/data/2.5/weather?q=Ciudad&amp;appid=TU_API_KEY</t>
  </si>
  <si>
    <t>Reemplaza Ciudad por el nombre de la ciudad deseada y TU_API_KEY con tu clave personal.</t>
  </si>
  <si>
    <t>3. InStat</t>
  </si>
  <si>
    <t>InStat es una empresa de análisis de rendimiento deportivo que proporciona estadísticas detalladas de equipos y jugadores.</t>
  </si>
  <si>
    <t>1. Visita el sitio web de InStat: https://instatsport.com/</t>
  </si>
  <si>
    <t>2. Contacto:</t>
  </si>
  <si>
    <t>Dado que InStat ofrece servicios mayormente comerciales, es recomendable contactar directamente con ellos para obtener información sobre acceso a sus datos y posibles integraciones.</t>
  </si>
  <si>
    <t>4. Sportian</t>
  </si>
  <si>
    <t>Anteriormente conocida como LaLiga Tech, Sportian ofrece soluciones de transformación digital para el sector del deporte y el entretenimiento.</t>
  </si>
  <si>
    <t>1. Visita el sitio web de Sportian: https://www.sportian.com/</t>
  </si>
  <si>
    <t>Al igual que InStat, Sportian se centra en soluciones empresariales. Es aconsejable ponerse en contacto con su equipo para discutir oportunidades de colaboración o acceso a sus servicios.</t>
  </si>
  <si>
    <t>Classora:</t>
  </si>
  <si>
    <t>Aunque anteriormente mencioné a Classora, no he encontrado información específica sobre una API pública disponible en sus recursos actuales.</t>
  </si>
  <si>
    <t>Betfair; Winamax; bwin;Retabet; y 1XBET España.</t>
  </si>
  <si>
    <t>Nota: Algunas de estas plataformas pueden requerir acuerdos comerciales o suscripciones para acceder a sus APIs. Te recomiendo revisar detalladamente sus términos y condiciones antes de integrarlas en tus proyectos.</t>
  </si>
  <si>
    <t>BeSoccer; InStat;OpenWeatherMap;360Player; y Classora Con relación a las APIs de estos nombre y sus sitios web, crea una Tabla con el encabezado y rellena los datos necesarios con lo PASOS QUE DEBO REALIZAR PARA INGRESAR Y COPIAR EL LINK DE SUS RESPECTIVAS API,s. La Tabla debe tener el encabezado en sus respectivas Columnas y en el orden siguiente; "API -Nombre_Plataforma" / "Aspecto a consultar"/ Web de la API" / "Acciones para registrase en la plataforma" / "Acciones para obtener una clave de API (API Key)" / "Link de la API que debo Copiar" / "¿Que se debe reemplazar en el Lik de la API? / " Herramientas adicionales de la plataforma (ejemplo: BeSoccer Pro" /</t>
  </si>
  <si>
    <t>¡Claro! A continuación, te presento una tabla detallada que resume los pasos para registrarse y obtener las claves de API de las plataformas mencionadas:</t>
  </si>
  <si>
    <t>API - Nombre de la Plataforma</t>
  </si>
  <si>
    <t>Aspecto a Consultar</t>
  </si>
  <si>
    <t>Web de la API</t>
  </si>
  <si>
    <t>Acciones para Registrarse en la Plataforma</t>
  </si>
  <si>
    <t>Acciones para Obtener una Clave de API (API Key)</t>
  </si>
  <si>
    <t>Link de la API que Debo Copiar</t>
  </si>
  <si>
    <t>¿Qué se Debe Reemplazar en el Link de la API?</t>
  </si>
  <si>
    <t>Herramientas Adicionales de la Plataforma</t>
  </si>
  <si>
    <t>Datos y estadísticas de fútbol</t>
  </si>
  <si>
    <t>https://api.besoccer.com/</t>
  </si>
  <si>
    <t>- Visita el sitio web de la API.</t>
  </si>
  <si>
    <t>- Inicia sesión en tu cuenta.</t>
  </si>
  <si>
    <t>https://api.besoccer.com/v2/{endpoint}?token=TU_API_KEY</t>
  </si>
  <si>
    <t>- Reemplaza {endpoint} con el servicio que deseas consultar (por ejemplo, team, player).</t>
  </si>
  <si>
    <t>- BeSoccer Pro: Herramienta avanzada para análisis de datos y scouting.</t>
  </si>
  <si>
    <t>- Haz clic en "Regístrate" en la esquina superior izquierda.</t>
  </si>
  <si>
    <t>- Accede a la sección de "Planes" y selecciona uno que se ajuste a tus necesidades.</t>
  </si>
  <si>
    <t>- Sustituye TU_API_KEY con tu clave de API personal.</t>
  </si>
  <si>
    <t>- Informes Personalizados: Análisis detallados bajo demanda. </t>
  </si>
  <si>
    <t>- Completa el formulario de registro con tus datos.</t>
  </si>
  <si>
    <t>- Una vez seleccionado el plan, se te proporcionará una clave de API.</t>
  </si>
  <si>
    <t>pro.besoccer.com</t>
  </si>
  <si>
    <t>- Confirma tu cuenta a través del correo electrónico recibido.</t>
  </si>
  <si>
    <t>InStat</t>
  </si>
  <si>
    <t>Análisis de rendimiento deportivo</t>
  </si>
  <si>
    <t>https://api.instatfootball.com/</t>
  </si>
  <si>
    <t>- Tras establecer contacto y acordar términos, el equipo de InStat te proporcionará las credenciales necesarias para acceder a la API.</t>
  </si>
  <si>
    <t>https://api.instatfootball.com/{lang}/data/{action}.{format}?login=TU_LOGIN&amp;pass=TU_PASSWORD</t>
  </si>
  <si>
    <t>- Reemplaza {lang} con el idioma deseado (por ejemplo, en para inglés).</t>
  </si>
  <si>
    <t>- InStat Scout: Plataforma para análisis detallado de partidos y jugadores.</t>
  </si>
  <si>
    <t>- No hay un proceso de registro automático disponible.</t>
  </si>
  <si>
    <t>- Sustituye {action} con la acción específica que deseas realizar (por ejemplo, team_summary).</t>
  </si>
  <si>
    <t>- InStat TV: Acceso a videos de partidos para análisis táctico.</t>
  </si>
  <si>
    <t>- Debes contactar directamente al equipo de InStat para solicitar acceso.</t>
  </si>
  <si>
    <t>- Cambia {format} por el formato de respuesta deseado (xml o json).</t>
  </si>
  <si>
    <t>- Sustituye TU_LOGIN y TU_PASSWORD con las credenciales proporcionadas.</t>
  </si>
  <si>
    <t>OpenWeatherMap</t>
  </si>
  <si>
    <t>Datos meteorológicos actuales y pronósticos</t>
  </si>
  <si>
    <t>https://openweathermap.org/api</t>
  </si>
  <si>
    <t>https://api.openweathermap.org/data/2.5/weather?q=CIUDAD&amp;appid=TU_API_KEY</t>
  </si>
  <si>
    <t>- Reemplaza CIUDAD con el nombre de la ciudad que deseas consultar.</t>
  </si>
  <si>
    <t>- Mapas Climáticos: Visualización de datos meteorológicos en mapas interactivos.</t>
  </si>
  <si>
    <t>- Haz clic en "Sign Up" o "Crear cuenta".</t>
  </si>
  <si>
    <t>- Dirígete a la sección "API keys" en tu perfil.</t>
  </si>
  <si>
    <t>- Historial Climático: Acceso a datos históricos del clima.</t>
  </si>
  <si>
    <t>- Completa el formulario de registro con tu correo electrónico y contraseña.</t>
  </si>
  <si>
    <t>- Genera una nueva clave de API desde esta sección.</t>
  </si>
  <si>
    <t>- Confirma tu cuenta a través del enlace enviado a tu correo.</t>
  </si>
  <si>
    <t>360Player</t>
  </si>
  <si>
    <t>Desarrollo y gestión de equipos deportivos</t>
  </si>
  <si>
    <t>https://www.360player.com/</t>
  </si>
  <si>
    <t>- Visita el sitio web oficial.</t>
  </si>
  <si>
    <t>- Actualmente, 360Player no ofrece una API pública documentada.</t>
  </si>
  <si>
    <t>N/A</t>
  </si>
  <si>
    <t>- Gestión de Equipos: Herramientas para la organización y comunicación interna.</t>
  </si>
  <si>
    <t>- Haz clic en "Get Started" o "Comenzar".</t>
  </si>
  <si>
    <t>- Para integraciones personalizadas, es necesario contactar directamente con su equipo de soporte.</t>
  </si>
  <si>
    <t>- Análisis de Rendimiento: Seguimiento y evaluación del desempeño de jugadores.</t>
  </si>
  <si>
    <t>- Completa el formulario con la información de tu equipo o club.</t>
  </si>
  <si>
    <t>- Sigue las instrucciones enviadas a tu correo para finalizar el registro.</t>
  </si>
  <si>
    <t>Classora</t>
  </si>
  <si>
    <t>Análisis y visualización de datos</t>
  </si>
  <si>
    <t>https://www.classora.com/</t>
  </si>
  <si>
    <t>- Classora no proporciona información pública sobre una API disponible.</t>
  </si>
  <si>
    <t>- Informes Personalizados: Generación de informes y visualizaciones basadas en datos específicos.</t>
  </si>
  <si>
    <t>- Haz clic en "Registrarse" o "Sign Up".</t>
  </si>
  <si>
    <t>- Para consultas o integraciones, es recomendable contactar directamente con su equipo.</t>
  </si>
  <si>
    <t>- Completa el formulario con tus datos personales.</t>
  </si>
  <si>
    <t>Notas Importantes:</t>
  </si>
  <si>
    <t>Algunas plataformas, como InStat y Classora, no ofrecen un proceso de registro automático para acceder a sus APIs. En estos casos, es necesario contactar directamente con sus equipos para obtener información sobre integraciones y acceso a datos.</t>
  </si>
  <si>
    <t>Es fundamental revisar la documentación oficial de cada plataforma para comprender las limitaciones, cuotas y políticas de uso asociadas a sus APIs.</t>
  </si>
  <si>
    <t>Las herramientas adicionales mencionadas pueden requerir suscripciones o acuerdos comerciales específicos.</t>
  </si>
  <si>
    <t>Espero que esta tabla te sea de ayuda para comprender los pasos necesarios para acceder a las APIs de las plataformas mencionadas y las funcionalidades adicionales que ofrecen.</t>
  </si>
  <si>
    <t>¿Me puedes dar una alternativa gratuita en lugar de "InStat"?</t>
  </si>
  <si>
    <t>¡Por supuesto! Si estás buscando alternativas gratuitas a InStat para el análisis de rendimiento deportivo, aquí te presento algunas opciones destacadas:</t>
  </si>
  <si>
    <t>Kinovea</t>
  </si>
  <si>
    <t>Software gratuito de análisis de video diseñado para entrenadores, atletas y profesionales del deporte. Permite realizar mediciones, anotaciones y un análisis detallado del rendimiento deportivo. </t>
  </si>
  <si>
    <t>g2.com</t>
  </si>
  <si>
    <t>LongoMatch</t>
  </si>
  <si>
    <t>Herramienta de análisis de video en tiempo real que facilita la evaluación del rendimiento de equipos y jugadores. Ofrece una versión gratuita con funcionalidades básicas y versiones de pago con características avanzadas. </t>
  </si>
  <si>
    <t>Nacsport</t>
  </si>
  <si>
    <t>Ofrece soluciones de análisis de video para equipos deportivos. Aunque sus versiones más avanzadas son de pago, dispone de una versión básica gratuita adecuada para análisis fundamentales. </t>
  </si>
  <si>
    <t>objetivoanalista.com</t>
  </si>
  <si>
    <t>ERIC Sport</t>
  </si>
  <si>
    <t>Software de videoanálisis que ayuda a optimizar el rendimiento de equipos deportivos. Ofrece una versión gratuita con funcionalidades limitadas y opciones de pago para características más avanzadas. </t>
  </si>
  <si>
    <t>Plataforma integral de gestión deportiva que incluye herramientas de análisis de rendimiento, planificación de entrenamientos y comunicación. Utilizada por academias de renombre como Barça Academy y Rafa Nadal Academy. </t>
  </si>
  <si>
    <t>AS</t>
  </si>
  <si>
    <t>Estas alternativas ofrecen diversas funcionalidades que pueden adaptarse a tus necesidades específicas en el análisis de rendimiento deportivo. Te recomiendo explorar cada una para determinar cuál se alinea mejor con tus objetivos y requerimientos.</t>
  </si>
  <si>
    <t>¿n el caso de FootyStats, ¿Qué me puedes decir sobre su API y si es gratuita?</t>
  </si>
  <si>
    <t>FootyStats ofrece una API que proporciona datos detallados de fútbol en formato JSON, incluyendo estadísticas como más/menos goles, ambos equipos marcan (BTTS), córners, tarjetas y goles, entre otros. </t>
  </si>
  <si>
    <t>footystats.org</t>
  </si>
  <si>
    <t>La API de FootyStats cuenta con una versión gratuita que permite acceso limitado a sus datos. Este plan gratuito incluye:</t>
  </si>
  <si>
    <t>Máximo de Ligas: 1</t>
  </si>
  <si>
    <t>Límite de Solicitudes: 180 por hora</t>
  </si>
  <si>
    <t>Puntos Finales de la API: Limitados</t>
  </si>
  <si>
    <t>Estadísticas de Jugadores: Incluidas</t>
  </si>
  <si>
    <t>Para acceder a más ligas y aumentar el límite de solicitudes, FootyStats ofrece planes de pago que amplían estas capacidades.</t>
  </si>
  <si>
    <t>Pasos para registrarse y obtener una clave de API:</t>
  </si>
  <si>
    <t>1. Registro en la plataforma:</t>
  </si>
  <si>
    <t>Visita el sitio web oficial de FootyStats en https://footystats.org/es/api/.</t>
  </si>
  <si>
    <t>Haz clic en "Suscríbete" o "Regístrate".</t>
  </si>
  <si>
    <t>Completa el formulario de registro con tus datos personales.</t>
  </si>
  <si>
    <t>Confirma tu cuenta a través del correo electrónico que recibirás.</t>
  </si>
  <si>
    <t>2. Obtención de la clave de API:</t>
  </si>
  <si>
    <t>Inicia sesión en tu cuenta de FootyStats.</t>
  </si>
  <si>
    <t>Accede a la sección de la API en tu panel de usuario.</t>
  </si>
  <si>
    <t>Allí encontrarás tu clave de API personal que podrás utilizar para realizar solicitudes.</t>
  </si>
  <si>
    <t>Ejemplo de uso de la API:</t>
  </si>
  <si>
    <t>Para realizar una solicitud a la API y obtener datos de un equipo específico, puedes utilizar la siguiente estructura de URL:</t>
  </si>
  <si>
    <t>ruby</t>
  </si>
  <si>
    <t>https://api.football-data-api.com/team?key=TU_API_KEY&amp;team_id=ID_DEL_EQUIPO&amp;include=stats</t>
  </si>
  <si>
    <t>Donde deberás reemplazar TU_API_KEY con tu clave de API personal y ID_DEL_EQUIPO con el identificador del equipo que deseas consultar.</t>
  </si>
  <si>
    <t>Es importante revisar la documentación oficial de FootyStats para comprender las limitaciones y políticas de uso asociadas a su API.</t>
  </si>
  <si>
    <t>Nombre de la Plataforma</t>
  </si>
  <si>
    <t>Para obtener información sobre ausencias, lesiones y estado físico de los jugadores, la API de BeSoccer es una opción destacada. BeSoccer cuenta con una de las bases de datos de fútbol más completas del mundo, ofreciendo información detallada sobre jugadores, incluyendo estadísticas, historial de lesiones y estado físico. Puedes acceder a su API en su sitio web oficial: 
API.BESOCCER.COM</t>
  </si>
  <si>
    <t>- Reemplaza {endpoint} con el servicio que deseas consultar (por ejemplo, team, player).</t>
  </si>
  <si>
    <t>- BeSoccer Pro: Herramienta avanzada para análisis de datos y scouting.</t>
  </si>
  <si>
    <t>- Sustituye TU_API_KEY con tu clave de API personal.</t>
  </si>
  <si>
    <t xml:space="preserve">- Informes Personalizados: Análisis detallados bajo demanda. </t>
  </si>
  <si>
    <t xml:space="preserve"> API de estadísticas de partidos: Para analizar aspectos como motivación, presión y rendimiento reciente de los equipos, InStat proporciona servicios de análisis de rendimiento deportivo. Ofrece estadísticas detalladas de equipos y jugadores, lo que puede ayudarte a evaluar el estado actual y las tendencias de rendimiento. Más información está disponible en su página:</t>
  </si>
  <si>
    <t>- Reemplaza {lang} con el idioma deseado (por ejemplo, en para inglés).</t>
  </si>
  <si>
    <t>- InStat Scout: Plataforma para análisis detallado de partidos y jugadores.</t>
  </si>
  <si>
    <t>- Sustituye {action} con la acción específica que deseas realizar (por ejemplo, team_summary).</t>
  </si>
  <si>
    <t>- InStat TV: Acceso a videos de partidos para análisis táctico.</t>
  </si>
  <si>
    <t>- Cambia {format} por el formato de respuesta deseado (xml o json).</t>
  </si>
  <si>
    <t>- Sustituye TU_LOGIN y TU_PASSWORD con las credenciales proporcionadas.</t>
  </si>
  <si>
    <t>API de condiciones climáticas: Para obtener información sobre el clima en el lugar del partido, puedes utilizar APIs meteorológicas como OpenWeatherMap o Weatherbit. Estas plataformas ofrecen datos en tiempo real sobre condiciones climáticas, lo cual es crucial para evaluar cómo el clima puede afectar el desarrollo de un partido.</t>
  </si>
  <si>
    <t>- Reemplaza CIUDAD con el nombre de la ciudad que deseas consultar.</t>
  </si>
  <si>
    <t>- Mapas Climáticos: Visualización de datos meteorológicos en mapas interactivos.</t>
  </si>
  <si>
    <t>- Historial Climático: Acceso a datos históricos del clima.</t>
  </si>
  <si>
    <t>API de análisis táctico: Para acceder a información sobre estrategias y tácticas de los equipos, la API de 360Player ofrece herramientas de análisis táctico y estadísticas avanzadas. Esta plataforma permite el seguimiento de métricas clave y proporciona visualizaciones que pueden ser útiles para entender las tácticas empleadas por los equipos. Puedes explorar sus funcionalidades aquí:</t>
  </si>
  <si>
    <t>StatsBomb</t>
  </si>
  <si>
    <t>Análisis táctico</t>
  </si>
  <si>
    <t>https://statsbomb.com/</t>
  </si>
  <si>
    <t>1. Visita la web de StatsBomb. 2. Haz clic en "Sign Up". 3. Completa el formulario de registro.</t>
  </si>
  <si>
    <t>1. Inicia sesión en tu cuenta. 2. Ve a la sección de API. 3. Solicita una clave de API.</t>
  </si>
  <si>
    <t xml:space="preserve"> https://api.statsbomb.com/</t>
  </si>
  <si>
    <t>Reemplaza {API_KEY} con tu clave de API.</t>
  </si>
  <si>
    <t>StatsBomb IQ, StatsBomb Data</t>
  </si>
  <si>
    <t>Football-Data.org</t>
  </si>
  <si>
    <t>https://www.football-data.org/</t>
  </si>
  <si>
    <t>1. Visita la web de Football-Data.org. . 2. Haz clic en "Register". 3. Completa el formulario de registro.</t>
  </si>
  <si>
    <t>https://api.football-data.org/</t>
  </si>
  <si>
    <t>Datos de partidos, estadísticas de jugadores</t>
  </si>
  <si>
    <t>Apuestas deportivas y mercados de intercambio</t>
  </si>
  <si>
    <t>https://developer.betfair.com/</t>
  </si>
  <si>
    <t>1. Crea una cuenta en Betfair. 2. Accede al Betfair Developer Program. 3. Regístrate como desarrollador.</t>
  </si>
  <si>
    <t xml:space="preserve">1. Inicia sesión en tu cuenta de Betfair. 2. Navega a la sección "My Account" &gt; "Application Keys". 3. Genera tu "Application Key". </t>
  </si>
  <si>
    <t>https://api.betfair.com/exchange/betting/json-rpc/v1</t>
  </si>
  <si>
    <t>No hay necesidad de reemplazar elementos en este enlace base; los endpoints específicos se añaden según la funcionalidad requerida.</t>
  </si>
  <si>
    <t xml:space="preserve">API-NG Visualiser, Betting API Demo. </t>
  </si>
  <si>
    <t>support.developer.betfair.com</t>
  </si>
  <si>
    <t>apps.betfair.com</t>
  </si>
  <si>
    <t>developer.betfair.com</t>
  </si>
  <si>
    <t>Todo por el Fútbol API</t>
  </si>
  <si>
    <t>Información y estadísticas de fútbol</t>
  </si>
  <si>
    <t>https://api.todoporelfutbol.com/</t>
  </si>
  <si>
    <t>1. Visita el sitio web oficial. 2. Haz clic en "Registrarse" o "Obtener API Key". 3. Completa el registro con tus datos.</t>
  </si>
  <si>
    <t>1. Accede a tu cuenta. 2. Ve a la sección de "Mis APIs" o similar. 3. Copia tu clave de API.</t>
  </si>
  <si>
    <t>https://api.todoporelfutbol.com/{endpoint}?key={API_KEY}&amp;{parameters}</t>
  </si>
  <si>
    <t>Reemplaza {endpoint} con el recurso deseado (por ejemplo, matches), {API_KEY} con tu clave de API y {parameters} con los parámetros específicos.</t>
  </si>
  <si>
    <t>Datos de más de 800 competencias, información en tiempo real, soporte JSON y XML.</t>
  </si>
  <si>
    <t>WyScout</t>
  </si>
  <si>
    <t>Análisis táctico y datos de jugadores</t>
  </si>
  <si>
    <t>https://apidocs.wyscout.com/</t>
  </si>
  <si>
    <t>1. Visita la web de WyScout. 2. Haz clic en "Sign Up". 3. Completa el formulario de registro.</t>
  </si>
  <si>
    <t>https://api.wyscout.com/</t>
  </si>
  <si>
    <t>WyScout Data, WyScout IQ</t>
  </si>
  <si>
    <t>Football-API</t>
  </si>
  <si>
    <t>Datos de partidos, jugadores y análisis táctico</t>
  </si>
  <si>
    <t>https://www.api-football.com/</t>
  </si>
  <si>
    <t>1. Visita la web de Football-API. 2. Haz clic en "Register". 3. Completa el formulario de registro.</t>
  </si>
  <si>
    <t>Opta Sports</t>
  </si>
  <si>
    <t>Análisis táctico y datos detallados</t>
  </si>
  <si>
    <t>https://www.statsperform.com/opta/</t>
  </si>
  <si>
    <t>1. Visita la web de Opta Sports. 2. Haz clic en "Sign Up". 3. Completa el formulario de registro.</t>
  </si>
  <si>
    <t>Opta Data, Opta IQ</t>
  </si>
  <si>
    <t>Sportradar</t>
  </si>
  <si>
    <t>Análisis táctico y estadísticas de partidos</t>
  </si>
  <si>
    <t>https://developer.sportradar.com/</t>
  </si>
  <si>
    <t>1. Visita la web de Sportradar. 2. Haz clic en "Sign Up". 3. Completa el formulario de registro.</t>
  </si>
  <si>
    <t>https://api.sportradar.com/</t>
  </si>
  <si>
    <t>Sportradar Insights, Sportradar Widgets</t>
  </si>
  <si>
    <t>The Sport DB</t>
  </si>
  <si>
    <t>Datos deportivos y estadísticas</t>
  </si>
  <si>
    <t>https://www.thesportsdb.com/api.php</t>
  </si>
  <si>
    <t>1. Visita el sitio web oficial. 2. Regístrate proporcionando un nombre de usuario, correo electrónico y contraseña.</t>
  </si>
  <si>
    <t>1. Inicia sesión en tu cuenta. 2. Navega a la sección de la API. 3. Copia la clave de API proporcionada.</t>
  </si>
  <si>
    <t>https://www.thesportsdb.com/api/v1/json/{API_KEY}/{endpoint}</t>
  </si>
  <si>
    <t>Reemplaza {API_KEY} con tu clave de API y {endpoint} con el recurso que deseas consultar (por ejemplo, searchplayers.php?t=Arsenal).</t>
  </si>
  <si>
    <t>Base de datos de equipos, jugadores, eventos y ligas deportivas.</t>
  </si>
  <si>
    <t>API-SPORTS</t>
  </si>
  <si>
    <t>Datos y estadísticas deportivas en tiempo real</t>
  </si>
  <si>
    <t>https://api-sports.io/</t>
  </si>
  <si>
    <t>1. Dirígete al sitio web oficial. 2. Haz clic en "Get Started" o "Sign Up". 3. Completa el registro con tus datos personales.</t>
  </si>
  <si>
    <t>1. Accede a tu panel de usuario. 2. Ve a la sección "API Keys". 3. Genera y copia tu clave de API.</t>
  </si>
  <si>
    <t>https://api-sports.io/{sport}/?apikey={API_KEY}&amp;{parameters}</t>
  </si>
  <si>
    <t>Reemplaza {sport} con el deporte de interés (por ejemplo, football), {API_KEY} con tu clave de API y {parameters} con los parámetros específicos de la consulta.</t>
  </si>
  <si>
    <t>Cobertura de múltiples deportes, estadísticas en vivo, datos históricos.</t>
  </si>
  <si>
    <t>Sportmonks</t>
  </si>
  <si>
    <t>Datos de fútbol en vivo y estadísticas</t>
  </si>
  <si>
    <t>https://www.sportmonks.com/es/futbol-api/</t>
  </si>
  <si>
    <t>1. Accede al sitio web oficial. 2. Haz clic en "Prueba gratuita" o "Registrarse". 3. Completa el formulario con tus datos.</t>
  </si>
  <si>
    <t>1. Inicia sesión en tu cuenta. 2. Dirígete a la sección de la API. 3. Obtén y copia tu clave de API.</t>
  </si>
  <si>
    <t>https://api.sportmonks.com/v2.0/{endpoint}?api_token={API_KEY}&amp;{parameters}</t>
  </si>
  <si>
    <t>Reemplaza {endpoint} con el recurso que deseas acceder (por ejemplo, livescores), {API_KEY} con tu clave de API y {parameters} con los parámetros de la consulta.</t>
  </si>
  <si>
    <t>Datos en tiempo real, estadísticas detalladas, predicciones.</t>
  </si>
  <si>
    <t>Nombre de la plataforma</t>
  </si>
  <si>
    <t>Calificación como: Excelente; Buena; o Mediocre</t>
  </si>
  <si>
    <t>Justificación explícita de la prioridad asignada</t>
  </si>
  <si>
    <t>Betfair es una de las plataformas más reconocidas y utilizadas a nivel mundial para apuestas deportivas y mercados de intercambio, ofreciendo una amplia gama de opciones y datos en tiempo real.</t>
  </si>
  <si>
    <t>Exito07727483@</t>
  </si>
  <si>
    <t>Excelente</t>
  </si>
  <si>
    <t>WyScout es altamente reconocida en el ámbito del análisis táctico y los datos de jugadores. Es utilizada por profesionales del fútbol y ofrece datos muy precisos y detallados. Sus herramientas adicionales, como WyScout IQ, la hacen una opción muy completa.</t>
  </si>
  <si>
    <t>Opta Sports es líder en el sector de datos deportivos y análisis táctico. Ofrece información extremadamente detallada y precisa, lo que la hace muy valiosa para realizar apuestas bien fundamentadas. Su reputación y la calidad de sus datos la colocan en una posición alta.</t>
  </si>
  <si>
    <t>Buena</t>
  </si>
  <si>
    <t>Sportradar es conocida por su análisis táctico y estadísticas detalladas, lo que la hace una buena opción para apuestas informadas.</t>
  </si>
  <si>
    <t>API-SPORTS proporciona datos y estadísticas deportivas en tiempo real, lo cual es crucial para tomar decisiones rápidas en apuestas.</t>
  </si>
  <si>
    <t>The Sport DB ofrece una base de datos amplia de datos deportivos y estadísticas, útil para análisis previos a las apuestas.</t>
  </si>
  <si>
    <t>Sportmonks es conocida por sus datos de fútbol en vivo y estadísticas, lo que es valioso para apuestas en tiempo real.</t>
  </si>
  <si>
    <t>StatsBomb es conocida por su análisis táctico detallado y avanzado. Ofrece datos granulares que son muy útiles para realizar apuestas informadas. La plataforma también incluye herramientas adicionales como StatsBomb IQ, que proporciona aún más insights.</t>
  </si>
  <si>
    <t>Datos de partidos y análisis táctico</t>
  </si>
  <si>
    <t>Football-Data.org ofrece una amplia gama de datos sobre partidos y análisis táctico. Es una plataforma confiable y accesible, aunque no es tan avanzada como algunas otras en términos de profundidad de análisis.</t>
  </si>
  <si>
    <t>API de datos de jugadores</t>
  </si>
  <si>
    <t>BeSoccer proporciona datos detallados de jugadores, incluyendo información sobre ausencias, lesiones y estado físico. Es una plataforma útil y confiable.</t>
  </si>
  <si>
    <t>https://api.besoccer.com/es/presupuestos
Usuario: Crack1956
Correo: jamstudios202@gmail.com
Clave: Exito07727483@</t>
  </si>
  <si>
    <t>https://api.besoccer.com/es/panel</t>
  </si>
  <si>
    <t>API KEY: c9c5476485bca397ddd0d52c92c3e138</t>
  </si>
  <si>
    <t>Licencia y condiciones de uso del API (Interfaz de Programación de Aplicaciones) de resultados-Futbol.com</t>
  </si>
  <si>
    <t>InStat es conocida por su análisis táctico detallado. Aunque no es tan avanzada como Opta Sports o WyScout, sigue siendo una opción sólida para obtener insights tácticos.</t>
  </si>
  <si>
    <t>1. Definiciones</t>
  </si>
  <si>
    <t>OpenWeather Map</t>
  </si>
  <si>
    <t>API de condiciones climáticas</t>
  </si>
  <si>
    <t>OpenWeather Map proporciona información detallada sobre las condiciones climáticas en el lugar del partido, lo cual es importante para las apuestas informadas.</t>
  </si>
  <si>
    <t>Correo: jamstudios202@gmail.com
Clave: Exito07727483@@</t>
  </si>
  <si>
    <t>https://home.openweathermap.org/home</t>
  </si>
  <si>
    <t>API KEY:
85df3c5a423040622763809c67b99c9e
https://api.openweathermap.org/data/2.5/weather?lat=44.34&amp;lon=10.99&amp;appid={API key}
Example of API call:
api.openweathermap.org/data/2.5/weather?q=London,uk&amp;APPID=85df3c5a423040622763809c67b99c9eExample of API call:
api.openweathermap.org/data/2.5/weather?q=London,uk&amp;APPID=85df3c5a423040622763809c67b99c9e</t>
  </si>
  <si>
    <t>“API” significa el Interfaz de Programación de Aplicaciones de RF.</t>
  </si>
  <si>
    <t>API de estadísticas de partidos</t>
  </si>
  <si>
    <t>The Sport DB ofrece estadísticas detalladas de partidos, lo cual es útil para analizar la motivación, presión y rendimiento reciente de los equipos.</t>
  </si>
  <si>
    <t>“KEY” significa el identificador único proporcionado por RF a cada Usuario autorizado para usar el API.</t>
  </si>
  <si>
    <t>Mediocre</t>
  </si>
  <si>
    <t>Aunque proporciona información y estadísticas de fútbol, no es tan reconocida ni utilizada como las otras plataformas mencionadas.</t>
  </si>
  <si>
    <t>"RF” significa resultados-Futbol.com.</t>
  </si>
  <si>
    <t>“Especificaciones API RF” significa toda información y documentación que RF proporciona en relación con el API.</t>
  </si>
  <si>
    <t>“Elementos de marca RF” significa los nombres comerciales, marcas, logotipos, nombres de dominio, y otros signos distintivos de RF.</t>
  </si>
  <si>
    <t>“Resultados RF” significa la base de datos de RF, que contiene todos los resultados y estadísticas que han sido incorporados a RF.</t>
  </si>
  <si>
    <t>“Usuario” significa un usuario de RF.</t>
  </si>
  <si>
    <t>“Website RF” significa cualquiera y todos los websites controlados por RF con el nombre de do</t>
  </si>
  <si>
    <t>https://www.youtube.com/watch?v=-2c6HYBM6Ns</t>
  </si>
  <si>
    <t>Cómo Conectar CUALQUIER API a Make.com (TUTORIAL PASO A PASO)</t>
  </si>
  <si>
    <t>Rapid API</t>
  </si>
  <si>
    <t>Juanjo Digital</t>
  </si>
  <si>
    <t>2,65 K suscriptores</t>
  </si>
  <si>
    <t>Nivel 1</t>
  </si>
  <si>
    <t>GET</t>
  </si>
  <si>
    <t>Competiciones</t>
  </si>
  <si>
    <t>Estado competición</t>
  </si>
  <si>
    <t>Detalle competición</t>
  </si>
  <si>
    <t>Competiciones por continente</t>
  </si>
  <si>
    <t>Competiciones top</t>
  </si>
  <si>
    <t>Detalle completo competición</t>
  </si>
  <si>
    <t>Clasificación</t>
  </si>
  <si>
    <t>Detalle fases competición</t>
  </si>
  <si>
    <t>Temporadas</t>
  </si>
  <si>
    <t>Equipos</t>
  </si>
  <si>
    <t>Partidos en directo</t>
  </si>
  <si>
    <t>Partidos del día</t>
  </si>
  <si>
    <t>Partidos por jornada</t>
  </si>
  <si>
    <t>Cuadro partidos</t>
  </si>
  <si>
    <t>(NEW) Horarios modificados</t>
  </si>
  <si>
    <t>Nivel 2</t>
  </si>
  <si>
    <t>Fichajes</t>
  </si>
  <si>
    <t>Resumen de competición</t>
  </si>
  <si>
    <t>Árbitros competición</t>
  </si>
  <si>
    <t>Quiniela</t>
  </si>
  <si>
    <t>Quinigol</t>
  </si>
  <si>
    <t>Cruces</t>
  </si>
  <si>
    <t>Detalle equipo</t>
  </si>
  <si>
    <t>Obtener equipos</t>
  </si>
  <si>
    <t>Competición troncal del equipo</t>
  </si>
  <si>
    <t>Información de equipo</t>
  </si>
  <si>
    <t>Plantilla de equipo</t>
  </si>
  <si>
    <t>Plantilla por competición</t>
  </si>
  <si>
    <t>Obtener equipo jugador</t>
  </si>
  <si>
    <t>Fichajes jugador completo</t>
  </si>
  <si>
    <t>Estadísticas competición</t>
  </si>
  <si>
    <t>Directo de partido</t>
  </si>
  <si>
    <t>Alineaciones de partido</t>
  </si>
  <si>
    <t>Partidos del mes</t>
  </si>
  <si>
    <t>Detalle de partido</t>
  </si>
  <si>
    <t>Partidos por equipo</t>
  </si>
  <si>
    <t>TV y partidos</t>
  </si>
  <si>
    <t>Agenda</t>
  </si>
  <si>
    <t>(NEW) Consultar partidos del dia</t>
  </si>
  <si>
    <t>Nivel 3</t>
  </si>
  <si>
    <t>Estadísticas de equipo en partido</t>
  </si>
  <si>
    <t>Estadísticas de equipo en temporadas</t>
  </si>
  <si>
    <t>Estadísticas avanzadas de equipo</t>
  </si>
  <si>
    <t>Comparador de jugadores</t>
  </si>
  <si>
    <t>Histórico de jugadores en equipo</t>
  </si>
  <si>
    <t>Información detallada jugador</t>
  </si>
  <si>
    <t>Información lesiones jugador</t>
  </si>
  <si>
    <t>Detalle partidos jugador</t>
  </si>
  <si>
    <t>Partidos jugador en temporada</t>
  </si>
  <si>
    <t>Palmarés del jugador extendido</t>
  </si>
  <si>
    <t>Temporadas del jugador</t>
  </si>
  <si>
    <t>Información equipos jugador</t>
  </si>
  <si>
    <t>Trayectoria del jugador</t>
  </si>
  <si>
    <t>Detalle de jugador</t>
  </si>
  <si>
    <t>Estado del jugador</t>
  </si>
  <si>
    <t>Fichajes por competición</t>
  </si>
  <si>
    <t>Detalle de partido histórico</t>
  </si>
  <si>
    <t>Historial equipos</t>
  </si>
  <si>
    <t>Trayectoria entrenador</t>
  </si>
  <si>
    <t>https://www.youtube.com/watch?v=-01LTOpkKSs&amp;t=1s</t>
  </si>
  <si>
    <t>Importar datos desde una página web a Excel</t>
  </si>
  <si>
    <t>El Tio Tech</t>
  </si>
  <si>
    <t>https://www.youtube.com/watch?v=2KsJx3ZbSKs</t>
  </si>
  <si>
    <t>Cómo Extraer y Convertir Datos de Páginas Web a Excel | Tutorial de Importación de Datos</t>
  </si>
  <si>
    <t xml:space="preserve">
KaiAriel - Estratega Digital</t>
  </si>
  <si>
    <t>https://www.youtube.com/watch?v=XJz4X_8HtGo&amp;t=7s</t>
  </si>
  <si>
    <t>CÓMO UNIR DOS CELDAS EN UNA SOLA CELDA EN EXCEL 2019</t>
  </si>
  <si>
    <t>https://www.youtube.com/watch?v=FbUNMv1dKyA</t>
  </si>
  <si>
    <t>¡La NUEVA FUNCIÓN de Excel que TODOS están usando: TRIMRANGE y el Operador PUNTO!</t>
  </si>
  <si>
    <t>ENRIQUE XLS</t>
  </si>
  <si>
    <t>https://www.youtube.com/watch?v=SZzLO-u5n9U</t>
  </si>
  <si>
    <t>Probamos las Novedades de Copilot en Excel - Inteligencia Artificial</t>
  </si>
  <si>
    <t>EXCEL el INFO</t>
  </si>
  <si>
    <t>https://www.youtube.com/watch?v=kGFB-NthqDo</t>
  </si>
  <si>
    <t>Quadratic: La HOJA de CÁLCULO con IA y PYTHON GRATISSSS 😱🔥 ¿MEJOR que Copilot?</t>
  </si>
  <si>
    <t>Microsoft Excel a Todo Nivel</t>
  </si>
  <si>
    <t>Las opciones en Quadratic que ves son:</t>
  </si>
  <si>
    <t>"New": Para crear un nuevo archivo</t>
  </si>
  <si>
    <t>"Duplicate": Para hacer una copia del archivo actual</t>
  </si>
  <si>
    <t>"Open recent": Para abrir archivos recientes</t>
  </si>
  <si>
    <t>"Share": Para compartir el archivo con otros</t>
  </si>
  <si>
    <t>"Delete": Para eliminar el archivo</t>
  </si>
  <si>
    <t>Consulta al ChatGPT (LBD 040325)</t>
  </si>
  <si>
    <t>¡Excelente elección! Power Query es la mejor opción para mantener los datos sincronizados automáticamente sin necesidad de fórmulas. Aquí tienes un paso a paso detallado para vincular la tabla de la Hoja1 a la Hoja2 usando Power Query en Excel. 🚀</t>
  </si>
  <si>
    <t>🔹 PASO 1: Convertir los Datos en una Tabla Oficial</t>
  </si>
  <si>
    <t>1️⃣ Ve a la Hoja1 y selecciona todos los datos de tu tabla (incluyendo los encabezados).</t>
  </si>
  <si>
    <t>2️⃣ Presiona Ctrl + T para convertirlo en una Tabla de Excel.</t>
  </si>
  <si>
    <t>3️⃣ Aparecerá una ventana emergente, asegúrate de que la opción "La tabla tiene encabezados" esté marcada y haz clic en Aceptar.</t>
  </si>
  <si>
    <t>4️⃣ Se asignará un nombre automático a la tabla (ejemplo: Tabla1). Para cambiar el nombre:</t>
  </si>
  <si>
    <t>Ve a la pestaña "Diseño de tabla" en la barra superior.</t>
  </si>
  <si>
    <t>En el campo "Nombre de la tabla", cámbialo a un nombre más fácil, como "DatosHoja1".</t>
  </si>
  <si>
    <t>🔹 PASO 2: Cargar los Datos en Power Query</t>
  </si>
  <si>
    <t>1️⃣ Selecciona cualquier celda dentro de la tabla en la Hoja1.</t>
  </si>
  <si>
    <t>2️⃣ Ve a la pestaña "Datos" en la cinta de opciones.</t>
  </si>
  <si>
    <t>3️⃣ Haz clic en "Obtener datos" → "Desde otras fuentes" → "Desde una tabla o rango".</t>
  </si>
  <si>
    <t>4️⃣ Se abrirá Power Query, mostrando los datos de la tabla.</t>
  </si>
  <si>
    <t>🔹 PASO 3: Cargar los Datos en la Hoja2</t>
  </si>
  <si>
    <t>1️⃣ En la ventana de Power Query, haz clic en "Cerrar y Cargar" → "Cerrar y Cargar en...".</t>
  </si>
  <si>
    <t>2️⃣ Se abrirá una ventana emergente:</t>
  </si>
  <si>
    <t>Selecciona "Hoja existente".</t>
  </si>
  <si>
    <t>Haz clic en el campo y selecciona la celda donde quieres colocar los datos en la Hoja2 (ejemplo: A1).</t>
  </si>
  <si>
    <t>Presiona Aceptar.</t>
  </si>
  <si>
    <t>3️⃣ Ahora, los datos de la Hoja1 aparecerán en la Hoja2 y estarán vinculados automáticamente.</t>
  </si>
  <si>
    <t>🔹 PASO 4: Actualizar los Datos Automáticamente</t>
  </si>
  <si>
    <t>Cada vez que hagas cambios en la Hoja1 (agregar, eliminar o modificar datos):</t>
  </si>
  <si>
    <t>🔄 Ve a la Hoja2, haz clic derecho sobre la tabla y selecciona "Actualizar".</t>
  </si>
  <si>
    <t>📌 También puedes hacer que la actualización sea automática:</t>
  </si>
  <si>
    <t>1️⃣ Ve a la pestaña "Datos" → "Consultas y conexiones".</t>
  </si>
  <si>
    <t>2️⃣ Haz clic derecho sobre la consulta creada.</t>
  </si>
  <si>
    <t>3️⃣ Selecciona "Propiedades" → Marca la opción "Actualizar cada X minutos" o "Actualizar al abrir el archivo".</t>
  </si>
  <si>
    <t>https://github.com/statsbomb/open-data</t>
  </si>
  <si>
    <t>https://www.youtube.com/watch?v=i4vlEyHuEU8</t>
  </si>
  <si>
    <t>Accede GRATIS a estadísticas de fútbol con la Open API de StatsBomb usando Python</t>
  </si>
  <si>
    <t>Vídeo
https://github.com/statsbomb/open-data</t>
  </si>
  <si>
    <t>Repositorio de GitHub: https://github.com/federicorabanos/fu...</t>
  </si>
  <si>
    <t>statsbompy  "es básica esta librería"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</si>
</sst>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0.0000"/>
    <numFmt numFmtId="165" formatCode="0.000"/>
    <numFmt numFmtId="166" formatCode="_ * #,##0.000_ ;_ * \-#,##0.000_ ;_ * &quot;-&quot;??_ ;_ @_ "/>
  </numFmts>
  <fonts count="103">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
      <sz val="22"/>
      <color rgb="FF101C33"/>
      <name val="Inherit"/>
    </font>
    <font>
      <sz val="22"/>
      <color theme="1"/>
      <name val="Calibri"/>
      <family val="2"/>
      <scheme val="minor"/>
    </font>
    <font>
      <sz val="18"/>
      <color theme="1"/>
      <name val="Calibri"/>
      <family val="2"/>
      <scheme val="minor"/>
    </font>
    <font>
      <b/>
      <sz val="10"/>
      <color theme="1"/>
      <name val="Calibri"/>
      <family val="2"/>
      <scheme val="minor"/>
    </font>
    <font>
      <sz val="22"/>
      <color rgb="FF0A8409"/>
      <name val="Inherit"/>
    </font>
    <font>
      <b/>
      <sz val="11"/>
      <name val="Calibri"/>
      <family val="2"/>
      <scheme val="minor"/>
    </font>
    <font>
      <b/>
      <sz val="14"/>
      <color rgb="FF000000"/>
      <name val="Calibri"/>
      <family val="2"/>
      <scheme val="minor"/>
    </font>
    <font>
      <b/>
      <sz val="12"/>
      <color theme="1"/>
      <name val="Calibri"/>
      <family val="2"/>
      <scheme val="minor"/>
    </font>
    <font>
      <b/>
      <sz val="14"/>
      <color theme="1"/>
      <name val="Calibri"/>
      <family val="2"/>
      <scheme val="minor"/>
    </font>
    <font>
      <u/>
      <sz val="22"/>
      <color theme="10"/>
      <name val="Calibri"/>
      <family val="2"/>
      <scheme val="minor"/>
    </font>
    <font>
      <b/>
      <sz val="16"/>
      <color theme="1"/>
      <name val="Calibri"/>
      <family val="2"/>
      <scheme val="minor"/>
    </font>
    <font>
      <b/>
      <sz val="16"/>
      <color rgb="FF000000"/>
      <name val="Calibri"/>
      <family val="2"/>
      <scheme val="minor"/>
    </font>
    <font>
      <b/>
      <sz val="22"/>
      <color theme="1"/>
      <name val="Calibri"/>
      <family val="2"/>
      <scheme val="minor"/>
    </font>
    <font>
      <sz val="16"/>
      <color theme="1"/>
      <name val="Calibri"/>
      <family val="2"/>
      <scheme val="minor"/>
    </font>
    <font>
      <b/>
      <sz val="11"/>
      <name val="Inherit"/>
    </font>
    <font>
      <b/>
      <sz val="10.45"/>
      <name val="Inherit"/>
    </font>
    <font>
      <b/>
      <sz val="10.45"/>
      <color rgb="FF222222"/>
      <name val="Inherit"/>
    </font>
    <font>
      <b/>
      <sz val="12.1"/>
      <name val="Source Sans Pro"/>
      <family val="2"/>
    </font>
    <font>
      <b/>
      <sz val="18"/>
      <name val="Calibri"/>
      <family val="2"/>
      <scheme val="minor"/>
    </font>
    <font>
      <b/>
      <sz val="13.5"/>
      <color theme="1"/>
      <name val="Calibri"/>
      <family val="2"/>
      <scheme val="minor"/>
    </font>
    <font>
      <sz val="11"/>
      <name val="Calibri"/>
      <family val="2"/>
      <scheme val="minor"/>
    </font>
    <font>
      <b/>
      <sz val="16"/>
      <name val="Calibri"/>
      <family val="2"/>
      <scheme val="minor"/>
    </font>
    <font>
      <b/>
      <sz val="14"/>
      <name val="Calibri"/>
      <family val="2"/>
      <scheme val="minor"/>
    </font>
    <font>
      <sz val="12"/>
      <color theme="1"/>
      <name val="Calibri"/>
      <family val="2"/>
      <scheme val="minor"/>
    </font>
    <font>
      <b/>
      <sz val="12"/>
      <name val="Calibri"/>
      <family val="2"/>
      <scheme val="minor"/>
    </font>
    <font>
      <b/>
      <i/>
      <sz val="14"/>
      <color theme="1"/>
      <name val="Calibri"/>
      <family val="2"/>
      <scheme val="minor"/>
    </font>
    <font>
      <b/>
      <sz val="10"/>
      <color rgb="FF000000"/>
      <name val="Calibri"/>
      <family val="2"/>
      <scheme val="minor"/>
    </font>
    <font>
      <sz val="14"/>
      <color theme="1"/>
      <name val="Calibri"/>
      <family val="2"/>
      <scheme val="minor"/>
    </font>
    <font>
      <b/>
      <i/>
      <sz val="11"/>
      <color theme="1"/>
      <name val="Calibri"/>
      <family val="2"/>
      <scheme val="minor"/>
    </font>
    <font>
      <sz val="18"/>
      <name val="Calibri"/>
      <family val="2"/>
      <scheme val="minor"/>
    </font>
    <font>
      <sz val="12"/>
      <name val="Calibri"/>
      <family val="2"/>
      <scheme val="minor"/>
    </font>
    <font>
      <sz val="16"/>
      <name val="Calibri"/>
      <family val="2"/>
      <scheme val="minor"/>
    </font>
    <font>
      <sz val="14"/>
      <name val="Calibri"/>
      <family val="2"/>
      <scheme val="minor"/>
    </font>
    <font>
      <sz val="16"/>
      <color rgb="FF000000"/>
      <name val="Calibri"/>
      <family val="2"/>
      <scheme val="minor"/>
    </font>
    <font>
      <sz val="18"/>
      <color rgb="FF222222"/>
      <name val="Source Sans Pro"/>
      <family val="2"/>
    </font>
    <font>
      <b/>
      <sz val="16"/>
      <name val="Times New Roman"/>
      <family val="1"/>
    </font>
    <font>
      <sz val="14"/>
      <color theme="1"/>
      <name val="Times New Roman"/>
      <family val="1"/>
    </font>
    <font>
      <sz val="16"/>
      <color rgb="FF222222"/>
      <name val="Source Sans Pro"/>
      <family val="2"/>
    </font>
    <font>
      <i/>
      <sz val="11"/>
      <color theme="1"/>
      <name val="Calibri"/>
      <family val="2"/>
      <scheme val="minor"/>
    </font>
    <font>
      <b/>
      <sz val="8"/>
      <color theme="1"/>
      <name val="Calibri"/>
      <family val="2"/>
      <scheme val="minor"/>
    </font>
    <font>
      <b/>
      <sz val="18"/>
      <color theme="0"/>
      <name val="Calibri"/>
      <family val="2"/>
      <scheme val="minor"/>
    </font>
    <font>
      <b/>
      <sz val="10"/>
      <color rgb="FF0F0F0F"/>
      <name val="Roboto"/>
    </font>
    <font>
      <sz val="14"/>
      <color theme="1"/>
      <name val="Arial"/>
      <family val="2"/>
    </font>
    <font>
      <sz val="20"/>
      <color theme="1"/>
      <name val="Calibri"/>
      <family val="2"/>
      <scheme val="minor"/>
    </font>
    <font>
      <b/>
      <sz val="20"/>
      <color theme="1"/>
      <name val="Calibri"/>
      <family val="2"/>
      <scheme val="minor"/>
    </font>
    <font>
      <sz val="11"/>
      <color rgb="FF020817"/>
      <name val="Segoe UI"/>
      <family val="2"/>
    </font>
    <font>
      <sz val="11"/>
      <color rgb="FF000000"/>
      <name val="Consolas"/>
      <family val="3"/>
    </font>
    <font>
      <b/>
      <sz val="20"/>
      <color rgb="FF000000"/>
      <name val="Calibri Light"/>
      <family val="2"/>
      <scheme val="major"/>
    </font>
    <font>
      <sz val="10"/>
      <color theme="1"/>
      <name val="Calibri Light"/>
      <family val="2"/>
      <scheme val="major"/>
    </font>
    <font>
      <b/>
      <sz val="18"/>
      <color theme="1"/>
      <name val="Calibri Light"/>
      <family val="2"/>
      <scheme val="major"/>
    </font>
    <font>
      <sz val="10"/>
      <color rgb="FF000000"/>
      <name val="Calibri Light"/>
      <family val="2"/>
      <scheme val="major"/>
    </font>
    <font>
      <sz val="9"/>
      <color theme="1"/>
      <name val="Calibri"/>
      <family val="2"/>
      <scheme val="minor"/>
    </font>
    <font>
      <sz val="9"/>
      <color theme="1"/>
      <name val="Calibri Light"/>
      <family val="2"/>
      <scheme val="major"/>
    </font>
    <font>
      <sz val="10"/>
      <color rgb="FF1F3763"/>
      <name val="Calibri Light"/>
      <family val="2"/>
      <scheme val="major"/>
    </font>
    <font>
      <b/>
      <sz val="22"/>
      <color rgb="FF000000"/>
      <name val="Calibri Light"/>
      <family val="2"/>
      <scheme val="major"/>
    </font>
    <font>
      <sz val="12"/>
      <color theme="1"/>
      <name val="Times New Roman"/>
      <family val="1"/>
    </font>
    <font>
      <b/>
      <sz val="12"/>
      <color theme="1"/>
      <name val="Times New Roman"/>
      <family val="1"/>
    </font>
    <font>
      <sz val="12"/>
      <color theme="1"/>
      <name val="Segoe UI Emoji"/>
      <family val="2"/>
    </font>
    <font>
      <b/>
      <sz val="18"/>
      <color theme="1"/>
      <name val="Segoe UI Emoji"/>
      <family val="2"/>
    </font>
    <font>
      <b/>
      <sz val="11"/>
      <color theme="0"/>
      <name val="Calibri"/>
      <family val="2"/>
      <scheme val="minor"/>
    </font>
    <font>
      <b/>
      <sz val="12"/>
      <color theme="1"/>
      <name val="Calibri Light"/>
      <family val="2"/>
      <scheme val="major"/>
    </font>
    <font>
      <b/>
      <sz val="12"/>
      <color rgb="FF1F3763"/>
      <name val="Calibri Light"/>
      <family val="2"/>
      <scheme val="major"/>
    </font>
    <font>
      <b/>
      <sz val="12"/>
      <color rgb="FF000000"/>
      <name val="Calibri Light"/>
      <family val="2"/>
      <scheme val="major"/>
    </font>
    <font>
      <sz val="12"/>
      <color theme="1"/>
      <name val="Calibri Light"/>
      <family val="2"/>
      <scheme val="major"/>
    </font>
    <font>
      <b/>
      <sz val="10"/>
      <color theme="0"/>
      <name val="Calibri Light"/>
      <family val="2"/>
      <scheme val="major"/>
    </font>
    <font>
      <b/>
      <sz val="10"/>
      <color theme="1"/>
      <name val="Calibri Light"/>
      <family val="2"/>
      <scheme val="major"/>
    </font>
    <font>
      <b/>
      <sz val="11"/>
      <color rgb="FF003375"/>
      <name val="Arial"/>
      <family val="2"/>
    </font>
    <font>
      <sz val="10"/>
      <color rgb="FF333333"/>
      <name val="Arial"/>
      <family val="2"/>
    </font>
    <font>
      <sz val="10"/>
      <color rgb="FF0000BB"/>
      <name val="Courier New"/>
      <family val="3"/>
    </font>
    <font>
      <sz val="10"/>
      <color rgb="FF007700"/>
      <name val="Courier New"/>
      <family val="3"/>
    </font>
    <font>
      <sz val="10"/>
      <color rgb="FFDD0000"/>
      <name val="Courier New"/>
      <family val="3"/>
    </font>
    <font>
      <sz val="11"/>
      <color rgb="FFFF4A00"/>
      <name val="Segoe UI"/>
      <family val="2"/>
    </font>
    <font>
      <sz val="11"/>
      <color theme="1"/>
      <name val="Calibri"/>
      <family val="2"/>
      <scheme val="minor"/>
    </font>
    <font>
      <sz val="11"/>
      <color rgb="FF616161"/>
      <name val="Calibri"/>
      <family val="2"/>
      <scheme val="minor"/>
    </font>
    <font>
      <b/>
      <sz val="24"/>
      <color theme="1"/>
      <name val="Calibri"/>
      <family val="2"/>
      <scheme val="minor"/>
    </font>
    <font>
      <sz val="11"/>
      <color theme="1"/>
      <name val="Calibri"/>
      <family val="2"/>
      <scheme val="minor"/>
    </font>
    <font>
      <b/>
      <sz val="7.5"/>
      <color theme="1"/>
      <name val="Calibri"/>
      <family val="2"/>
      <scheme val="minor"/>
    </font>
    <font>
      <b/>
      <sz val="13.75"/>
      <color theme="1"/>
      <name val="Calibri"/>
      <family val="2"/>
      <scheme val="minor"/>
    </font>
    <font>
      <sz val="9.6"/>
      <color theme="1"/>
      <name val="Segoe UI"/>
      <family val="2"/>
    </font>
    <font>
      <sz val="10"/>
      <color theme="1"/>
      <name val="Inherit"/>
    </font>
    <font>
      <sz val="9.6"/>
      <color theme="1"/>
      <name val="Consolas"/>
      <family val="3"/>
    </font>
    <font>
      <sz val="10"/>
      <color rgb="FF383A42"/>
      <name val="Inherit"/>
    </font>
    <font>
      <sz val="10"/>
      <color rgb="FFA626A4"/>
      <name val="Inherit"/>
    </font>
    <font>
      <sz val="10"/>
      <color rgb="FFC18401"/>
      <name val="Inherit"/>
    </font>
    <font>
      <sz val="9.6"/>
      <color theme="1"/>
      <name val="Calibri"/>
      <family val="2"/>
      <scheme val="minor"/>
    </font>
    <font>
      <sz val="9.6"/>
      <color theme="1"/>
      <name val="Calibri"/>
      <family val="2"/>
      <scheme val="minor"/>
    </font>
    <font>
      <sz val="12"/>
      <color rgb="FF0D0D0D"/>
      <name val="Segoe UI"/>
      <family val="2"/>
    </font>
    <font>
      <sz val="12"/>
      <color rgb="FF0D0D0D"/>
      <name val="Segoe UI"/>
      <family val="2"/>
    </font>
    <font>
      <sz val="9.6"/>
      <color rgb="FF0D0D0D"/>
      <name val="Segoe UI"/>
      <family val="2"/>
    </font>
    <font>
      <sz val="10"/>
      <color rgb="FF4078F2"/>
      <name val="Inherit"/>
    </font>
    <font>
      <sz val="12"/>
      <color rgb="FF0D0D0D"/>
      <name val="Segoe UI"/>
      <family val="2"/>
    </font>
    <font>
      <sz val="10"/>
      <color theme="1"/>
      <name val="Arial Unicode MS"/>
    </font>
    <font>
      <b/>
      <sz val="8"/>
      <color rgb="FF0F0F0F"/>
      <name val="Roboto"/>
    </font>
    <font>
      <b/>
      <sz val="14"/>
      <color rgb="FF313842"/>
      <name val="Arial"/>
      <family val="2"/>
    </font>
    <font>
      <b/>
      <sz val="12"/>
      <color rgb="FF313842"/>
      <name val="Arial"/>
      <family val="2"/>
    </font>
    <font>
      <sz val="6"/>
      <color rgb="FF007F31"/>
      <name val="Inter"/>
      <family val="2"/>
    </font>
    <font>
      <sz val="9"/>
      <color rgb="FF212121"/>
      <name val="Inter"/>
      <family val="2"/>
    </font>
    <font>
      <sz val="22"/>
      <color rgb="FF101C33"/>
      <name val="Roboto"/>
    </font>
  </fonts>
  <fills count="25">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8" tint="0.79998168889431442"/>
        <bgColor indexed="64"/>
      </patternFill>
    </fill>
    <fill>
      <patternFill patternType="solid">
        <fgColor rgb="FFFAFAFA"/>
        <bgColor indexed="64"/>
      </patternFill>
    </fill>
    <fill>
      <patternFill patternType="solid">
        <fgColor theme="4" tint="-0.499984740745262"/>
        <bgColor indexed="64"/>
      </patternFill>
    </fill>
    <fill>
      <patternFill patternType="solid">
        <fgColor rgb="FFF3F3F3"/>
        <bgColor indexed="64"/>
      </patternFill>
    </fill>
    <fill>
      <patternFill patternType="solid">
        <fgColor theme="9" tint="0.59999389629810485"/>
        <bgColor indexed="64"/>
      </patternFill>
    </fill>
    <fill>
      <patternFill patternType="solid">
        <fgColor theme="7"/>
        <bgColor indexed="64"/>
      </patternFill>
    </fill>
    <fill>
      <patternFill patternType="solid">
        <fgColor theme="7" tint="0.79998168889431442"/>
        <bgColor indexed="64"/>
      </patternFill>
    </fill>
    <fill>
      <patternFill patternType="solid">
        <fgColor rgb="FFDEEAF6"/>
        <bgColor indexed="64"/>
      </patternFill>
    </fill>
    <fill>
      <patternFill patternType="solid">
        <fgColor theme="4" tint="0.79998168889431442"/>
        <bgColor indexed="64"/>
      </patternFill>
    </fill>
    <fill>
      <patternFill patternType="solid">
        <fgColor rgb="FFFF0000"/>
        <bgColor indexed="64"/>
      </patternFill>
    </fill>
    <fill>
      <patternFill patternType="solid">
        <fgColor theme="4" tint="0.39997558519241921"/>
        <bgColor indexed="64"/>
      </patternFill>
    </fill>
    <fill>
      <patternFill patternType="solid">
        <fgColor theme="1" tint="0.499984740745262"/>
        <bgColor indexed="64"/>
      </patternFill>
    </fill>
    <fill>
      <patternFill patternType="solid">
        <fgColor theme="7" tint="-0.249977111117893"/>
        <bgColor indexed="64"/>
      </patternFill>
    </fill>
    <fill>
      <patternFill patternType="solid">
        <fgColor theme="5"/>
        <bgColor indexed="64"/>
      </patternFill>
    </fill>
    <fill>
      <patternFill patternType="solid">
        <fgColor theme="9" tint="0.79998168889431442"/>
        <bgColor indexed="64"/>
      </patternFill>
    </fill>
    <fill>
      <patternFill patternType="solid">
        <fgColor rgb="FFFFFF00"/>
        <bgColor indexed="64"/>
      </patternFill>
    </fill>
    <fill>
      <patternFill patternType="solid">
        <fgColor theme="4"/>
        <bgColor theme="4"/>
      </patternFill>
    </fill>
    <fill>
      <patternFill patternType="solid">
        <fgColor theme="8" tint="0.59999389629810485"/>
        <bgColor indexed="64"/>
      </patternFill>
    </fill>
    <fill>
      <patternFill patternType="solid">
        <fgColor theme="4" tint="0.79998168889431442"/>
        <bgColor theme="4" tint="0.79998168889431442"/>
      </patternFill>
    </fill>
    <fill>
      <patternFill patternType="solid">
        <fgColor theme="6" tint="0.79998168889431442"/>
        <bgColor indexed="64"/>
      </patternFill>
    </fill>
    <fill>
      <patternFill patternType="solid">
        <fgColor rgb="FFF5F5F5"/>
        <bgColor indexed="64"/>
      </patternFill>
    </fill>
  </fills>
  <borders count="5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rgb="FFEAEAEA"/>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medium">
        <color rgb="FFE4E4E4"/>
      </right>
      <top/>
      <bottom style="medium">
        <color rgb="FFD5D5D5"/>
      </bottom>
      <diagonal/>
    </border>
    <border>
      <left/>
      <right style="medium">
        <color rgb="FF9C9C9C"/>
      </right>
      <top/>
      <bottom style="medium">
        <color rgb="FFD5D5D5"/>
      </bottom>
      <diagonal/>
    </border>
    <border>
      <left style="medium">
        <color rgb="FFE4E4E4"/>
      </left>
      <right style="medium">
        <color rgb="FFE4E4E4"/>
      </right>
      <top/>
      <bottom style="medium">
        <color rgb="FFD5D5D5"/>
      </bottom>
      <diagonal/>
    </border>
    <border>
      <left/>
      <right/>
      <top/>
      <bottom style="medium">
        <color rgb="FFD5D5D5"/>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medium">
        <color indexed="64"/>
      </left>
      <right style="medium">
        <color indexed="64"/>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rgb="FFE4E4E4"/>
      </bottom>
      <diagonal/>
    </border>
    <border>
      <left style="medium">
        <color rgb="FF000000"/>
      </left>
      <right style="medium">
        <color rgb="FF000000"/>
      </right>
      <top style="medium">
        <color rgb="FF000000"/>
      </top>
      <bottom style="medium">
        <color rgb="FF000000"/>
      </bottom>
      <diagonal/>
    </border>
    <border>
      <left style="thick">
        <color rgb="FF000000"/>
      </left>
      <right style="thick">
        <color rgb="FF000000"/>
      </right>
      <top style="thick">
        <color rgb="FF000000"/>
      </top>
      <bottom style="thick">
        <color rgb="FF000000"/>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43" fontId="80" fillId="0" borderId="0"/>
    <xf numFmtId="9" fontId="80" fillId="0" borderId="0"/>
    <xf numFmtId="0" fontId="3" fillId="0" borderId="0"/>
  </cellStyleXfs>
  <cellXfs count="612">
    <xf numFmtId="0" fontId="0" fillId="0" borderId="0" xfId="0"/>
    <xf numFmtId="0" fontId="4" fillId="0" borderId="0" xfId="0" applyFont="1"/>
    <xf numFmtId="0" fontId="0" fillId="2" borderId="0" xfId="0" applyFill="1"/>
    <xf numFmtId="0" fontId="6" fillId="0" borderId="0" xfId="0" applyFont="1" applyAlignment="1">
      <alignment vertical="top"/>
    </xf>
    <xf numFmtId="0" fontId="7" fillId="0" borderId="0" xfId="0" applyFont="1"/>
    <xf numFmtId="0" fontId="2" fillId="0" borderId="4" xfId="0" applyFont="1" applyBorder="1" applyAlignment="1">
      <alignment horizontal="center" vertical="center" wrapText="1"/>
    </xf>
    <xf numFmtId="0" fontId="8" fillId="0" borderId="4" xfId="0" applyFont="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vertical="top" wrapText="1"/>
    </xf>
    <xf numFmtId="0" fontId="2" fillId="0" borderId="4" xfId="0" applyFont="1" applyBorder="1" applyAlignment="1">
      <alignment horizontal="center" vertical="top" wrapText="1"/>
    </xf>
    <xf numFmtId="0" fontId="10" fillId="0" borderId="4"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Alignment="1">
      <alignment vertical="top" wrapText="1"/>
    </xf>
    <xf numFmtId="0" fontId="0" fillId="0" borderId="4" xfId="0" applyBorder="1" applyAlignment="1">
      <alignment horizontal="center" vertical="center" wrapText="1"/>
    </xf>
    <xf numFmtId="0" fontId="6" fillId="0" borderId="7" xfId="0" applyFont="1" applyBorder="1" applyAlignment="1">
      <alignment horizontal="right" vertical="center" wrapText="1" indent="1"/>
    </xf>
    <xf numFmtId="0" fontId="5" fillId="0" borderId="0" xfId="0" applyFont="1" applyAlignment="1">
      <alignment vertical="center" wrapText="1"/>
    </xf>
    <xf numFmtId="0" fontId="5" fillId="0" borderId="6" xfId="0" applyFont="1" applyBorder="1" applyAlignment="1">
      <alignment vertical="center" wrapText="1"/>
    </xf>
    <xf numFmtId="0" fontId="11" fillId="0" borderId="4" xfId="0" applyFont="1" applyBorder="1" applyAlignment="1">
      <alignment vertical="center" wrapText="1"/>
    </xf>
    <xf numFmtId="10" fontId="2" fillId="0" borderId="8" xfId="2" applyNumberFormat="1" applyFont="1" applyBorder="1" applyAlignment="1">
      <alignment vertical="center" wrapText="1"/>
    </xf>
    <xf numFmtId="10" fontId="12" fillId="0" borderId="4" xfId="2" applyNumberFormat="1" applyFont="1" applyBorder="1" applyAlignment="1">
      <alignment vertical="center" wrapText="1"/>
    </xf>
    <xf numFmtId="10" fontId="2" fillId="0" borderId="0" xfId="2" applyNumberFormat="1" applyFont="1" applyAlignment="1">
      <alignment vertical="center" wrapText="1"/>
    </xf>
    <xf numFmtId="0" fontId="13" fillId="0" borderId="4" xfId="0" applyFont="1" applyBorder="1" applyAlignment="1">
      <alignment vertical="center" wrapText="1"/>
    </xf>
    <xf numFmtId="0" fontId="2" fillId="0" borderId="0" xfId="0" applyFont="1" applyAlignment="1">
      <alignment horizontal="center"/>
    </xf>
    <xf numFmtId="0" fontId="2" fillId="0" borderId="0" xfId="0" applyFont="1" applyAlignment="1">
      <alignment horizontal="center" vertical="center" wrapText="1"/>
    </xf>
    <xf numFmtId="0" fontId="12" fillId="0" borderId="0" xfId="0" applyFont="1" applyAlignment="1">
      <alignment horizontal="center" vertical="center"/>
    </xf>
    <xf numFmtId="0" fontId="14" fillId="0" borderId="7" xfId="3" applyFont="1" applyBorder="1" applyAlignment="1">
      <alignment horizontal="right" vertical="center" wrapText="1" indent="1"/>
    </xf>
    <xf numFmtId="0" fontId="5" fillId="0" borderId="0" xfId="0" applyFont="1" applyAlignment="1">
      <alignment vertical="center"/>
    </xf>
    <xf numFmtId="0" fontId="5" fillId="0" borderId="6" xfId="0" applyFont="1" applyBorder="1" applyAlignment="1">
      <alignment vertical="center"/>
    </xf>
    <xf numFmtId="0" fontId="13" fillId="0" borderId="4" xfId="0" applyFont="1" applyBorder="1" applyAlignment="1">
      <alignment horizontal="center" vertical="center"/>
    </xf>
    <xf numFmtId="0" fontId="13" fillId="0" borderId="0" xfId="0" applyFont="1" applyAlignment="1">
      <alignment horizontal="center" vertical="center"/>
    </xf>
    <xf numFmtId="0" fontId="0" fillId="0" borderId="0" xfId="0" applyAlignment="1">
      <alignment horizontal="center"/>
    </xf>
    <xf numFmtId="0" fontId="14" fillId="0" borderId="13" xfId="3" applyFont="1" applyBorder="1" applyAlignment="1">
      <alignment vertical="center"/>
    </xf>
    <xf numFmtId="0" fontId="5" fillId="0" borderId="14" xfId="0" applyFont="1" applyBorder="1" applyAlignment="1">
      <alignment vertical="center"/>
    </xf>
    <xf numFmtId="0" fontId="5" fillId="0" borderId="15" xfId="0" applyFont="1" applyBorder="1" applyAlignment="1">
      <alignment vertical="center"/>
    </xf>
    <xf numFmtId="0" fontId="0" fillId="0" borderId="0" xfId="0" applyAlignment="1">
      <alignment horizontal="center" vertical="center" wrapText="1"/>
    </xf>
    <xf numFmtId="0" fontId="15" fillId="0" borderId="0" xfId="0" applyFont="1" applyAlignment="1">
      <alignment horizontal="center" vertical="center" wrapText="1"/>
    </xf>
    <xf numFmtId="0" fontId="16" fillId="0" borderId="4" xfId="0" applyFont="1" applyBorder="1" applyAlignment="1">
      <alignment vertical="center" wrapText="1"/>
    </xf>
    <xf numFmtId="0" fontId="0" fillId="0" borderId="0" xfId="0" applyAlignment="1">
      <alignment horizontal="center" vertical="center"/>
    </xf>
    <xf numFmtId="10" fontId="18" fillId="0" borderId="4" xfId="0" applyNumberFormat="1" applyFont="1" applyBorder="1" applyAlignment="1">
      <alignment vertical="center"/>
    </xf>
    <xf numFmtId="0" fontId="3" fillId="0" borderId="0" xfId="3"/>
    <xf numFmtId="0" fontId="2" fillId="0" borderId="0" xfId="0" applyFont="1"/>
    <xf numFmtId="0" fontId="0" fillId="0" borderId="16" xfId="0" applyBorder="1"/>
    <xf numFmtId="10" fontId="7" fillId="0" borderId="0" xfId="0" applyNumberFormat="1" applyFont="1" applyAlignment="1">
      <alignment vertical="center"/>
    </xf>
    <xf numFmtId="0" fontId="10"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19" fillId="3" borderId="4" xfId="0" applyFont="1" applyFill="1" applyBorder="1" applyAlignment="1">
      <alignment horizontal="center" vertical="center" wrapText="1"/>
    </xf>
    <xf numFmtId="0" fontId="2" fillId="3" borderId="4" xfId="0" applyFont="1" applyFill="1" applyBorder="1" applyAlignment="1">
      <alignment vertical="center" wrapText="1"/>
    </xf>
    <xf numFmtId="0" fontId="19" fillId="3" borderId="17" xfId="0" applyFont="1" applyFill="1" applyBorder="1" applyAlignment="1">
      <alignment horizontal="center" vertical="center" wrapText="1"/>
    </xf>
    <xf numFmtId="0" fontId="19" fillId="0" borderId="0" xfId="0" applyFont="1" applyAlignment="1">
      <alignment horizontal="center" vertical="center" wrapText="1"/>
    </xf>
    <xf numFmtId="0" fontId="19" fillId="2" borderId="0" xfId="0" applyFont="1" applyFill="1" applyAlignment="1">
      <alignment horizontal="center" vertical="center" wrapText="1"/>
    </xf>
    <xf numFmtId="0" fontId="10" fillId="4" borderId="4" xfId="0" applyFont="1" applyFill="1" applyBorder="1" applyAlignment="1">
      <alignment horizontal="center" vertical="center" wrapText="1"/>
    </xf>
    <xf numFmtId="0" fontId="20" fillId="5" borderId="18" xfId="0" applyFont="1" applyFill="1" applyBorder="1" applyAlignment="1">
      <alignment horizontal="center" vertical="center" wrapText="1"/>
    </xf>
    <xf numFmtId="9" fontId="20" fillId="0" borderId="4" xfId="2" applyFont="1" applyBorder="1" applyAlignment="1">
      <alignment horizontal="center" vertical="center" wrapText="1"/>
    </xf>
    <xf numFmtId="0" fontId="21" fillId="0" borderId="0" xfId="0" applyFont="1" applyAlignment="1">
      <alignment horizontal="center" vertical="center" wrapText="1"/>
    </xf>
    <xf numFmtId="0" fontId="21" fillId="2" borderId="0" xfId="0" applyFont="1" applyFill="1" applyAlignment="1">
      <alignment horizontal="center" vertical="center" wrapText="1"/>
    </xf>
    <xf numFmtId="0" fontId="10" fillId="0" borderId="4" xfId="0" applyFont="1" applyBorder="1"/>
    <xf numFmtId="0" fontId="19" fillId="0" borderId="17" xfId="0" applyFont="1" applyBorder="1" applyAlignment="1">
      <alignment horizontal="center" vertical="center" wrapText="1"/>
    </xf>
    <xf numFmtId="0" fontId="10" fillId="0" borderId="17" xfId="0" applyFont="1" applyBorder="1"/>
    <xf numFmtId="0" fontId="10" fillId="0" borderId="0" xfId="0" applyFont="1"/>
    <xf numFmtId="0" fontId="10" fillId="2" borderId="0" xfId="0" applyFont="1" applyFill="1"/>
    <xf numFmtId="0" fontId="22" fillId="0" borderId="4" xfId="0" applyFont="1" applyBorder="1" applyAlignment="1">
      <alignment horizontal="center" vertical="center" wrapText="1"/>
    </xf>
    <xf numFmtId="0" fontId="20" fillId="0" borderId="4" xfId="0" applyFont="1" applyBorder="1" applyAlignment="1">
      <alignment horizontal="center" vertical="center" wrapText="1"/>
    </xf>
    <xf numFmtId="0" fontId="10" fillId="0" borderId="0" xfId="0" applyFont="1" applyAlignment="1">
      <alignment horizontal="center" vertical="center" wrapText="1"/>
    </xf>
    <xf numFmtId="0" fontId="10" fillId="2" borderId="0" xfId="0" applyFont="1" applyFill="1" applyAlignment="1">
      <alignment horizontal="center" vertical="center" wrapText="1"/>
    </xf>
    <xf numFmtId="0" fontId="10" fillId="6" borderId="0" xfId="0" applyFont="1" applyFill="1" applyAlignment="1">
      <alignment horizontal="center" vertical="center"/>
    </xf>
    <xf numFmtId="0" fontId="10" fillId="6" borderId="0" xfId="0" applyFont="1" applyFill="1"/>
    <xf numFmtId="0" fontId="10" fillId="6" borderId="0" xfId="0" applyFont="1" applyFill="1" applyAlignment="1">
      <alignment horizontal="center" vertical="center" wrapText="1"/>
    </xf>
    <xf numFmtId="0" fontId="23" fillId="6" borderId="0" xfId="0" applyFont="1" applyFill="1"/>
    <xf numFmtId="0" fontId="10" fillId="0" borderId="0" xfId="0" applyFont="1" applyAlignment="1">
      <alignment horizontal="left" vertical="center"/>
    </xf>
    <xf numFmtId="0" fontId="20" fillId="7" borderId="18" xfId="0" applyFont="1" applyFill="1" applyBorder="1" applyAlignment="1">
      <alignment horizontal="center" vertical="center" wrapText="1"/>
    </xf>
    <xf numFmtId="0" fontId="20" fillId="7" borderId="19" xfId="0" applyFont="1" applyFill="1" applyBorder="1" applyAlignment="1">
      <alignment horizontal="center" vertical="center" wrapText="1"/>
    </xf>
    <xf numFmtId="0" fontId="20" fillId="5" borderId="21" xfId="0" applyFont="1" applyFill="1" applyBorder="1" applyAlignment="1">
      <alignment horizontal="center" vertical="center" wrapText="1"/>
    </xf>
    <xf numFmtId="0" fontId="0" fillId="8" borderId="0" xfId="0" applyFill="1"/>
    <xf numFmtId="0" fontId="0" fillId="8" borderId="0" xfId="0" applyFill="1" applyAlignment="1">
      <alignment horizontal="center" vertical="center" wrapText="1"/>
    </xf>
    <xf numFmtId="0" fontId="2" fillId="0" borderId="0" xfId="0" applyFont="1" applyAlignment="1">
      <alignment vertical="center" wrapText="1"/>
    </xf>
    <xf numFmtId="0" fontId="0" fillId="0" borderId="0" xfId="0" applyAlignment="1">
      <alignment vertical="center" wrapText="1"/>
    </xf>
    <xf numFmtId="0" fontId="24" fillId="0" borderId="0" xfId="0" applyFont="1" applyAlignment="1">
      <alignment vertical="center"/>
    </xf>
    <xf numFmtId="0" fontId="25" fillId="0" borderId="0" xfId="0" applyFont="1" applyAlignment="1">
      <alignment horizontal="center" vertical="center" wrapText="1"/>
    </xf>
    <xf numFmtId="0" fontId="0" fillId="0" borderId="0" xfId="0" applyAlignment="1">
      <alignment horizontal="left" vertical="center" indent="1"/>
    </xf>
    <xf numFmtId="0" fontId="26" fillId="0" borderId="0" xfId="0" applyFont="1" applyAlignment="1">
      <alignment horizontal="center" vertical="center" wrapText="1"/>
    </xf>
    <xf numFmtId="0" fontId="2" fillId="0" borderId="0" xfId="0" applyFont="1" applyAlignment="1">
      <alignment horizontal="left" vertical="center" indent="1"/>
    </xf>
    <xf numFmtId="0" fontId="27" fillId="0" borderId="0" xfId="0" applyFont="1" applyAlignment="1">
      <alignment horizontal="center" vertical="center" wrapText="1"/>
    </xf>
    <xf numFmtId="0" fontId="27" fillId="0" borderId="4" xfId="0" applyFont="1" applyBorder="1" applyAlignment="1">
      <alignment horizontal="left" vertical="center" wrapText="1"/>
    </xf>
    <xf numFmtId="0" fontId="15" fillId="0" borderId="4" xfId="0" applyFont="1" applyBorder="1" applyAlignment="1">
      <alignment horizontal="center" vertical="center"/>
    </xf>
    <xf numFmtId="0" fontId="13" fillId="0" borderId="4" xfId="0" applyFont="1" applyBorder="1" applyAlignment="1">
      <alignment vertical="center"/>
    </xf>
    <xf numFmtId="0" fontId="15" fillId="0" borderId="4" xfId="1" applyNumberFormat="1" applyFont="1" applyBorder="1" applyAlignment="1">
      <alignment horizontal="center" vertical="center" wrapText="1"/>
    </xf>
    <xf numFmtId="0" fontId="4" fillId="0" borderId="0" xfId="0" applyFont="1" applyAlignment="1">
      <alignment vertical="center" wrapText="1"/>
    </xf>
    <xf numFmtId="0" fontId="13" fillId="0" borderId="0" xfId="0" applyFont="1"/>
    <xf numFmtId="0" fontId="15" fillId="0" borderId="4" xfId="0" applyFont="1" applyBorder="1" applyAlignment="1">
      <alignment horizontal="center" vertical="center" wrapText="1"/>
    </xf>
    <xf numFmtId="2" fontId="15" fillId="0" borderId="4" xfId="0" applyNumberFormat="1" applyFont="1" applyBorder="1" applyAlignment="1">
      <alignment horizontal="center" vertical="center" wrapText="1"/>
    </xf>
    <xf numFmtId="0" fontId="2" fillId="0" borderId="4" xfId="0" applyFont="1" applyBorder="1" applyAlignment="1">
      <alignment vertical="center"/>
    </xf>
    <xf numFmtId="0" fontId="23" fillId="0" borderId="0" xfId="0" applyFont="1" applyAlignment="1">
      <alignment horizontal="center" vertical="center" wrapText="1"/>
    </xf>
    <xf numFmtId="0" fontId="13" fillId="0" borderId="17" xfId="0" applyFont="1" applyBorder="1" applyAlignment="1">
      <alignment horizontal="right" vertical="center" wrapText="1"/>
    </xf>
    <xf numFmtId="0" fontId="13" fillId="0" borderId="4" xfId="0" applyFont="1" applyBorder="1" applyAlignment="1">
      <alignment horizontal="right" vertical="center" wrapText="1"/>
    </xf>
    <xf numFmtId="0" fontId="26" fillId="0" borderId="0" xfId="0" applyFont="1" applyAlignment="1">
      <alignment horizontal="left" vertical="center" wrapText="1"/>
    </xf>
    <xf numFmtId="0" fontId="7" fillId="0" borderId="0" xfId="0" applyFont="1" applyAlignment="1">
      <alignment horizontal="center" vertical="center"/>
    </xf>
    <xf numFmtId="0" fontId="33" fillId="0" borderId="0" xfId="0" applyFont="1"/>
    <xf numFmtId="0" fontId="15" fillId="0" borderId="0" xfId="0" applyFont="1" applyAlignment="1">
      <alignment vertical="center"/>
    </xf>
    <xf numFmtId="0" fontId="7" fillId="0" borderId="0" xfId="1" applyNumberFormat="1" applyFont="1" applyAlignment="1">
      <alignment horizontal="center" vertical="center" wrapText="1"/>
    </xf>
    <xf numFmtId="0" fontId="30" fillId="0" borderId="0" xfId="0" applyFont="1"/>
    <xf numFmtId="0" fontId="7" fillId="0" borderId="0" xfId="0" applyFont="1" applyAlignment="1">
      <alignment horizontal="center" vertical="center" wrapText="1"/>
    </xf>
    <xf numFmtId="2" fontId="7" fillId="0" borderId="0" xfId="0" applyNumberFormat="1" applyFont="1" applyAlignment="1">
      <alignment horizontal="center" vertical="center" wrapText="1"/>
    </xf>
    <xf numFmtId="0" fontId="32" fillId="0" borderId="0" xfId="0" applyFont="1"/>
    <xf numFmtId="0" fontId="25" fillId="0" borderId="0" xfId="0" applyFont="1"/>
    <xf numFmtId="0" fontId="25" fillId="2" borderId="0" xfId="0" applyFont="1" applyFill="1"/>
    <xf numFmtId="0" fontId="23" fillId="0" borderId="0" xfId="0" applyFont="1"/>
    <xf numFmtId="0" fontId="34" fillId="0" borderId="0" xfId="0" applyFont="1"/>
    <xf numFmtId="0" fontId="11" fillId="0" borderId="0" xfId="0" applyFont="1" applyAlignment="1">
      <alignment horizontal="left" vertical="center" wrapText="1"/>
    </xf>
    <xf numFmtId="0" fontId="31" fillId="0" borderId="0" xfId="0" applyFont="1" applyAlignment="1">
      <alignment horizontal="left" vertical="center" wrapText="1"/>
    </xf>
    <xf numFmtId="0" fontId="32" fillId="0" borderId="0" xfId="1" applyNumberFormat="1" applyFont="1" applyAlignment="1">
      <alignment horizontal="center" vertical="center" wrapText="1"/>
    </xf>
    <xf numFmtId="164" fontId="4" fillId="0" borderId="0" xfId="1" applyNumberFormat="1" applyFont="1" applyAlignment="1">
      <alignment horizontal="center" vertical="center" wrapText="1"/>
    </xf>
    <xf numFmtId="0" fontId="11" fillId="3" borderId="0" xfId="0" applyFont="1" applyFill="1" applyAlignment="1">
      <alignment horizontal="left" vertical="center" wrapText="1"/>
    </xf>
    <xf numFmtId="0" fontId="31" fillId="3" borderId="0" xfId="0" applyFont="1" applyFill="1" applyAlignment="1">
      <alignment horizontal="left" vertical="center" wrapText="1"/>
    </xf>
    <xf numFmtId="0" fontId="32" fillId="3" borderId="0" xfId="1" applyNumberFormat="1" applyFont="1" applyFill="1" applyAlignment="1">
      <alignment horizontal="center" vertical="center" wrapText="1"/>
    </xf>
    <xf numFmtId="164" fontId="4" fillId="3" borderId="0" xfId="1" applyNumberFormat="1" applyFont="1" applyFill="1" applyAlignment="1">
      <alignment horizontal="center" vertical="center" wrapText="1"/>
    </xf>
    <xf numFmtId="0" fontId="25" fillId="3" borderId="0" xfId="0" applyFont="1" applyFill="1"/>
    <xf numFmtId="0" fontId="18" fillId="0" borderId="0" xfId="1" applyNumberFormat="1" applyFont="1"/>
    <xf numFmtId="0" fontId="18" fillId="0" borderId="0" xfId="1" applyNumberFormat="1" applyFont="1" applyAlignment="1">
      <alignment horizontal="center" vertical="center" wrapText="1"/>
    </xf>
    <xf numFmtId="0" fontId="35" fillId="0" borderId="0" xfId="0" applyFont="1"/>
    <xf numFmtId="0" fontId="26" fillId="0" borderId="4" xfId="0" applyFont="1" applyBorder="1" applyAlignment="1">
      <alignment horizontal="center" vertical="center" wrapText="1"/>
    </xf>
    <xf numFmtId="0" fontId="26" fillId="0" borderId="26" xfId="0" applyFont="1" applyBorder="1" applyAlignment="1">
      <alignment horizontal="center" vertical="center" wrapText="1"/>
    </xf>
    <xf numFmtId="0" fontId="28" fillId="0" borderId="0" xfId="0" applyFont="1"/>
    <xf numFmtId="0" fontId="18" fillId="9" borderId="26" xfId="0" applyFont="1" applyFill="1" applyBorder="1" applyAlignment="1">
      <alignment horizontal="center" vertical="center"/>
    </xf>
    <xf numFmtId="0" fontId="18" fillId="9" borderId="4" xfId="0" applyFont="1" applyFill="1" applyBorder="1" applyAlignment="1">
      <alignment horizontal="center" vertical="center"/>
    </xf>
    <xf numFmtId="0" fontId="18" fillId="9" borderId="4" xfId="1" applyNumberFormat="1" applyFont="1" applyFill="1" applyBorder="1" applyAlignment="1">
      <alignment horizontal="center" vertical="center" wrapText="1"/>
    </xf>
    <xf numFmtId="0" fontId="18" fillId="9" borderId="4" xfId="0" applyFont="1" applyFill="1" applyBorder="1" applyAlignment="1">
      <alignment horizontal="center" vertical="center" wrapText="1"/>
    </xf>
    <xf numFmtId="2" fontId="18" fillId="9" borderId="4" xfId="0" applyNumberFormat="1" applyFont="1" applyFill="1" applyBorder="1" applyAlignment="1">
      <alignment horizontal="center" vertical="center" wrapText="1"/>
    </xf>
    <xf numFmtId="0" fontId="13" fillId="0" borderId="0" xfId="0" applyFont="1" applyAlignment="1">
      <alignment horizontal="center" vertical="center" wrapText="1"/>
    </xf>
    <xf numFmtId="0" fontId="0" fillId="13" borderId="0" xfId="0" applyFill="1"/>
    <xf numFmtId="0" fontId="0" fillId="13" borderId="0" xfId="0" applyFill="1" applyAlignment="1">
      <alignment horizontal="center" vertical="center" wrapText="1"/>
    </xf>
    <xf numFmtId="0" fontId="4" fillId="13" borderId="0" xfId="0" applyFont="1" applyFill="1"/>
    <xf numFmtId="0" fontId="7" fillId="13" borderId="0" xfId="0" applyFont="1" applyFill="1"/>
    <xf numFmtId="0" fontId="13" fillId="0" borderId="0" xfId="0" applyFont="1" applyAlignment="1">
      <alignment horizontal="left" vertical="top" wrapText="1"/>
    </xf>
    <xf numFmtId="0" fontId="4" fillId="0" borderId="16" xfId="0" applyFont="1" applyBorder="1" applyAlignment="1">
      <alignment vertical="center" wrapText="1"/>
    </xf>
    <xf numFmtId="0" fontId="37" fillId="0" borderId="0" xfId="0" applyFont="1"/>
    <xf numFmtId="0" fontId="13" fillId="0" borderId="17" xfId="0" applyFont="1" applyBorder="1" applyAlignment="1">
      <alignment horizontal="center" vertical="top" wrapText="1"/>
    </xf>
    <xf numFmtId="0" fontId="13" fillId="0" borderId="4" xfId="0" applyFont="1" applyBorder="1" applyAlignment="1">
      <alignment horizontal="center" vertical="top" wrapText="1"/>
    </xf>
    <xf numFmtId="0" fontId="13" fillId="0" borderId="0" xfId="0" applyFont="1" applyAlignment="1">
      <alignment vertical="center" wrapText="1"/>
    </xf>
    <xf numFmtId="0" fontId="8" fillId="0" borderId="0" xfId="0" applyFont="1" applyAlignment="1">
      <alignment horizontal="center" vertical="center" wrapText="1"/>
    </xf>
    <xf numFmtId="0" fontId="25" fillId="0" borderId="0" xfId="0" applyFont="1" applyAlignment="1">
      <alignment horizontal="center" vertical="center"/>
    </xf>
    <xf numFmtId="0" fontId="25" fillId="2" borderId="0" xfId="0" applyFont="1" applyFill="1" applyAlignment="1">
      <alignment horizontal="center" vertical="center"/>
    </xf>
    <xf numFmtId="0" fontId="13" fillId="0" borderId="4" xfId="0" applyFont="1" applyBorder="1" applyAlignment="1">
      <alignment horizontal="center" vertical="center" wrapText="1"/>
    </xf>
    <xf numFmtId="0" fontId="12" fillId="0" borderId="4" xfId="0" applyFont="1" applyBorder="1" applyAlignment="1">
      <alignment horizontal="center" vertical="center" wrapText="1"/>
    </xf>
    <xf numFmtId="165" fontId="13" fillId="0" borderId="4" xfId="0" applyNumberFormat="1" applyFont="1" applyBorder="1" applyAlignment="1">
      <alignment horizontal="center" vertical="center" wrapText="1"/>
    </xf>
    <xf numFmtId="165" fontId="27" fillId="0" borderId="4" xfId="0" applyNumberFormat="1" applyFont="1" applyBorder="1" applyAlignment="1">
      <alignment horizontal="center" vertical="center" wrapText="1"/>
    </xf>
    <xf numFmtId="165" fontId="27" fillId="0" borderId="25" xfId="1" applyNumberFormat="1" applyFont="1" applyBorder="1" applyAlignment="1">
      <alignment horizontal="center" vertical="center" wrapText="1"/>
    </xf>
    <xf numFmtId="10" fontId="8" fillId="0" borderId="0" xfId="2" applyNumberFormat="1" applyFont="1" applyAlignment="1">
      <alignment vertical="center" wrapText="1"/>
    </xf>
    <xf numFmtId="0" fontId="15" fillId="0" borderId="0" xfId="0" applyFont="1" applyAlignment="1">
      <alignment vertical="center" wrapText="1"/>
    </xf>
    <xf numFmtId="2" fontId="0" fillId="0" borderId="0" xfId="0" applyNumberFormat="1" applyAlignment="1">
      <alignment horizontal="center" vertical="center" wrapText="1"/>
    </xf>
    <xf numFmtId="10" fontId="8" fillId="0" borderId="27" xfId="2" applyNumberFormat="1" applyFont="1" applyBorder="1" applyAlignment="1">
      <alignment horizontal="center" vertical="center" wrapText="1"/>
    </xf>
    <xf numFmtId="10" fontId="8" fillId="0" borderId="0" xfId="2" applyNumberFormat="1" applyFont="1" applyAlignment="1">
      <alignment horizontal="center" vertical="center" wrapText="1"/>
    </xf>
    <xf numFmtId="0" fontId="7" fillId="0" borderId="0" xfId="1" applyNumberFormat="1" applyFont="1" applyAlignment="1">
      <alignment horizontal="center" wrapText="1"/>
    </xf>
    <xf numFmtId="0" fontId="25" fillId="0" borderId="0" xfId="0" applyFont="1" applyAlignment="1">
      <alignment vertical="center"/>
    </xf>
    <xf numFmtId="0" fontId="23" fillId="0" borderId="0" xfId="0" applyFont="1" applyAlignment="1">
      <alignment vertical="center"/>
    </xf>
    <xf numFmtId="0" fontId="34" fillId="0" borderId="0" xfId="0" applyFont="1" applyAlignment="1">
      <alignment vertical="center"/>
    </xf>
    <xf numFmtId="10" fontId="2" fillId="0" borderId="0" xfId="2" applyNumberFormat="1" applyFont="1" applyAlignment="1">
      <alignment horizontal="center" vertical="center" wrapText="1"/>
    </xf>
    <xf numFmtId="0" fontId="39" fillId="0" borderId="0" xfId="0" applyFont="1" applyAlignment="1">
      <alignment horizontal="center" vertical="center" wrapText="1"/>
    </xf>
    <xf numFmtId="0" fontId="34" fillId="0" borderId="0" xfId="0" applyFont="1" applyAlignment="1">
      <alignment horizontal="center" vertical="center"/>
    </xf>
    <xf numFmtId="0" fontId="40" fillId="0" borderId="0" xfId="0" applyFont="1" applyAlignment="1">
      <alignment horizontal="left" vertical="center" indent="1"/>
    </xf>
    <xf numFmtId="2" fontId="4" fillId="0" borderId="0" xfId="0" applyNumberFormat="1" applyFont="1" applyAlignment="1">
      <alignment horizontal="left" indent="9"/>
    </xf>
    <xf numFmtId="0" fontId="41" fillId="0" borderId="0" xfId="0" applyFont="1" applyAlignment="1">
      <alignment vertical="center"/>
    </xf>
    <xf numFmtId="0" fontId="41" fillId="0" borderId="0" xfId="0" applyFont="1" applyAlignment="1">
      <alignment horizontal="left" vertical="center" indent="1"/>
    </xf>
    <xf numFmtId="0" fontId="16" fillId="0" borderId="0" xfId="0" applyFont="1" applyAlignment="1">
      <alignment horizontal="center" vertical="center" wrapText="1"/>
    </xf>
    <xf numFmtId="0" fontId="38" fillId="0" borderId="0" xfId="1" applyNumberFormat="1" applyFont="1" applyAlignment="1">
      <alignment horizontal="center" vertical="center" wrapText="1"/>
    </xf>
    <xf numFmtId="10" fontId="15" fillId="0" borderId="0" xfId="2" applyNumberFormat="1" applyFont="1" applyAlignment="1">
      <alignment horizontal="center" vertical="top" wrapText="1"/>
    </xf>
    <xf numFmtId="0" fontId="11" fillId="14" borderId="0" xfId="0" applyFont="1" applyFill="1" applyAlignment="1">
      <alignment horizontal="left" vertical="center" wrapText="1"/>
    </xf>
    <xf numFmtId="0" fontId="16" fillId="14" borderId="0" xfId="0" applyFont="1" applyFill="1" applyAlignment="1">
      <alignment horizontal="center" vertical="center" wrapText="1"/>
    </xf>
    <xf numFmtId="0" fontId="38" fillId="14" borderId="0" xfId="1" applyNumberFormat="1" applyFont="1" applyFill="1" applyAlignment="1">
      <alignment horizontal="center" vertical="center" wrapText="1"/>
    </xf>
    <xf numFmtId="10" fontId="15" fillId="14" borderId="0" xfId="2" applyNumberFormat="1" applyFont="1" applyFill="1" applyAlignment="1">
      <alignment horizontal="center" vertical="top" wrapText="1"/>
    </xf>
    <xf numFmtId="10" fontId="8" fillId="14" borderId="0" xfId="2" applyNumberFormat="1" applyFont="1" applyFill="1" applyAlignment="1">
      <alignment vertical="center" wrapText="1"/>
    </xf>
    <xf numFmtId="10" fontId="2" fillId="14" borderId="0" xfId="2" applyNumberFormat="1" applyFont="1" applyFill="1" applyAlignment="1">
      <alignment horizontal="center" vertical="center" wrapText="1"/>
    </xf>
    <xf numFmtId="0" fontId="25" fillId="14" borderId="0" xfId="0" applyFont="1" applyFill="1"/>
    <xf numFmtId="0" fontId="25" fillId="14" borderId="0" xfId="0" applyFont="1" applyFill="1" applyAlignment="1">
      <alignment horizontal="center" vertical="center"/>
    </xf>
    <xf numFmtId="0" fontId="0" fillId="14" borderId="0" xfId="0" applyFill="1" applyAlignment="1">
      <alignment vertical="center" wrapText="1"/>
    </xf>
    <xf numFmtId="0" fontId="0" fillId="2" borderId="0" xfId="0" applyFill="1" applyAlignment="1">
      <alignment vertical="center" wrapText="1"/>
    </xf>
    <xf numFmtId="0" fontId="23" fillId="14" borderId="0" xfId="0" applyFont="1" applyFill="1"/>
    <xf numFmtId="0" fontId="34" fillId="14" borderId="0" xfId="0" applyFont="1" applyFill="1"/>
    <xf numFmtId="0" fontId="18" fillId="0" borderId="0" xfId="0" applyFont="1" applyAlignment="1">
      <alignment horizontal="center"/>
    </xf>
    <xf numFmtId="0" fontId="18" fillId="0" borderId="0" xfId="0" applyFont="1"/>
    <xf numFmtId="0" fontId="15" fillId="0" borderId="0" xfId="0" applyFont="1" applyAlignment="1">
      <alignment horizontal="left"/>
    </xf>
    <xf numFmtId="0" fontId="13" fillId="0" borderId="0" xfId="0" applyFont="1" applyAlignment="1">
      <alignment horizontal="left" vertical="center" indent="7"/>
    </xf>
    <xf numFmtId="0" fontId="29" fillId="0" borderId="0" xfId="0" applyFont="1" applyAlignment="1">
      <alignment horizontal="left" vertical="center"/>
    </xf>
    <xf numFmtId="0" fontId="12" fillId="0" borderId="0" xfId="0" applyFont="1" applyAlignment="1">
      <alignment horizontal="left" vertical="center"/>
    </xf>
    <xf numFmtId="0" fontId="2" fillId="2" borderId="0" xfId="0" applyFont="1" applyFill="1" applyAlignment="1">
      <alignment horizontal="center" vertical="center" wrapText="1"/>
    </xf>
    <xf numFmtId="10" fontId="0" fillId="0" borderId="0" xfId="0" applyNumberFormat="1" applyAlignment="1">
      <alignment vertical="center" wrapText="1"/>
    </xf>
    <xf numFmtId="10" fontId="0" fillId="2" borderId="0" xfId="0" applyNumberFormat="1" applyFill="1" applyAlignment="1">
      <alignment vertical="center" wrapText="1"/>
    </xf>
    <xf numFmtId="0" fontId="2" fillId="2" borderId="0" xfId="0" applyFont="1" applyFill="1" applyAlignment="1">
      <alignment vertical="top" wrapText="1"/>
    </xf>
    <xf numFmtId="0" fontId="2" fillId="0" borderId="16" xfId="0" applyFont="1" applyBorder="1" applyAlignment="1">
      <alignment vertical="top" wrapText="1"/>
    </xf>
    <xf numFmtId="0" fontId="2" fillId="2" borderId="16" xfId="0" applyFont="1" applyFill="1" applyBorder="1" applyAlignment="1">
      <alignment vertical="top" wrapText="1"/>
    </xf>
    <xf numFmtId="43" fontId="25" fillId="0" borderId="8" xfId="0" applyNumberFormat="1" applyFont="1" applyBorder="1" applyAlignment="1">
      <alignment vertical="top" wrapText="1"/>
    </xf>
    <xf numFmtId="0" fontId="25" fillId="0" borderId="28" xfId="0" applyFont="1" applyBorder="1" applyAlignment="1">
      <alignment vertical="top" wrapText="1"/>
    </xf>
    <xf numFmtId="0" fontId="25" fillId="2" borderId="28" xfId="0" applyFont="1" applyFill="1" applyBorder="1" applyAlignment="1">
      <alignment vertical="top" wrapText="1"/>
    </xf>
    <xf numFmtId="0" fontId="25" fillId="0" borderId="8" xfId="0" applyFont="1" applyBorder="1" applyAlignment="1">
      <alignment vertical="top" wrapText="1"/>
    </xf>
    <xf numFmtId="0" fontId="25" fillId="0" borderId="16" xfId="0" applyFont="1" applyBorder="1" applyAlignment="1">
      <alignment vertical="top" wrapText="1"/>
    </xf>
    <xf numFmtId="0" fontId="25" fillId="2" borderId="16" xfId="0" applyFont="1" applyFill="1" applyBorder="1" applyAlignment="1">
      <alignment vertical="top" wrapText="1"/>
    </xf>
    <xf numFmtId="10" fontId="25" fillId="9" borderId="0" xfId="1" applyNumberFormat="1" applyFont="1" applyFill="1" applyAlignment="1">
      <alignment horizontal="center" vertical="center"/>
    </xf>
    <xf numFmtId="0" fontId="25" fillId="9" borderId="0" xfId="1" applyNumberFormat="1" applyFont="1" applyFill="1" applyAlignment="1">
      <alignment horizontal="center" vertical="center"/>
    </xf>
    <xf numFmtId="0" fontId="25" fillId="0" borderId="0" xfId="0" applyFont="1" applyAlignment="1">
      <alignment vertical="top" wrapText="1"/>
    </xf>
    <xf numFmtId="0" fontId="25" fillId="2" borderId="0" xfId="0" applyFont="1" applyFill="1" applyAlignment="1">
      <alignment vertical="top" wrapText="1"/>
    </xf>
    <xf numFmtId="0" fontId="0" fillId="0" borderId="0" xfId="0" applyAlignment="1">
      <alignment horizontal="left" vertical="center" indent="2"/>
    </xf>
    <xf numFmtId="0" fontId="43" fillId="0" borderId="0" xfId="0" applyFont="1"/>
    <xf numFmtId="0" fontId="0" fillId="2" borderId="0" xfId="0" applyFill="1" applyAlignment="1">
      <alignment horizontal="center" vertical="center" wrapText="1"/>
    </xf>
    <xf numFmtId="0" fontId="4" fillId="2" borderId="0" xfId="0" applyFont="1" applyFill="1"/>
    <xf numFmtId="0" fontId="7" fillId="2" borderId="0" xfId="0" applyFont="1" applyFill="1"/>
    <xf numFmtId="0" fontId="44" fillId="0" borderId="4" xfId="0" applyFont="1" applyBorder="1" applyAlignment="1">
      <alignment horizontal="center" vertical="top" wrapText="1"/>
    </xf>
    <xf numFmtId="0" fontId="12" fillId="0" borderId="4" xfId="0" applyFont="1" applyBorder="1" applyAlignment="1">
      <alignment horizontal="right" vertical="center" wrapText="1"/>
    </xf>
    <xf numFmtId="165" fontId="12" fillId="0" borderId="4" xfId="0" applyNumberFormat="1" applyFont="1" applyBorder="1" applyAlignment="1">
      <alignment horizontal="center" vertical="center" wrapText="1"/>
    </xf>
    <xf numFmtId="10" fontId="12" fillId="10" borderId="25" xfId="2" applyNumberFormat="1" applyFont="1" applyFill="1" applyBorder="1" applyAlignment="1">
      <alignment horizontal="center" vertical="top" wrapText="1"/>
    </xf>
    <xf numFmtId="10" fontId="12" fillId="0" borderId="0" xfId="2" applyNumberFormat="1" applyFont="1" applyAlignment="1">
      <alignment vertical="center" wrapText="1"/>
    </xf>
    <xf numFmtId="10" fontId="8" fillId="0" borderId="24" xfId="2" applyNumberFormat="1" applyFont="1" applyBorder="1" applyAlignment="1">
      <alignment horizontal="center" vertical="center" wrapText="1"/>
    </xf>
    <xf numFmtId="0" fontId="0" fillId="15" borderId="0" xfId="0" applyFill="1"/>
    <xf numFmtId="0" fontId="0" fillId="15" borderId="0" xfId="0" applyFill="1" applyAlignment="1">
      <alignment horizontal="center" vertical="center" wrapText="1"/>
    </xf>
    <xf numFmtId="0" fontId="4" fillId="15" borderId="0" xfId="0" applyFont="1" applyFill="1"/>
    <xf numFmtId="0" fontId="7" fillId="15" borderId="0" xfId="0" applyFont="1" applyFill="1"/>
    <xf numFmtId="165" fontId="27" fillId="0" borderId="4" xfId="1" applyNumberFormat="1" applyFont="1" applyBorder="1" applyAlignment="1">
      <alignment horizontal="center" vertical="center" wrapText="1"/>
    </xf>
    <xf numFmtId="0" fontId="0" fillId="16" borderId="0" xfId="0" applyFill="1"/>
    <xf numFmtId="0" fontId="0" fillId="16" borderId="0" xfId="0" applyFill="1" applyAlignment="1">
      <alignment horizontal="center" vertical="center" wrapText="1"/>
    </xf>
    <xf numFmtId="0" fontId="4" fillId="16" borderId="0" xfId="0" applyFont="1" applyFill="1"/>
    <xf numFmtId="0" fontId="7" fillId="16" borderId="0" xfId="0" applyFont="1" applyFill="1"/>
    <xf numFmtId="165" fontId="12" fillId="0" borderId="4" xfId="0" applyNumberFormat="1" applyFont="1" applyBorder="1" applyAlignment="1">
      <alignment horizontal="center" vertical="center"/>
    </xf>
    <xf numFmtId="0" fontId="12" fillId="0" borderId="4" xfId="0" applyFont="1" applyBorder="1" applyAlignment="1">
      <alignment horizontal="center" vertical="center"/>
    </xf>
    <xf numFmtId="0" fontId="15" fillId="0" borderId="0" xfId="0" applyFont="1" applyAlignment="1">
      <alignment horizontal="center" vertical="center"/>
    </xf>
    <xf numFmtId="10" fontId="0" fillId="0" borderId="4" xfId="2" applyNumberFormat="1" applyFont="1" applyBorder="1" applyAlignment="1">
      <alignment horizontal="center" vertical="center" wrapText="1"/>
    </xf>
    <xf numFmtId="10" fontId="17" fillId="0" borderId="0" xfId="2" applyNumberFormat="1" applyFont="1" applyAlignment="1">
      <alignment vertical="center" wrapText="1"/>
    </xf>
    <xf numFmtId="0" fontId="18" fillId="0" borderId="0" xfId="0" applyFont="1" applyAlignment="1">
      <alignment horizontal="center" vertical="center"/>
    </xf>
    <xf numFmtId="0" fontId="36" fillId="0" borderId="0" xfId="0" applyFont="1" applyAlignment="1">
      <alignment horizontal="center" vertical="center"/>
    </xf>
    <xf numFmtId="10" fontId="13" fillId="0" borderId="0" xfId="2" applyNumberFormat="1" applyFont="1" applyAlignment="1">
      <alignment vertical="center" wrapText="1"/>
    </xf>
    <xf numFmtId="0" fontId="32" fillId="0" borderId="0" xfId="0" applyFont="1" applyAlignment="1">
      <alignment horizontal="left" vertical="center" indent="1"/>
    </xf>
    <xf numFmtId="0" fontId="13" fillId="0" borderId="0" xfId="0" applyFont="1" applyAlignment="1">
      <alignment vertical="center"/>
    </xf>
    <xf numFmtId="165" fontId="18" fillId="0" borderId="4" xfId="0" applyNumberFormat="1" applyFont="1" applyBorder="1" applyAlignment="1">
      <alignment horizontal="center" vertical="center" wrapText="1"/>
    </xf>
    <xf numFmtId="10" fontId="12" fillId="0" borderId="25" xfId="2" applyNumberFormat="1" applyFont="1" applyBorder="1" applyAlignment="1">
      <alignment horizontal="right" vertical="center" wrapText="1"/>
    </xf>
    <xf numFmtId="0" fontId="18" fillId="0" borderId="0" xfId="0" applyFont="1" applyAlignment="1">
      <alignment horizontal="center" vertical="center" wrapText="1"/>
    </xf>
    <xf numFmtId="0" fontId="10" fillId="0" borderId="0" xfId="0" applyFont="1" applyAlignment="1">
      <alignment horizontal="left" vertical="center" wrapText="1"/>
    </xf>
    <xf numFmtId="0" fontId="42" fillId="0" borderId="0" xfId="0" applyFont="1" applyAlignment="1">
      <alignment horizontal="center" vertical="center" wrapText="1"/>
    </xf>
    <xf numFmtId="0" fontId="12" fillId="0" borderId="0" xfId="0" applyFont="1" applyAlignment="1">
      <alignment horizontal="center" vertical="center" wrapText="1"/>
    </xf>
    <xf numFmtId="10" fontId="12" fillId="0" borderId="25" xfId="2" applyNumberFormat="1" applyFont="1" applyBorder="1" applyAlignment="1">
      <alignment horizontal="center" vertical="center" wrapText="1"/>
    </xf>
    <xf numFmtId="10" fontId="12" fillId="0" borderId="4" xfId="2" applyNumberFormat="1" applyFont="1" applyBorder="1" applyAlignment="1">
      <alignment horizontal="center" vertical="center" wrapText="1"/>
    </xf>
    <xf numFmtId="0" fontId="5" fillId="0" borderId="1"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9" fillId="0" borderId="5" xfId="0" applyFont="1" applyBorder="1" applyAlignment="1">
      <alignment vertical="center" wrapText="1"/>
    </xf>
    <xf numFmtId="0" fontId="9" fillId="0" borderId="0" xfId="0" applyFont="1" applyAlignment="1">
      <alignment vertical="center" wrapText="1"/>
    </xf>
    <xf numFmtId="0" fontId="9" fillId="0" borderId="6" xfId="0" applyFont="1" applyBorder="1" applyAlignment="1">
      <alignment vertical="center" wrapText="1"/>
    </xf>
    <xf numFmtId="0" fontId="14" fillId="0" borderId="0" xfId="3" applyFont="1"/>
    <xf numFmtId="0" fontId="17" fillId="0" borderId="0" xfId="0" applyFont="1"/>
    <xf numFmtId="9" fontId="20" fillId="7" borderId="20" xfId="0" applyNumberFormat="1" applyFont="1" applyFill="1" applyBorder="1" applyAlignment="1">
      <alignment horizontal="center" vertical="center" wrapText="1"/>
    </xf>
    <xf numFmtId="9" fontId="20" fillId="7" borderId="18" xfId="0" applyNumberFormat="1" applyFont="1" applyFill="1" applyBorder="1" applyAlignment="1">
      <alignment horizontal="center" vertical="center" wrapText="1"/>
    </xf>
    <xf numFmtId="0" fontId="0" fillId="17" borderId="0" xfId="0" applyFill="1"/>
    <xf numFmtId="0" fontId="15" fillId="17" borderId="0" xfId="0" applyFont="1" applyFill="1"/>
    <xf numFmtId="0" fontId="2" fillId="17" borderId="0" xfId="0" applyFont="1" applyFill="1"/>
    <xf numFmtId="10" fontId="2" fillId="0" borderId="4" xfId="2" applyNumberFormat="1" applyFont="1" applyBorder="1" applyAlignment="1">
      <alignment vertical="center" wrapText="1"/>
    </xf>
    <xf numFmtId="0" fontId="21" fillId="7" borderId="21" xfId="0" applyFont="1" applyFill="1" applyBorder="1" applyAlignment="1">
      <alignment horizontal="center" vertical="center" wrapText="1"/>
    </xf>
    <xf numFmtId="0" fontId="15" fillId="0" borderId="0" xfId="0" applyFont="1"/>
    <xf numFmtId="0" fontId="27" fillId="0" borderId="4" xfId="0" applyFont="1" applyBorder="1" applyAlignment="1">
      <alignment horizontal="center" vertical="center" wrapText="1"/>
    </xf>
    <xf numFmtId="0" fontId="15" fillId="9" borderId="4" xfId="0" applyFont="1" applyFill="1" applyBorder="1" applyAlignment="1">
      <alignment horizontal="center" vertical="center"/>
    </xf>
    <xf numFmtId="0" fontId="15" fillId="9" borderId="4" xfId="1" applyNumberFormat="1" applyFont="1" applyFill="1" applyBorder="1" applyAlignment="1">
      <alignment horizontal="center" vertical="center" wrapText="1"/>
    </xf>
    <xf numFmtId="0" fontId="15" fillId="9" borderId="4" xfId="0" applyFont="1" applyFill="1" applyBorder="1" applyAlignment="1">
      <alignment horizontal="center" vertical="center" wrapText="1"/>
    </xf>
    <xf numFmtId="2" fontId="15" fillId="9" borderId="4" xfId="0" applyNumberFormat="1" applyFont="1" applyFill="1" applyBorder="1" applyAlignment="1">
      <alignment horizontal="center" vertical="center" wrapText="1"/>
    </xf>
    <xf numFmtId="0" fontId="29" fillId="0" borderId="4" xfId="0" applyFont="1" applyBorder="1" applyAlignment="1">
      <alignment horizontal="left" vertical="center" wrapText="1"/>
    </xf>
    <xf numFmtId="0" fontId="12" fillId="0" borderId="4" xfId="0" applyFont="1" applyBorder="1" applyAlignment="1">
      <alignment vertical="center"/>
    </xf>
    <xf numFmtId="9" fontId="21" fillId="7" borderId="18" xfId="0" applyNumberFormat="1" applyFont="1" applyFill="1" applyBorder="1" applyAlignment="1">
      <alignment horizontal="center" vertical="center" wrapText="1"/>
    </xf>
    <xf numFmtId="0" fontId="20" fillId="7" borderId="21" xfId="0" applyFont="1" applyFill="1" applyBorder="1" applyAlignment="1">
      <alignment horizontal="center" vertical="center" wrapText="1"/>
    </xf>
    <xf numFmtId="0" fontId="10" fillId="0" borderId="4" xfId="0" applyFont="1" applyBorder="1" applyAlignment="1">
      <alignment vertical="center" wrapText="1"/>
    </xf>
    <xf numFmtId="10" fontId="10" fillId="0" borderId="4" xfId="0" applyNumberFormat="1" applyFont="1" applyBorder="1" applyAlignment="1">
      <alignment vertical="center" wrapText="1"/>
    </xf>
    <xf numFmtId="0" fontId="25" fillId="0" borderId="4" xfId="0" applyFont="1" applyBorder="1" applyAlignment="1">
      <alignment vertical="center" wrapText="1"/>
    </xf>
    <xf numFmtId="0" fontId="17" fillId="0" borderId="0" xfId="0" applyFont="1" applyAlignment="1">
      <alignment horizontal="center" vertical="center"/>
    </xf>
    <xf numFmtId="0" fontId="47" fillId="0" borderId="0" xfId="0" applyFont="1" applyAlignment="1">
      <alignment vertical="center" wrapText="1"/>
    </xf>
    <xf numFmtId="0" fontId="0" fillId="0" borderId="4" xfId="0" applyBorder="1"/>
    <xf numFmtId="0" fontId="0" fillId="0" borderId="0" xfId="0" applyAlignment="1">
      <alignment vertical="center"/>
    </xf>
    <xf numFmtId="0" fontId="1" fillId="0" borderId="0" xfId="0" applyFont="1" applyAlignment="1">
      <alignment vertical="center"/>
    </xf>
    <xf numFmtId="0" fontId="48" fillId="8" borderId="0" xfId="0" applyFont="1" applyFill="1"/>
    <xf numFmtId="0" fontId="49" fillId="0" borderId="0" xfId="0" applyFont="1"/>
    <xf numFmtId="0" fontId="2" fillId="0" borderId="17" xfId="0" applyFont="1" applyBorder="1" applyAlignment="1">
      <alignment horizontal="center" vertical="center" wrapText="1"/>
    </xf>
    <xf numFmtId="0" fontId="50" fillId="0" borderId="0" xfId="0" applyFont="1" applyAlignment="1">
      <alignment vertical="center" wrapText="1"/>
    </xf>
    <xf numFmtId="0" fontId="50" fillId="0" borderId="0" xfId="0" applyFont="1" applyAlignment="1">
      <alignment horizontal="left" vertical="center" wrapText="1" indent="1"/>
    </xf>
    <xf numFmtId="0" fontId="5" fillId="0" borderId="6" xfId="0" applyFont="1" applyBorder="1" applyAlignment="1">
      <alignment horizontal="center" vertical="center" wrapText="1"/>
    </xf>
    <xf numFmtId="0" fontId="51" fillId="0" borderId="0" xfId="0" applyFont="1" applyAlignment="1">
      <alignment vertical="center"/>
    </xf>
    <xf numFmtId="0" fontId="2" fillId="0" borderId="17" xfId="0" applyFont="1" applyBorder="1" applyAlignment="1">
      <alignment vertical="top" wrapText="1"/>
    </xf>
    <xf numFmtId="0" fontId="2" fillId="0" borderId="17" xfId="0" applyFont="1" applyBorder="1" applyAlignment="1">
      <alignment horizontal="center" vertical="center"/>
    </xf>
    <xf numFmtId="0" fontId="2" fillId="0" borderId="17" xfId="0" applyFont="1" applyBorder="1" applyAlignment="1">
      <alignment horizontal="center" vertical="top" wrapText="1"/>
    </xf>
    <xf numFmtId="0" fontId="10" fillId="0" borderId="17" xfId="0" applyFont="1" applyBorder="1" applyAlignment="1">
      <alignment horizontal="center" vertical="center"/>
    </xf>
    <xf numFmtId="0" fontId="2" fillId="0" borderId="12" xfId="0" applyFont="1" applyBorder="1" applyAlignment="1">
      <alignment vertical="top" wrapText="1"/>
    </xf>
    <xf numFmtId="0" fontId="2" fillId="0" borderId="11" xfId="0" applyFont="1" applyBorder="1" applyAlignment="1">
      <alignment vertical="top" wrapText="1"/>
    </xf>
    <xf numFmtId="10" fontId="0" fillId="0" borderId="10" xfId="2" applyNumberFormat="1" applyFont="1" applyBorder="1" applyAlignment="1">
      <alignment vertical="center" wrapText="1"/>
    </xf>
    <xf numFmtId="10" fontId="0" fillId="0" borderId="25" xfId="2" applyNumberFormat="1" applyFont="1" applyBorder="1" applyAlignment="1">
      <alignment vertical="center" wrapText="1"/>
    </xf>
    <xf numFmtId="10" fontId="0" fillId="0" borderId="9" xfId="2" applyNumberFormat="1" applyFont="1" applyBorder="1" applyAlignment="1">
      <alignment vertical="center" wrapText="1"/>
    </xf>
    <xf numFmtId="0" fontId="53" fillId="0" borderId="0" xfId="0" applyFont="1" applyAlignment="1">
      <alignment horizontal="left"/>
    </xf>
    <xf numFmtId="0" fontId="53" fillId="0" borderId="0" xfId="0" applyFont="1" applyAlignment="1">
      <alignment horizontal="left" vertical="center"/>
    </xf>
    <xf numFmtId="0" fontId="53" fillId="0" borderId="0" xfId="0" applyFont="1" applyAlignment="1">
      <alignment vertical="center"/>
    </xf>
    <xf numFmtId="0" fontId="53" fillId="19" borderId="4" xfId="0" applyFont="1" applyFill="1" applyBorder="1" applyAlignment="1">
      <alignment horizontal="left" vertical="center" wrapText="1"/>
    </xf>
    <xf numFmtId="0" fontId="53" fillId="19" borderId="4" xfId="0" applyFont="1" applyFill="1" applyBorder="1" applyAlignment="1">
      <alignment horizontal="center" vertical="center" wrapText="1"/>
    </xf>
    <xf numFmtId="0" fontId="56" fillId="0" borderId="0" xfId="0" applyFont="1" applyAlignment="1">
      <alignment horizontal="left"/>
    </xf>
    <xf numFmtId="0" fontId="57" fillId="0" borderId="0" xfId="0" applyFont="1" applyAlignment="1">
      <alignment horizontal="left" vertical="center"/>
    </xf>
    <xf numFmtId="0" fontId="57" fillId="0" borderId="0" xfId="0" applyFont="1" applyAlignment="1">
      <alignment horizontal="left"/>
    </xf>
    <xf numFmtId="0" fontId="58" fillId="0" borderId="0" xfId="0" applyFont="1" applyAlignment="1">
      <alignment horizontal="left" vertical="center"/>
    </xf>
    <xf numFmtId="0" fontId="53" fillId="0" borderId="0" xfId="0" applyFont="1" applyAlignment="1">
      <alignment horizontal="left" vertical="center" wrapText="1"/>
    </xf>
    <xf numFmtId="0" fontId="55" fillId="0" borderId="0" xfId="0" applyFont="1" applyAlignment="1">
      <alignment horizontal="left" vertical="center"/>
    </xf>
    <xf numFmtId="0" fontId="53" fillId="4" borderId="0" xfId="0" applyFont="1" applyFill="1" applyAlignment="1">
      <alignment horizontal="left" vertical="center"/>
    </xf>
    <xf numFmtId="0" fontId="53" fillId="4" borderId="0" xfId="0" applyFont="1" applyFill="1" applyAlignment="1">
      <alignment horizontal="left"/>
    </xf>
    <xf numFmtId="0" fontId="18" fillId="0" borderId="0" xfId="0" applyFont="1" applyAlignment="1">
      <alignment horizontal="left" vertical="top" wrapText="1"/>
    </xf>
    <xf numFmtId="0" fontId="4" fillId="0" borderId="0" xfId="0" applyFont="1" applyAlignment="1">
      <alignment vertical="center"/>
    </xf>
    <xf numFmtId="0" fontId="28" fillId="0" borderId="0" xfId="0" applyFont="1" applyAlignment="1">
      <alignment vertical="center"/>
    </xf>
    <xf numFmtId="0" fontId="60" fillId="0" borderId="0" xfId="0" applyFont="1" applyAlignment="1">
      <alignment vertical="center"/>
    </xf>
    <xf numFmtId="0" fontId="63" fillId="0" borderId="0" xfId="0" applyFont="1" applyAlignment="1">
      <alignment vertical="center"/>
    </xf>
    <xf numFmtId="0" fontId="60" fillId="0" borderId="0" xfId="0" applyFont="1" applyAlignment="1">
      <alignment horizontal="left" vertical="center" indent="1"/>
    </xf>
    <xf numFmtId="0" fontId="61" fillId="0" borderId="0" xfId="0" applyFont="1" applyAlignment="1">
      <alignment horizontal="left" vertical="center" indent="1"/>
    </xf>
    <xf numFmtId="0" fontId="62" fillId="0" borderId="0" xfId="0" applyFont="1" applyAlignment="1">
      <alignment vertical="center"/>
    </xf>
    <xf numFmtId="0" fontId="53" fillId="0" borderId="0" xfId="0" applyFont="1"/>
    <xf numFmtId="10" fontId="53" fillId="0" borderId="4" xfId="0" applyNumberFormat="1" applyFont="1" applyBorder="1" applyAlignment="1">
      <alignment horizontal="center" vertical="center"/>
    </xf>
    <xf numFmtId="10" fontId="1" fillId="0" borderId="4" xfId="2" applyNumberFormat="1" applyFont="1" applyBorder="1" applyAlignment="1">
      <alignment horizontal="center" vertical="center"/>
    </xf>
    <xf numFmtId="0" fontId="64" fillId="20" borderId="4" xfId="0" applyFont="1" applyFill="1" applyBorder="1" applyAlignment="1">
      <alignment horizontal="center" vertical="center"/>
    </xf>
    <xf numFmtId="0" fontId="64" fillId="20" borderId="4" xfId="0" applyFont="1" applyFill="1" applyBorder="1" applyAlignment="1">
      <alignment horizontal="center" vertical="center" wrapText="1"/>
    </xf>
    <xf numFmtId="0" fontId="57" fillId="0" borderId="0" xfId="0" applyFont="1" applyAlignment="1">
      <alignment horizontal="right"/>
    </xf>
    <xf numFmtId="0" fontId="0" fillId="0" borderId="0" xfId="0" applyAlignment="1">
      <alignment horizontal="right"/>
    </xf>
    <xf numFmtId="0" fontId="57" fillId="0" borderId="0" xfId="0" applyFont="1" applyAlignment="1">
      <alignment horizontal="right" vertical="center"/>
    </xf>
    <xf numFmtId="0" fontId="53" fillId="18" borderId="0" xfId="0" applyFont="1" applyFill="1" applyAlignment="1">
      <alignment horizontal="centerContinuous" vertical="center" wrapText="1"/>
    </xf>
    <xf numFmtId="43" fontId="1" fillId="0" borderId="0" xfId="1" applyFont="1" applyAlignment="1">
      <alignment horizontal="left" vertical="center"/>
    </xf>
    <xf numFmtId="43" fontId="12" fillId="0" borderId="0" xfId="1" applyFont="1" applyAlignment="1">
      <alignment horizontal="left" vertical="center"/>
    </xf>
    <xf numFmtId="0" fontId="65" fillId="0" borderId="0" xfId="0" applyFont="1" applyAlignment="1">
      <alignment vertical="center" wrapText="1"/>
    </xf>
    <xf numFmtId="0" fontId="53" fillId="21" borderId="35" xfId="0" applyFont="1" applyFill="1" applyBorder="1" applyAlignment="1">
      <alignment horizontal="left" vertical="center" wrapText="1"/>
    </xf>
    <xf numFmtId="0" fontId="53" fillId="22" borderId="36" xfId="0" applyFont="1" applyFill="1" applyBorder="1" applyAlignment="1">
      <alignment horizontal="left" vertical="center" wrapText="1"/>
    </xf>
    <xf numFmtId="0" fontId="53" fillId="22" borderId="37" xfId="0" applyFont="1" applyFill="1" applyBorder="1" applyAlignment="1">
      <alignment horizontal="left" vertical="center" wrapText="1"/>
    </xf>
    <xf numFmtId="0" fontId="53" fillId="0" borderId="35" xfId="0" applyFont="1" applyBorder="1" applyAlignment="1">
      <alignment horizontal="left" vertical="center" wrapText="1"/>
    </xf>
    <xf numFmtId="0" fontId="53" fillId="0" borderId="36" xfId="0" applyFont="1" applyBorder="1" applyAlignment="1">
      <alignment horizontal="left" vertical="center" wrapText="1"/>
    </xf>
    <xf numFmtId="0" fontId="53" fillId="0" borderId="37" xfId="0" applyFont="1" applyBorder="1" applyAlignment="1">
      <alignment horizontal="left" vertical="center" wrapText="1"/>
    </xf>
    <xf numFmtId="0" fontId="53" fillId="22" borderId="35" xfId="0" applyFont="1" applyFill="1" applyBorder="1" applyAlignment="1">
      <alignment horizontal="left" vertical="center" wrapText="1"/>
    </xf>
    <xf numFmtId="0" fontId="53" fillId="0" borderId="32" xfId="0" applyFont="1" applyBorder="1" applyAlignment="1">
      <alignment horizontal="left" vertical="center" wrapText="1"/>
    </xf>
    <xf numFmtId="0" fontId="53" fillId="0" borderId="33" xfId="0" applyFont="1" applyBorder="1" applyAlignment="1">
      <alignment horizontal="left" vertical="center" wrapText="1"/>
    </xf>
    <xf numFmtId="0" fontId="53" fillId="0" borderId="34" xfId="0" applyFont="1" applyBorder="1" applyAlignment="1">
      <alignment horizontal="left" vertical="center" wrapText="1"/>
    </xf>
    <xf numFmtId="0" fontId="69" fillId="20" borderId="35" xfId="0" applyFont="1" applyFill="1" applyBorder="1" applyAlignment="1">
      <alignment horizontal="left" vertical="center" wrapText="1"/>
    </xf>
    <xf numFmtId="0" fontId="69" fillId="20" borderId="36" xfId="0" applyFont="1" applyFill="1" applyBorder="1" applyAlignment="1">
      <alignment horizontal="left" vertical="center" wrapText="1"/>
    </xf>
    <xf numFmtId="0" fontId="69" fillId="20" borderId="37" xfId="0" applyFont="1" applyFill="1" applyBorder="1" applyAlignment="1">
      <alignment horizontal="left" vertical="center" wrapText="1"/>
    </xf>
    <xf numFmtId="0" fontId="69" fillId="20" borderId="4" xfId="0" applyFont="1" applyFill="1" applyBorder="1" applyAlignment="1">
      <alignment horizontal="center" vertical="center" wrapText="1"/>
    </xf>
    <xf numFmtId="0" fontId="53" fillId="22" borderId="4" xfId="0" applyFont="1" applyFill="1" applyBorder="1" applyAlignment="1">
      <alignment horizontal="left" vertical="center" wrapText="1"/>
    </xf>
    <xf numFmtId="0" fontId="53" fillId="0" borderId="4" xfId="0" applyFont="1" applyBorder="1" applyAlignment="1">
      <alignment horizontal="left" vertical="center" wrapText="1"/>
    </xf>
    <xf numFmtId="0" fontId="70" fillId="21" borderId="4" xfId="0" applyFont="1" applyFill="1" applyBorder="1" applyAlignment="1">
      <alignment horizontal="left" vertical="center" wrapText="1"/>
    </xf>
    <xf numFmtId="0" fontId="53" fillId="22" borderId="4" xfId="0" applyFont="1" applyFill="1" applyBorder="1" applyAlignment="1">
      <alignment horizontal="center" vertical="center" wrapText="1"/>
    </xf>
    <xf numFmtId="0" fontId="53" fillId="0" borderId="4" xfId="0" applyFont="1" applyBorder="1" applyAlignment="1">
      <alignment horizontal="center" vertical="center" wrapText="1"/>
    </xf>
    <xf numFmtId="0" fontId="0" fillId="0" borderId="0" xfId="0" applyAlignment="1">
      <alignment vertical="top" wrapText="1"/>
    </xf>
    <xf numFmtId="0" fontId="0" fillId="0" borderId="4" xfId="0" applyBorder="1" applyAlignment="1">
      <alignment vertical="center" wrapText="1"/>
    </xf>
    <xf numFmtId="0" fontId="71" fillId="0" borderId="38" xfId="0" applyFont="1" applyBorder="1" applyAlignment="1">
      <alignment horizontal="left" vertical="center" wrapText="1" indent="1"/>
    </xf>
    <xf numFmtId="0" fontId="72" fillId="0" borderId="0" xfId="0" applyFont="1" applyAlignment="1">
      <alignment horizontal="left" vertical="center" wrapText="1" indent="1"/>
    </xf>
    <xf numFmtId="0" fontId="0" fillId="0" borderId="0" xfId="0" applyAlignment="1">
      <alignment horizontal="left" vertical="center" wrapText="1" indent="1"/>
    </xf>
    <xf numFmtId="0" fontId="0" fillId="0" borderId="0" xfId="0" applyAlignment="1">
      <alignment horizontal="left" vertical="center" wrapText="1" indent="2"/>
    </xf>
    <xf numFmtId="0" fontId="72" fillId="0" borderId="0" xfId="0" applyFont="1" applyAlignment="1">
      <alignment horizontal="left" vertical="center" wrapText="1"/>
    </xf>
    <xf numFmtId="0" fontId="73" fillId="0" borderId="39" xfId="0" applyFont="1" applyBorder="1" applyAlignment="1">
      <alignment horizontal="left" vertical="center" wrapText="1" readingOrder="1"/>
    </xf>
    <xf numFmtId="0" fontId="74" fillId="0" borderId="39" xfId="0" applyFont="1" applyBorder="1" applyAlignment="1">
      <alignment horizontal="left" vertical="center" wrapText="1" readingOrder="1"/>
    </xf>
    <xf numFmtId="0" fontId="75" fillId="0" borderId="39" xfId="0" applyFont="1" applyBorder="1" applyAlignment="1">
      <alignment horizontal="left" vertical="center" wrapText="1" readingOrder="1"/>
    </xf>
    <xf numFmtId="0" fontId="0" fillId="0" borderId="0" xfId="0" applyAlignment="1">
      <alignment wrapText="1"/>
    </xf>
    <xf numFmtId="0" fontId="76" fillId="0" borderId="0" xfId="0" applyFont="1" applyAlignment="1">
      <alignment vertical="center"/>
    </xf>
    <xf numFmtId="0" fontId="78" fillId="0" borderId="0" xfId="0" applyFont="1" applyAlignment="1">
      <alignment vertical="center"/>
    </xf>
    <xf numFmtId="0" fontId="79" fillId="0" borderId="0" xfId="0" applyFont="1" applyAlignment="1">
      <alignment vertical="center"/>
    </xf>
    <xf numFmtId="0" fontId="0" fillId="0" borderId="0" xfId="0" applyAlignment="1">
      <alignment horizontal="right" vertical="center" indent="1"/>
    </xf>
    <xf numFmtId="0" fontId="80" fillId="0" borderId="0" xfId="0" applyFont="1" applyAlignment="1">
      <alignment horizontal="right" vertical="center" indent="1"/>
    </xf>
    <xf numFmtId="0" fontId="80" fillId="0" borderId="0" xfId="0" applyFont="1" applyAlignment="1">
      <alignment horizontal="left" vertical="center" indent="1"/>
    </xf>
    <xf numFmtId="0" fontId="80" fillId="0" borderId="0" xfId="0" applyFont="1" applyAlignment="1">
      <alignment vertical="center"/>
    </xf>
    <xf numFmtId="0" fontId="0" fillId="9" borderId="0" xfId="0" applyFill="1"/>
    <xf numFmtId="0" fontId="8" fillId="0" borderId="0" xfId="0" applyFont="1" applyAlignment="1">
      <alignment vertical="center"/>
    </xf>
    <xf numFmtId="0" fontId="81" fillId="0" borderId="0" xfId="0" applyFont="1" applyAlignment="1">
      <alignment vertical="center"/>
    </xf>
    <xf numFmtId="0" fontId="80" fillId="0" borderId="0" xfId="0" applyFont="1" applyAlignment="1">
      <alignment vertical="center" wrapText="1"/>
    </xf>
    <xf numFmtId="0" fontId="0" fillId="0" borderId="0" xfId="0" applyAlignment="1">
      <alignment horizontal="right" vertical="center" wrapText="1" indent="1"/>
    </xf>
    <xf numFmtId="0" fontId="80" fillId="0" borderId="0" xfId="0" applyFont="1" applyAlignment="1">
      <alignment horizontal="left" vertical="center" wrapText="1" indent="1"/>
    </xf>
    <xf numFmtId="0" fontId="77" fillId="0" borderId="0" xfId="0" applyFont="1" applyAlignment="1">
      <alignment vertical="center" wrapText="1"/>
    </xf>
    <xf numFmtId="0" fontId="0" fillId="0" borderId="40" xfId="0" applyBorder="1" applyAlignment="1">
      <alignment vertical="center" wrapText="1"/>
    </xf>
    <xf numFmtId="0" fontId="82" fillId="0" borderId="0" xfId="0" applyFont="1" applyAlignment="1">
      <alignment vertical="center" wrapText="1"/>
    </xf>
    <xf numFmtId="0" fontId="12" fillId="0" borderId="0" xfId="0" applyFont="1" applyAlignment="1">
      <alignment vertical="center" wrapText="1"/>
    </xf>
    <xf numFmtId="0" fontId="83" fillId="0" borderId="0" xfId="0" applyFont="1" applyAlignment="1">
      <alignment vertical="center"/>
    </xf>
    <xf numFmtId="0" fontId="84" fillId="0" borderId="0" xfId="0" applyFont="1" applyAlignment="1">
      <alignment vertical="center"/>
    </xf>
    <xf numFmtId="0" fontId="84" fillId="0" borderId="0" xfId="0" applyFont="1" applyAlignment="1">
      <alignment horizontal="left" vertical="center" wrapText="1" indent="1"/>
    </xf>
    <xf numFmtId="0" fontId="80" fillId="0" borderId="0" xfId="0" applyFont="1" applyAlignment="1">
      <alignment horizontal="left" vertical="center" wrapText="1" indent="2"/>
    </xf>
    <xf numFmtId="0" fontId="87" fillId="0" borderId="0" xfId="0" applyFont="1" applyAlignment="1">
      <alignment vertical="center"/>
    </xf>
    <xf numFmtId="0" fontId="86" fillId="0" borderId="0" xfId="0" applyFont="1" applyAlignment="1">
      <alignment vertical="center"/>
    </xf>
    <xf numFmtId="0" fontId="88" fillId="0" borderId="0" xfId="0" applyFont="1" applyAlignment="1">
      <alignment vertical="center"/>
    </xf>
    <xf numFmtId="0" fontId="89" fillId="0" borderId="41" xfId="0" applyFont="1" applyBorder="1" applyAlignment="1">
      <alignment horizontal="center" wrapText="1"/>
    </xf>
    <xf numFmtId="0" fontId="89" fillId="0" borderId="39" xfId="0" applyFont="1" applyBorder="1" applyAlignment="1">
      <alignment horizontal="center" wrapText="1"/>
    </xf>
    <xf numFmtId="0" fontId="90" fillId="0" borderId="43" xfId="0" applyFont="1" applyBorder="1" applyAlignment="1">
      <alignment vertical="center" wrapText="1"/>
    </xf>
    <xf numFmtId="0" fontId="90" fillId="0" borderId="42" xfId="0" applyFont="1" applyBorder="1" applyAlignment="1">
      <alignment vertical="center" wrapText="1"/>
    </xf>
    <xf numFmtId="0" fontId="90" fillId="0" borderId="45" xfId="0" applyFont="1" applyBorder="1" applyAlignment="1">
      <alignment vertical="center" wrapText="1"/>
    </xf>
    <xf numFmtId="0" fontId="3" fillId="0" borderId="45" xfId="3" applyBorder="1"/>
    <xf numFmtId="0" fontId="0" fillId="0" borderId="44" xfId="0" applyBorder="1" applyAlignment="1">
      <alignment vertical="center" wrapText="1"/>
    </xf>
    <xf numFmtId="0" fontId="90" fillId="0" borderId="44" xfId="0" applyFont="1" applyBorder="1" applyAlignment="1">
      <alignment vertical="center" wrapText="1"/>
    </xf>
    <xf numFmtId="0" fontId="91" fillId="0" borderId="0" xfId="0" applyFont="1" applyAlignment="1">
      <alignment vertical="center" wrapText="1"/>
    </xf>
    <xf numFmtId="0" fontId="92" fillId="0" borderId="0" xfId="0" applyFont="1" applyAlignment="1">
      <alignment horizontal="left" vertical="center" wrapText="1" indent="1"/>
    </xf>
    <xf numFmtId="0" fontId="92" fillId="0" borderId="0" xfId="0" applyFont="1" applyAlignment="1">
      <alignment vertical="center" wrapText="1"/>
    </xf>
    <xf numFmtId="0" fontId="91" fillId="0" borderId="0" xfId="0" applyFont="1" applyAlignment="1">
      <alignment horizontal="left" vertical="center" wrapText="1" indent="1"/>
    </xf>
    <xf numFmtId="0" fontId="91" fillId="0" borderId="0" xfId="0" applyFont="1" applyAlignment="1">
      <alignment horizontal="left" vertical="center" wrapText="1" indent="2"/>
    </xf>
    <xf numFmtId="0" fontId="93" fillId="0" borderId="0" xfId="0" applyFont="1" applyAlignment="1">
      <alignment vertical="center"/>
    </xf>
    <xf numFmtId="0" fontId="94" fillId="0" borderId="0" xfId="0" applyFont="1" applyAlignment="1">
      <alignment vertical="center"/>
    </xf>
    <xf numFmtId="0" fontId="95" fillId="0" borderId="0" xfId="0" applyFont="1" applyAlignment="1">
      <alignment vertical="center" wrapText="1"/>
    </xf>
    <xf numFmtId="0" fontId="91" fillId="0" borderId="40" xfId="0" applyFont="1" applyBorder="1" applyAlignment="1">
      <alignment vertical="center" wrapText="1"/>
    </xf>
    <xf numFmtId="0" fontId="32" fillId="0" borderId="0" xfId="0" applyFont="1" applyAlignment="1">
      <alignment horizontal="center" vertical="center"/>
    </xf>
    <xf numFmtId="0" fontId="0" fillId="0" borderId="0" xfId="0" applyAlignment="1">
      <alignment horizontal="center" vertical="top" wrapText="1"/>
    </xf>
    <xf numFmtId="0" fontId="0" fillId="0" borderId="3" xfId="0" applyBorder="1" applyAlignment="1">
      <alignment vertical="top" wrapText="1"/>
    </xf>
    <xf numFmtId="0" fontId="0" fillId="0" borderId="6" xfId="0" applyBorder="1" applyAlignment="1">
      <alignment vertical="top" wrapText="1"/>
    </xf>
    <xf numFmtId="0" fontId="3" fillId="0" borderId="6" xfId="3" applyBorder="1" applyAlignment="1">
      <alignment vertical="top" wrapText="1"/>
    </xf>
    <xf numFmtId="0" fontId="0" fillId="0" borderId="15" xfId="0" applyBorder="1" applyAlignment="1">
      <alignment vertical="top" wrapText="1"/>
    </xf>
    <xf numFmtId="0" fontId="0" fillId="0" borderId="50" xfId="0" applyBorder="1" applyAlignment="1">
      <alignment vertical="top" wrapText="1"/>
    </xf>
    <xf numFmtId="0" fontId="0" fillId="0" borderId="29" xfId="0" applyBorder="1" applyAlignment="1">
      <alignment vertical="top" wrapText="1"/>
    </xf>
    <xf numFmtId="0" fontId="0" fillId="0" borderId="51" xfId="0" applyBorder="1" applyAlignment="1">
      <alignment vertical="top" wrapText="1"/>
    </xf>
    <xf numFmtId="0" fontId="0" fillId="0" borderId="31" xfId="0" applyBorder="1" applyAlignment="1">
      <alignment vertical="top" wrapText="1"/>
    </xf>
    <xf numFmtId="0" fontId="3" fillId="0" borderId="50" xfId="3" applyBorder="1" applyAlignment="1">
      <alignment vertical="top" wrapText="1"/>
    </xf>
    <xf numFmtId="0" fontId="96" fillId="0" borderId="50" xfId="0" applyFont="1" applyBorder="1" applyAlignment="1">
      <alignment vertical="top" wrapText="1"/>
    </xf>
    <xf numFmtId="0" fontId="13" fillId="23" borderId="31" xfId="0" applyFont="1" applyFill="1" applyBorder="1" applyAlignment="1">
      <alignment horizontal="center" vertical="center" wrapText="1"/>
    </xf>
    <xf numFmtId="0" fontId="13" fillId="23" borderId="49" xfId="0" applyFont="1" applyFill="1" applyBorder="1" applyAlignment="1">
      <alignment horizontal="center" vertical="center" wrapText="1"/>
    </xf>
    <xf numFmtId="0" fontId="13" fillId="23" borderId="47" xfId="0" applyFont="1" applyFill="1" applyBorder="1" applyAlignment="1">
      <alignment horizontal="center" vertical="center" wrapText="1"/>
    </xf>
    <xf numFmtId="0" fontId="13" fillId="23" borderId="48" xfId="0" applyFont="1" applyFill="1" applyBorder="1" applyAlignment="1">
      <alignment horizontal="center" vertical="center" wrapText="1"/>
    </xf>
    <xf numFmtId="0" fontId="0" fillId="12" borderId="50" xfId="0" applyFill="1" applyBorder="1" applyAlignment="1">
      <alignment vertical="top" wrapText="1"/>
    </xf>
    <xf numFmtId="0" fontId="0" fillId="12" borderId="3" xfId="0" applyFill="1" applyBorder="1" applyAlignment="1">
      <alignment vertical="top" wrapText="1"/>
    </xf>
    <xf numFmtId="0" fontId="0" fillId="12" borderId="29" xfId="0" applyFill="1" applyBorder="1" applyAlignment="1">
      <alignment vertical="top" wrapText="1"/>
    </xf>
    <xf numFmtId="0" fontId="3" fillId="12" borderId="29" xfId="3" applyFill="1" applyBorder="1" applyAlignment="1">
      <alignment vertical="top" wrapText="1"/>
    </xf>
    <xf numFmtId="0" fontId="0" fillId="12" borderId="6" xfId="0" applyFill="1" applyBorder="1" applyAlignment="1">
      <alignment vertical="top" wrapText="1"/>
    </xf>
    <xf numFmtId="0" fontId="0" fillId="12" borderId="51" xfId="0" applyFill="1" applyBorder="1" applyAlignment="1">
      <alignment vertical="top" wrapText="1"/>
    </xf>
    <xf numFmtId="0" fontId="0" fillId="12" borderId="15" xfId="0" applyFill="1" applyBorder="1" applyAlignment="1">
      <alignment vertical="top" wrapText="1"/>
    </xf>
    <xf numFmtId="0" fontId="3" fillId="12" borderId="6" xfId="3" applyFill="1" applyBorder="1" applyAlignment="1">
      <alignment vertical="top" wrapText="1"/>
    </xf>
    <xf numFmtId="0" fontId="3" fillId="12" borderId="15" xfId="3" applyFill="1" applyBorder="1" applyAlignment="1">
      <alignment vertical="top" wrapText="1"/>
    </xf>
    <xf numFmtId="0" fontId="13" fillId="23" borderId="22"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1" xfId="0" applyFont="1" applyBorder="1" applyAlignment="1">
      <alignment vertical="top" wrapText="1"/>
    </xf>
    <xf numFmtId="0" fontId="32" fillId="0" borderId="25" xfId="0" applyFont="1" applyBorder="1" applyAlignment="1">
      <alignment horizontal="center" vertical="center"/>
    </xf>
    <xf numFmtId="0" fontId="2" fillId="0" borderId="22" xfId="0" applyFont="1" applyBorder="1" applyAlignment="1">
      <alignment horizontal="center" vertical="center" wrapText="1"/>
    </xf>
    <xf numFmtId="0" fontId="96" fillId="0" borderId="31" xfId="0" applyFont="1" applyBorder="1" applyAlignment="1">
      <alignment vertical="top" wrapText="1"/>
    </xf>
    <xf numFmtId="0" fontId="0" fillId="0" borderId="23" xfId="0" applyBorder="1" applyAlignment="1">
      <alignment vertical="top" wrapText="1"/>
    </xf>
    <xf numFmtId="0" fontId="3" fillId="0" borderId="31" xfId="3" applyBorder="1" applyAlignment="1">
      <alignment vertical="top" wrapText="1"/>
    </xf>
    <xf numFmtId="0" fontId="2" fillId="4" borderId="22" xfId="0" applyFont="1" applyFill="1" applyBorder="1" applyAlignment="1">
      <alignment horizontal="center" vertical="center" wrapText="1"/>
    </xf>
    <xf numFmtId="0" fontId="0" fillId="4" borderId="31" xfId="0" applyFill="1" applyBorder="1" applyAlignment="1">
      <alignment vertical="top" wrapText="1"/>
    </xf>
    <xf numFmtId="0" fontId="3" fillId="4" borderId="31" xfId="3" applyFill="1" applyBorder="1" applyAlignment="1">
      <alignment vertical="top" wrapText="1"/>
    </xf>
    <xf numFmtId="0" fontId="96" fillId="4" borderId="31" xfId="0" applyFont="1" applyFill="1" applyBorder="1" applyAlignment="1">
      <alignment vertical="top" wrapText="1"/>
    </xf>
    <xf numFmtId="0" fontId="0" fillId="4" borderId="23" xfId="0" applyFill="1" applyBorder="1" applyAlignment="1">
      <alignment vertical="top" wrapText="1"/>
    </xf>
    <xf numFmtId="0" fontId="3" fillId="0" borderId="0" xfId="3" applyAlignment="1">
      <alignment horizontal="center" vertical="center" wrapText="1"/>
    </xf>
    <xf numFmtId="0" fontId="0" fillId="12" borderId="10" xfId="0" applyFill="1" applyBorder="1" applyAlignment="1">
      <alignment horizontal="center" vertical="center"/>
    </xf>
    <xf numFmtId="0" fontId="0" fillId="12" borderId="25" xfId="0" applyFill="1" applyBorder="1" applyAlignment="1">
      <alignment vertical="center" wrapText="1"/>
    </xf>
    <xf numFmtId="0" fontId="0" fillId="0" borderId="46" xfId="0" applyBorder="1" applyAlignment="1">
      <alignment vertical="center" wrapText="1"/>
    </xf>
    <xf numFmtId="0" fontId="0" fillId="0" borderId="47" xfId="0" applyBorder="1" applyAlignment="1">
      <alignment vertical="center" wrapText="1"/>
    </xf>
    <xf numFmtId="0" fontId="3" fillId="0" borderId="22" xfId="3" applyBorder="1" applyAlignment="1">
      <alignment vertical="center" wrapText="1"/>
    </xf>
    <xf numFmtId="0" fontId="3" fillId="0" borderId="22" xfId="3" applyBorder="1" applyAlignment="1">
      <alignment horizontal="center" vertical="center" wrapText="1"/>
    </xf>
    <xf numFmtId="0" fontId="0" fillId="0" borderId="48" xfId="0" applyBorder="1" applyAlignment="1">
      <alignment vertical="center" wrapText="1"/>
    </xf>
    <xf numFmtId="0" fontId="0" fillId="0" borderId="31" xfId="0" applyBorder="1"/>
    <xf numFmtId="0" fontId="2" fillId="0" borderId="49" xfId="0" applyFont="1" applyBorder="1" applyAlignment="1">
      <alignment horizontal="center" vertical="center" wrapText="1"/>
    </xf>
    <xf numFmtId="0" fontId="3" fillId="0" borderId="47" xfId="3" applyBorder="1" applyAlignment="1">
      <alignment vertical="top" wrapText="1"/>
    </xf>
    <xf numFmtId="0" fontId="3" fillId="0" borderId="47" xfId="3" applyBorder="1" applyAlignment="1">
      <alignment horizontal="center" vertical="center" wrapText="1"/>
    </xf>
    <xf numFmtId="0" fontId="2" fillId="0" borderId="47" xfId="0" applyFont="1" applyBorder="1" applyAlignment="1">
      <alignment horizontal="center" vertical="center" wrapText="1"/>
    </xf>
    <xf numFmtId="0" fontId="3" fillId="0" borderId="47" xfId="3" applyBorder="1" applyAlignment="1">
      <alignment vertical="center" wrapText="1"/>
    </xf>
    <xf numFmtId="0" fontId="0" fillId="4" borderId="53" xfId="0" applyFill="1" applyBorder="1" applyAlignment="1">
      <alignment vertical="center" wrapText="1"/>
    </xf>
    <xf numFmtId="0" fontId="3" fillId="4" borderId="2" xfId="3" applyFill="1" applyBorder="1" applyAlignment="1">
      <alignment vertical="top" wrapText="1"/>
    </xf>
    <xf numFmtId="0" fontId="3" fillId="4" borderId="53" xfId="3" applyFill="1" applyBorder="1" applyAlignment="1">
      <alignment horizontal="center" vertical="center" wrapText="1"/>
    </xf>
    <xf numFmtId="0" fontId="0" fillId="4" borderId="54" xfId="0" applyFill="1" applyBorder="1" applyAlignment="1">
      <alignment vertical="center" wrapText="1"/>
    </xf>
    <xf numFmtId="0" fontId="2" fillId="4" borderId="56" xfId="0" applyFont="1" applyFill="1" applyBorder="1" applyAlignment="1">
      <alignment horizontal="center" vertical="center" wrapText="1"/>
    </xf>
    <xf numFmtId="0" fontId="0" fillId="4" borderId="56" xfId="0" applyFill="1" applyBorder="1" applyAlignment="1">
      <alignment vertical="center" wrapText="1"/>
    </xf>
    <xf numFmtId="0" fontId="3" fillId="4" borderId="56" xfId="3" applyFill="1" applyBorder="1" applyAlignment="1">
      <alignment vertical="center" wrapText="1"/>
    </xf>
    <xf numFmtId="0" fontId="0" fillId="4" borderId="57" xfId="0" applyFill="1" applyBorder="1" applyAlignment="1">
      <alignment vertical="center" wrapText="1"/>
    </xf>
    <xf numFmtId="0" fontId="0" fillId="9" borderId="4" xfId="0" applyFill="1" applyBorder="1" applyAlignment="1">
      <alignment vertical="center" wrapText="1"/>
    </xf>
    <xf numFmtId="0" fontId="2" fillId="9" borderId="55" xfId="0" applyFont="1" applyFill="1" applyBorder="1" applyAlignment="1">
      <alignment horizontal="center" vertical="center" wrapText="1"/>
    </xf>
    <xf numFmtId="0" fontId="97" fillId="0" borderId="0" xfId="0" applyFont="1" applyAlignment="1">
      <alignment vertical="center" wrapText="1"/>
    </xf>
    <xf numFmtId="0" fontId="98" fillId="0" borderId="0" xfId="0" applyFont="1" applyAlignment="1">
      <alignment vertical="center" wrapText="1"/>
    </xf>
    <xf numFmtId="0" fontId="99" fillId="0" borderId="0" xfId="0" applyFont="1" applyAlignment="1">
      <alignment horizontal="left" vertical="center" wrapText="1" indent="1"/>
    </xf>
    <xf numFmtId="0" fontId="100" fillId="0" borderId="0" xfId="0" applyFont="1" applyAlignment="1">
      <alignment horizontal="right" vertical="center" wrapText="1"/>
    </xf>
    <xf numFmtId="0" fontId="101" fillId="0" borderId="0" xfId="0" applyFont="1" applyAlignment="1">
      <alignment vertical="center" wrapText="1"/>
    </xf>
    <xf numFmtId="0" fontId="5" fillId="0" borderId="31" xfId="0" applyFont="1" applyBorder="1" applyAlignment="1">
      <alignment horizontal="center" vertical="center" wrapText="1"/>
    </xf>
    <xf numFmtId="0" fontId="65" fillId="19" borderId="0" xfId="0" applyFont="1" applyFill="1" applyAlignment="1">
      <alignment horizontal="center" vertical="center" wrapText="1"/>
    </xf>
    <xf numFmtId="0" fontId="5" fillId="0" borderId="5" xfId="0" applyFont="1" applyBorder="1" applyAlignment="1">
      <alignment horizontal="centerContinuous" vertical="center" wrapText="1"/>
    </xf>
    <xf numFmtId="0" fontId="5" fillId="0" borderId="0" xfId="0" applyFont="1" applyAlignment="1">
      <alignment horizontal="centerContinuous" vertical="center" wrapText="1"/>
    </xf>
    <xf numFmtId="0" fontId="5" fillId="0" borderId="6" xfId="0" applyFont="1" applyBorder="1" applyAlignment="1">
      <alignment horizontal="centerContinuous" vertical="center" wrapText="1"/>
    </xf>
    <xf numFmtId="0" fontId="102" fillId="0" borderId="5" xfId="0" applyFont="1" applyBorder="1" applyAlignment="1">
      <alignment horizontal="centerContinuous" vertical="center" wrapText="1"/>
    </xf>
    <xf numFmtId="0" fontId="102" fillId="0" borderId="0" xfId="0" applyFont="1" applyAlignment="1">
      <alignment horizontal="centerContinuous" vertical="center" wrapText="1"/>
    </xf>
    <xf numFmtId="0" fontId="102" fillId="0" borderId="6" xfId="0" applyFont="1" applyBorder="1" applyAlignment="1">
      <alignment horizontal="centerContinuous" vertical="center" wrapText="1"/>
    </xf>
    <xf numFmtId="0" fontId="68" fillId="0" borderId="0" xfId="0" applyFont="1" applyAlignment="1">
      <alignment vertical="center"/>
    </xf>
    <xf numFmtId="0" fontId="20" fillId="5" borderId="19" xfId="0" applyFont="1" applyFill="1" applyBorder="1" applyAlignment="1">
      <alignment horizontal="center" vertical="center" wrapText="1"/>
    </xf>
    <xf numFmtId="9" fontId="20" fillId="5" borderId="20" xfId="0" applyNumberFormat="1" applyFont="1" applyFill="1" applyBorder="1" applyAlignment="1">
      <alignment horizontal="center" vertical="center" wrapText="1"/>
    </xf>
    <xf numFmtId="9" fontId="20" fillId="5" borderId="18" xfId="0" applyNumberFormat="1" applyFont="1" applyFill="1" applyBorder="1" applyAlignment="1">
      <alignment horizontal="center" vertical="center" wrapText="1"/>
    </xf>
    <xf numFmtId="0" fontId="20" fillId="24" borderId="18" xfId="0" applyFont="1" applyFill="1" applyBorder="1" applyAlignment="1">
      <alignment horizontal="center" vertical="center" wrapText="1"/>
    </xf>
    <xf numFmtId="0" fontId="20" fillId="24" borderId="21" xfId="0" applyFont="1" applyFill="1" applyBorder="1" applyAlignment="1">
      <alignment horizontal="center" vertical="center" wrapText="1"/>
    </xf>
    <xf numFmtId="0" fontId="13" fillId="0" borderId="17" xfId="0" applyFont="1" applyBorder="1" applyAlignment="1">
      <alignment horizontal="center" vertical="center" wrapText="1"/>
    </xf>
    <xf numFmtId="0" fontId="0" fillId="0" borderId="17" xfId="0" applyBorder="1"/>
    <xf numFmtId="0" fontId="10" fillId="0" borderId="4" xfId="0" applyFont="1" applyBorder="1" applyAlignment="1">
      <alignment horizontal="left" vertical="center"/>
    </xf>
    <xf numFmtId="0" fontId="0" fillId="0" borderId="28" xfId="0" applyBorder="1"/>
    <xf numFmtId="0" fontId="0" fillId="0" borderId="26" xfId="0" applyBorder="1"/>
    <xf numFmtId="0" fontId="11" fillId="11" borderId="4" xfId="0" applyFont="1" applyFill="1" applyBorder="1" applyAlignment="1">
      <alignment horizontal="left" vertical="center" wrapText="1"/>
    </xf>
    <xf numFmtId="0" fontId="28" fillId="0" borderId="4" xfId="0" applyFont="1" applyBorder="1" applyAlignment="1">
      <alignment horizontal="left" vertical="center" wrapText="1"/>
    </xf>
    <xf numFmtId="0" fontId="38" fillId="0" borderId="17" xfId="1" applyNumberFormat="1" applyFont="1" applyBorder="1" applyAlignment="1">
      <alignment horizontal="center" vertical="center" wrapText="1"/>
    </xf>
    <xf numFmtId="0" fontId="38" fillId="11" borderId="4" xfId="1" applyNumberFormat="1" applyFont="1" applyFill="1" applyBorder="1" applyAlignment="1">
      <alignment horizontal="center" vertical="center" wrapText="1"/>
    </xf>
    <xf numFmtId="10" fontId="12" fillId="10" borderId="4" xfId="2" applyNumberFormat="1" applyFont="1" applyFill="1" applyBorder="1" applyAlignment="1">
      <alignment horizontal="center" vertical="center" wrapText="1"/>
    </xf>
    <xf numFmtId="0" fontId="16" fillId="11" borderId="4" xfId="0" applyFont="1" applyFill="1" applyBorder="1" applyAlignment="1">
      <alignment horizontal="center" vertical="center" wrapText="1"/>
    </xf>
    <xf numFmtId="0" fontId="38" fillId="11" borderId="17" xfId="1" applyNumberFormat="1" applyFont="1" applyFill="1" applyBorder="1" applyAlignment="1">
      <alignment horizontal="center" vertical="center" wrapText="1"/>
    </xf>
    <xf numFmtId="0" fontId="16" fillId="0" borderId="4" xfId="0" applyFont="1" applyBorder="1" applyAlignment="1">
      <alignment horizontal="center" vertical="center" wrapText="1"/>
    </xf>
    <xf numFmtId="10" fontId="15" fillId="10" borderId="4" xfId="2" applyNumberFormat="1" applyFont="1" applyFill="1" applyBorder="1" applyAlignment="1">
      <alignment horizontal="center" vertical="top" wrapText="1"/>
    </xf>
    <xf numFmtId="0" fontId="13" fillId="0" borderId="4" xfId="0" applyFont="1" applyBorder="1" applyAlignment="1">
      <alignment horizontal="left" vertical="center" wrapText="1"/>
    </xf>
    <xf numFmtId="0" fontId="38" fillId="0" borderId="4" xfId="1" applyNumberFormat="1" applyFont="1" applyBorder="1" applyAlignment="1">
      <alignment horizontal="center" vertical="center" wrapText="1"/>
    </xf>
    <xf numFmtId="0" fontId="10" fillId="0" borderId="4" xfId="0" applyFont="1" applyBorder="1" applyAlignment="1">
      <alignment horizontal="left" vertical="center" wrapText="1"/>
    </xf>
    <xf numFmtId="0" fontId="11" fillId="0" borderId="4" xfId="0" applyFont="1" applyBorder="1" applyAlignment="1">
      <alignment horizontal="left" vertical="center" wrapText="1"/>
    </xf>
    <xf numFmtId="0" fontId="32" fillId="12" borderId="4" xfId="1" applyNumberFormat="1" applyFont="1" applyFill="1" applyBorder="1" applyAlignment="1">
      <alignment horizontal="center" vertical="center" wrapText="1"/>
    </xf>
    <xf numFmtId="0" fontId="0" fillId="0" borderId="10" xfId="0" applyBorder="1"/>
    <xf numFmtId="0" fontId="0" fillId="0" borderId="11" xfId="0" applyBorder="1"/>
    <xf numFmtId="0" fontId="0" fillId="0" borderId="12" xfId="0" applyBorder="1"/>
    <xf numFmtId="10" fontId="15" fillId="10" borderId="4" xfId="2" applyNumberFormat="1" applyFont="1" applyFill="1" applyBorder="1" applyAlignment="1">
      <alignment horizontal="center" vertical="center" wrapText="1"/>
    </xf>
    <xf numFmtId="0" fontId="28" fillId="0" borderId="0" xfId="0" applyFont="1" applyAlignment="1">
      <alignment horizontal="left" vertical="center" wrapText="1"/>
    </xf>
    <xf numFmtId="0" fontId="0" fillId="0" borderId="0" xfId="0" applyAlignment="1">
      <alignment horizontal="center" vertical="center" wrapText="1"/>
    </xf>
    <xf numFmtId="9" fontId="15" fillId="10" borderId="4" xfId="2" applyFont="1" applyFill="1" applyBorder="1" applyAlignment="1">
      <alignment horizontal="center" vertical="center" wrapText="1"/>
    </xf>
    <xf numFmtId="0" fontId="0" fillId="0" borderId="0" xfId="0" applyAlignment="1">
      <alignment vertical="top" wrapText="1"/>
    </xf>
    <xf numFmtId="0" fontId="27" fillId="0" borderId="4" xfId="0" applyFont="1" applyBorder="1" applyAlignment="1">
      <alignment horizontal="left" vertical="center"/>
    </xf>
    <xf numFmtId="10" fontId="2" fillId="0" borderId="4" xfId="2" applyNumberFormat="1" applyFont="1" applyBorder="1" applyAlignment="1">
      <alignment horizontal="center" vertical="center" wrapText="1"/>
    </xf>
    <xf numFmtId="0" fontId="27" fillId="0" borderId="4" xfId="0" applyFont="1" applyBorder="1" applyAlignment="1">
      <alignment horizontal="left" vertical="center" wrapText="1"/>
    </xf>
    <xf numFmtId="0" fontId="4" fillId="0" borderId="17" xfId="0" applyFont="1" applyBorder="1" applyAlignment="1">
      <alignment horizontal="center" vertical="center" wrapText="1"/>
    </xf>
    <xf numFmtId="0" fontId="2" fillId="0" borderId="0" xfId="0" applyFont="1" applyAlignment="1">
      <alignment vertical="top" wrapText="1"/>
    </xf>
    <xf numFmtId="0" fontId="2" fillId="3" borderId="4" xfId="0" applyFont="1" applyFill="1" applyBorder="1" applyAlignment="1">
      <alignment horizontal="center" vertical="center" wrapText="1"/>
    </xf>
    <xf numFmtId="0" fontId="32" fillId="0" borderId="4" xfId="1" applyNumberFormat="1" applyFont="1" applyBorder="1" applyAlignment="1">
      <alignment horizontal="center" vertical="center" wrapText="1"/>
    </xf>
    <xf numFmtId="0" fontId="0" fillId="0" borderId="30" xfId="0" applyBorder="1"/>
    <xf numFmtId="0" fontId="4" fillId="0" borderId="4" xfId="0" applyFont="1" applyBorder="1" applyAlignment="1">
      <alignment horizontal="center" vertical="center" wrapText="1"/>
    </xf>
    <xf numFmtId="0" fontId="13" fillId="0" borderId="17" xfId="1" applyNumberFormat="1" applyFont="1" applyBorder="1" applyAlignment="1">
      <alignment horizontal="center" vertical="center" wrapText="1"/>
    </xf>
    <xf numFmtId="0" fontId="38" fillId="11" borderId="4" xfId="0" applyFont="1" applyFill="1" applyBorder="1" applyAlignment="1">
      <alignment horizontal="center" vertical="center" wrapText="1"/>
    </xf>
    <xf numFmtId="0" fontId="2" fillId="0" borderId="4" xfId="0" applyFont="1" applyBorder="1" applyAlignment="1">
      <alignment horizontal="center" vertical="center" wrapText="1"/>
    </xf>
    <xf numFmtId="10" fontId="18" fillId="0" borderId="4" xfId="2" applyNumberFormat="1" applyFont="1" applyBorder="1" applyAlignment="1">
      <alignment horizontal="center" vertical="center" wrapText="1"/>
    </xf>
    <xf numFmtId="165" fontId="13" fillId="0" borderId="17" xfId="0" applyNumberFormat="1" applyFont="1" applyBorder="1" applyAlignment="1">
      <alignment horizontal="center" vertical="center" wrapText="1"/>
    </xf>
    <xf numFmtId="0" fontId="31" fillId="0" borderId="4" xfId="0" applyFont="1" applyBorder="1" applyAlignment="1">
      <alignment horizontal="left" vertical="center" wrapText="1"/>
    </xf>
    <xf numFmtId="0" fontId="31" fillId="11" borderId="4" xfId="0" applyFont="1" applyFill="1" applyBorder="1" applyAlignment="1">
      <alignment horizontal="left" vertical="center" wrapText="1"/>
    </xf>
    <xf numFmtId="0" fontId="0" fillId="9" borderId="4" xfId="0" applyFill="1" applyBorder="1" applyAlignment="1">
      <alignment horizontal="center" vertical="center"/>
    </xf>
    <xf numFmtId="0" fontId="29" fillId="0" borderId="4" xfId="0" applyFont="1" applyBorder="1" applyAlignment="1">
      <alignment horizontal="left" vertical="center"/>
    </xf>
    <xf numFmtId="0" fontId="13" fillId="10" borderId="4" xfId="0" applyFont="1" applyFill="1" applyBorder="1" applyAlignment="1">
      <alignment horizontal="center" vertical="center" wrapText="1"/>
    </xf>
    <xf numFmtId="0" fontId="12" fillId="0" borderId="0" xfId="0" applyFont="1" applyAlignment="1">
      <alignment horizontal="center" vertical="top" wrapText="1"/>
    </xf>
    <xf numFmtId="0" fontId="13" fillId="0" borderId="4" xfId="0" applyFont="1" applyBorder="1" applyAlignment="1">
      <alignment horizontal="left" vertical="center"/>
    </xf>
    <xf numFmtId="0" fontId="4" fillId="0" borderId="0" xfId="0" applyFont="1" applyAlignment="1">
      <alignment horizontal="left" vertical="top" wrapText="1"/>
    </xf>
    <xf numFmtId="0" fontId="0" fillId="0" borderId="0" xfId="0"/>
    <xf numFmtId="0" fontId="0" fillId="8" borderId="0" xfId="0" applyFill="1"/>
    <xf numFmtId="0" fontId="2" fillId="0" borderId="4" xfId="0" applyFont="1" applyBorder="1" applyAlignment="1">
      <alignment horizontal="center"/>
    </xf>
    <xf numFmtId="0" fontId="5" fillId="0" borderId="29" xfId="0" applyFont="1" applyBorder="1" applyAlignment="1">
      <alignment horizontal="center" vertical="center" wrapText="1"/>
    </xf>
    <xf numFmtId="0" fontId="0" fillId="0" borderId="6" xfId="0" applyBorder="1"/>
    <xf numFmtId="0" fontId="15" fillId="0" borderId="4" xfId="0" applyFont="1" applyBorder="1" applyAlignment="1">
      <alignment horizontal="center" vertical="center"/>
    </xf>
    <xf numFmtId="166" fontId="10" fillId="0" borderId="4" xfId="0" applyNumberFormat="1" applyFont="1" applyBorder="1" applyAlignment="1">
      <alignment horizontal="left" vertical="center" wrapText="1"/>
    </xf>
    <xf numFmtId="10" fontId="25" fillId="9" borderId="4" xfId="1" applyNumberFormat="1" applyFont="1" applyFill="1" applyBorder="1" applyAlignment="1">
      <alignment horizontal="center" vertical="center"/>
    </xf>
    <xf numFmtId="165" fontId="25" fillId="9" borderId="4" xfId="0" applyNumberFormat="1" applyFont="1" applyFill="1" applyBorder="1" applyAlignment="1">
      <alignment horizontal="center" vertical="center" wrapText="1"/>
    </xf>
    <xf numFmtId="10" fontId="0" fillId="0" borderId="4" xfId="2" applyNumberFormat="1" applyFont="1" applyBorder="1" applyAlignment="1">
      <alignment horizontal="center" vertical="center" wrapText="1"/>
    </xf>
    <xf numFmtId="10" fontId="25" fillId="9" borderId="4" xfId="2" applyNumberFormat="1" applyFont="1" applyFill="1" applyBorder="1" applyAlignment="1">
      <alignment horizontal="center" vertical="center"/>
    </xf>
    <xf numFmtId="164" fontId="25" fillId="9" borderId="4" xfId="0" applyNumberFormat="1" applyFont="1" applyFill="1" applyBorder="1" applyAlignment="1">
      <alignment horizontal="center" vertical="center" wrapText="1"/>
    </xf>
    <xf numFmtId="0" fontId="25" fillId="9" borderId="4" xfId="0" applyFont="1" applyFill="1" applyBorder="1" applyAlignment="1">
      <alignment horizontal="center" vertical="center" wrapText="1"/>
    </xf>
    <xf numFmtId="10" fontId="13" fillId="10" borderId="4" xfId="2" applyNumberFormat="1" applyFont="1" applyFill="1" applyBorder="1" applyAlignment="1">
      <alignment horizontal="center" vertical="top" wrapText="1"/>
    </xf>
    <xf numFmtId="0" fontId="4" fillId="10" borderId="4" xfId="0" applyFont="1" applyFill="1" applyBorder="1" applyAlignment="1">
      <alignment horizontal="center" vertical="center" wrapText="1"/>
    </xf>
    <xf numFmtId="10" fontId="6" fillId="3" borderId="4" xfId="2" applyNumberFormat="1" applyFont="1" applyFill="1" applyBorder="1" applyAlignment="1">
      <alignment horizontal="center" vertical="center" wrapText="1"/>
    </xf>
    <xf numFmtId="0" fontId="4" fillId="2" borderId="31" xfId="0" applyFont="1" applyFill="1" applyBorder="1" applyAlignment="1">
      <alignment horizontal="center" vertical="center" wrapText="1"/>
    </xf>
    <xf numFmtId="0" fontId="0" fillId="0" borderId="22" xfId="0" applyBorder="1"/>
    <xf numFmtId="0" fontId="0" fillId="0" borderId="23" xfId="0" applyBorder="1"/>
    <xf numFmtId="0" fontId="10" fillId="9" borderId="4" xfId="0" applyFont="1" applyFill="1" applyBorder="1" applyAlignment="1">
      <alignment horizontal="left" vertical="center"/>
    </xf>
    <xf numFmtId="165" fontId="25" fillId="9" borderId="4" xfId="1" applyNumberFormat="1" applyFont="1" applyFill="1" applyBorder="1" applyAlignment="1">
      <alignment horizontal="center" vertical="center" wrapText="1"/>
    </xf>
    <xf numFmtId="0" fontId="2" fillId="9" borderId="4" xfId="0" applyFont="1" applyFill="1" applyBorder="1" applyAlignment="1">
      <alignment horizontal="center" vertical="center" wrapText="1"/>
    </xf>
    <xf numFmtId="165" fontId="0" fillId="9" borderId="4" xfId="0" applyNumberFormat="1" applyFill="1" applyBorder="1" applyAlignment="1">
      <alignment horizontal="center" vertical="center"/>
    </xf>
    <xf numFmtId="0" fontId="4" fillId="16" borderId="31" xfId="0" applyFont="1" applyFill="1" applyBorder="1" applyAlignment="1">
      <alignment horizontal="center" vertical="center" wrapText="1"/>
    </xf>
    <xf numFmtId="0" fontId="7" fillId="0" borderId="24" xfId="0" applyFont="1" applyBorder="1" applyAlignment="1">
      <alignment horizontal="center" vertical="center" wrapText="1"/>
    </xf>
    <xf numFmtId="0" fontId="0" fillId="0" borderId="24" xfId="0" applyBorder="1"/>
    <xf numFmtId="0" fontId="27" fillId="0" borderId="4" xfId="0" applyFont="1" applyBorder="1" applyAlignment="1">
      <alignment horizontal="center" vertical="center"/>
    </xf>
    <xf numFmtId="0" fontId="13" fillId="0" borderId="0" xfId="0" applyFont="1" applyAlignment="1">
      <alignment horizontal="center" vertical="center" wrapText="1"/>
    </xf>
    <xf numFmtId="165" fontId="4" fillId="0" borderId="0" xfId="1" applyNumberFormat="1" applyFont="1" applyAlignment="1">
      <alignment horizontal="center" vertical="center" wrapText="1"/>
    </xf>
    <xf numFmtId="9" fontId="25" fillId="9" borderId="4" xfId="2" applyFont="1" applyFill="1" applyBorder="1" applyAlignment="1">
      <alignment horizontal="center" vertical="center"/>
    </xf>
    <xf numFmtId="0" fontId="13" fillId="10" borderId="4" xfId="0" applyFont="1" applyFill="1" applyBorder="1" applyAlignment="1">
      <alignment horizontal="center" vertical="top" wrapText="1"/>
    </xf>
    <xf numFmtId="0" fontId="4" fillId="13" borderId="31" xfId="0" applyFont="1" applyFill="1" applyBorder="1" applyAlignment="1">
      <alignment horizontal="center" vertical="center" wrapText="1"/>
    </xf>
    <xf numFmtId="0" fontId="0" fillId="0" borderId="24" xfId="0" applyBorder="1" applyAlignment="1">
      <alignment horizontal="center" vertical="center" wrapText="1"/>
    </xf>
    <xf numFmtId="0" fontId="12" fillId="0" borderId="4" xfId="0" applyFont="1" applyBorder="1" applyAlignment="1">
      <alignment horizontal="center" vertical="center" wrapText="1"/>
    </xf>
    <xf numFmtId="9" fontId="25" fillId="0" borderId="0" xfId="2" applyFont="1" applyAlignment="1">
      <alignment horizontal="center" vertical="center"/>
    </xf>
    <xf numFmtId="10" fontId="0" fillId="9" borderId="4" xfId="2" applyNumberFormat="1" applyFont="1" applyFill="1" applyBorder="1" applyAlignment="1">
      <alignment horizontal="center" vertical="center" wrapText="1"/>
    </xf>
    <xf numFmtId="166" fontId="0" fillId="9" borderId="4" xfId="0" applyNumberFormat="1" applyFill="1" applyBorder="1" applyAlignment="1">
      <alignment horizontal="center" vertical="center" wrapText="1"/>
    </xf>
    <xf numFmtId="0" fontId="4" fillId="8" borderId="31" xfId="0" applyFont="1" applyFill="1" applyBorder="1" applyAlignment="1">
      <alignment horizontal="center" vertical="center" wrapText="1"/>
    </xf>
    <xf numFmtId="0" fontId="15" fillId="10" borderId="4" xfId="0" applyFont="1" applyFill="1" applyBorder="1" applyAlignment="1">
      <alignment horizontal="center" vertical="top" wrapText="1"/>
    </xf>
    <xf numFmtId="9" fontId="0" fillId="0" borderId="4" xfId="0" applyNumberFormat="1" applyBorder="1" applyAlignment="1">
      <alignment horizontal="center" vertical="center" wrapText="1"/>
    </xf>
    <xf numFmtId="0" fontId="2" fillId="0" borderId="17" xfId="0" applyFont="1" applyBorder="1" applyAlignment="1">
      <alignment horizontal="center" vertical="center" wrapText="1"/>
    </xf>
    <xf numFmtId="0" fontId="4" fillId="9" borderId="31" xfId="0" applyFont="1" applyFill="1" applyBorder="1" applyAlignment="1">
      <alignment horizontal="center" vertical="center" wrapText="1"/>
    </xf>
    <xf numFmtId="0" fontId="4" fillId="0" borderId="0" xfId="0" applyFont="1"/>
    <xf numFmtId="0" fontId="7" fillId="0" borderId="0" xfId="0" applyFont="1"/>
    <xf numFmtId="0" fontId="25" fillId="0" borderId="0" xfId="0" applyFont="1"/>
    <xf numFmtId="0" fontId="25" fillId="3" borderId="0" xfId="0" applyFont="1" applyFill="1"/>
    <xf numFmtId="0" fontId="4" fillId="14" borderId="31" xfId="0" applyFont="1" applyFill="1" applyBorder="1" applyAlignment="1">
      <alignment horizontal="center" vertical="center" wrapText="1"/>
    </xf>
    <xf numFmtId="0" fontId="25" fillId="0" borderId="4" xfId="0" applyFont="1" applyBorder="1" applyAlignment="1">
      <alignment horizontal="center" vertical="center"/>
    </xf>
    <xf numFmtId="0" fontId="45" fillId="15" borderId="31" xfId="0" applyFont="1" applyFill="1" applyBorder="1" applyAlignment="1">
      <alignment horizontal="center" vertical="center" wrapText="1"/>
    </xf>
    <xf numFmtId="165" fontId="25" fillId="9" borderId="4" xfId="0" applyNumberFormat="1" applyFont="1" applyFill="1" applyBorder="1" applyAlignment="1">
      <alignment horizontal="center" vertical="center"/>
    </xf>
    <xf numFmtId="10" fontId="1" fillId="9" borderId="4" xfId="2" applyNumberFormat="1" applyFont="1" applyFill="1" applyBorder="1" applyAlignment="1">
      <alignment horizontal="center" vertical="center" wrapText="1"/>
    </xf>
    <xf numFmtId="0" fontId="52" fillId="9" borderId="0" xfId="0" applyFont="1" applyFill="1" applyAlignment="1">
      <alignment horizontal="left" vertical="center"/>
    </xf>
    <xf numFmtId="0" fontId="53" fillId="0" borderId="0" xfId="0" applyFont="1" applyAlignment="1">
      <alignment horizontal="left"/>
    </xf>
    <xf numFmtId="0" fontId="52" fillId="3" borderId="0" xfId="0" applyFont="1" applyFill="1" applyAlignment="1">
      <alignment horizontal="left" vertical="center"/>
    </xf>
    <xf numFmtId="0" fontId="53" fillId="4" borderId="0" xfId="0" applyFont="1" applyFill="1" applyAlignment="1">
      <alignment horizontal="left" vertical="center"/>
    </xf>
    <xf numFmtId="0" fontId="53" fillId="0" borderId="0" xfId="0" applyFont="1" applyAlignment="1">
      <alignment horizontal="left" vertical="center" wrapText="1"/>
    </xf>
    <xf numFmtId="0" fontId="65" fillId="19" borderId="0" xfId="0" applyFont="1" applyFill="1" applyAlignment="1">
      <alignment horizontal="center" vertical="center" wrapText="1"/>
    </xf>
    <xf numFmtId="0" fontId="54" fillId="3" borderId="0" xfId="0" applyFont="1" applyFill="1" applyAlignment="1">
      <alignment horizontal="left" vertical="center"/>
    </xf>
    <xf numFmtId="0" fontId="59" fillId="9" borderId="0" xfId="0" applyFont="1" applyFill="1" applyAlignment="1">
      <alignment horizontal="left" vertical="center"/>
    </xf>
    <xf numFmtId="0" fontId="68" fillId="18" borderId="0" xfId="0" applyFont="1" applyFill="1" applyAlignment="1">
      <alignment horizontal="center" vertical="center" wrapText="1"/>
    </xf>
    <xf numFmtId="0" fontId="53" fillId="18" borderId="0" xfId="0" applyFont="1" applyFill="1" applyAlignment="1">
      <alignment horizontal="left" vertical="center" wrapText="1"/>
    </xf>
    <xf numFmtId="0" fontId="66" fillId="0" borderId="0" xfId="0" applyFont="1" applyAlignment="1">
      <alignment horizontal="left" vertical="center"/>
    </xf>
    <xf numFmtId="0" fontId="55" fillId="18" borderId="0" xfId="0" applyFont="1" applyFill="1" applyAlignment="1">
      <alignment horizontal="left" vertical="center"/>
    </xf>
    <xf numFmtId="43" fontId="65" fillId="0" borderId="0" xfId="0" applyNumberFormat="1" applyFont="1" applyAlignment="1">
      <alignment horizontal="center" vertical="center" wrapText="1"/>
    </xf>
    <xf numFmtId="0" fontId="55" fillId="18" borderId="0" xfId="0" applyFont="1" applyFill="1" applyAlignment="1">
      <alignment horizontal="left" vertical="center" wrapText="1"/>
    </xf>
    <xf numFmtId="0" fontId="67" fillId="0" borderId="0" xfId="0" applyFont="1" applyAlignment="1">
      <alignment horizontal="left" vertical="top" wrapText="1"/>
    </xf>
    <xf numFmtId="0" fontId="12" fillId="4" borderId="0" xfId="0" applyFont="1" applyFill="1" applyAlignment="1">
      <alignment horizontal="left" vertical="center" wrapText="1"/>
    </xf>
    <xf numFmtId="0" fontId="85" fillId="0" borderId="39" xfId="0" applyFont="1" applyBorder="1" applyAlignment="1">
      <alignment vertical="center" wrapText="1"/>
    </xf>
    <xf numFmtId="0" fontId="0" fillId="0" borderId="45" xfId="0" applyBorder="1"/>
    <xf numFmtId="0" fontId="0" fillId="0" borderId="44" xfId="0" applyBorder="1"/>
    <xf numFmtId="0" fontId="90" fillId="0" borderId="39" xfId="0" applyFont="1" applyBorder="1" applyAlignment="1">
      <alignment vertical="center" wrapText="1"/>
    </xf>
    <xf numFmtId="0" fontId="89" fillId="0" borderId="39" xfId="0" applyFont="1" applyBorder="1" applyAlignment="1">
      <alignment vertical="center" wrapText="1"/>
    </xf>
    <xf numFmtId="0" fontId="3" fillId="0" borderId="39" xfId="3" applyBorder="1"/>
    <xf numFmtId="0" fontId="2" fillId="9" borderId="22" xfId="0" applyFont="1" applyFill="1" applyBorder="1" applyAlignment="1">
      <alignment horizontal="center" vertical="center" wrapText="1"/>
    </xf>
    <xf numFmtId="0" fontId="0" fillId="0" borderId="0" xfId="0" applyAlignment="1">
      <alignment horizontal="center" vertical="top" wrapText="1"/>
    </xf>
    <xf numFmtId="0" fontId="0" fillId="0" borderId="14" xfId="0" applyBorder="1"/>
    <xf numFmtId="0" fontId="96" fillId="12" borderId="31" xfId="0" applyFont="1" applyFill="1" applyBorder="1" applyAlignment="1">
      <alignment vertical="top" wrapText="1"/>
    </xf>
    <xf numFmtId="0" fontId="0" fillId="0" borderId="29" xfId="0" applyBorder="1"/>
    <xf numFmtId="0" fontId="0" fillId="0" borderId="51" xfId="0" applyBorder="1"/>
    <xf numFmtId="0" fontId="3" fillId="12" borderId="31" xfId="3" applyFill="1" applyBorder="1" applyAlignment="1">
      <alignment vertical="top" wrapText="1"/>
    </xf>
    <xf numFmtId="0" fontId="96" fillId="0" borderId="31" xfId="0" applyFont="1" applyBorder="1" applyAlignment="1">
      <alignment vertical="top" wrapText="1"/>
    </xf>
    <xf numFmtId="0" fontId="0" fillId="0" borderId="31" xfId="0" applyBorder="1" applyAlignment="1">
      <alignment vertical="top" wrapText="1"/>
    </xf>
    <xf numFmtId="0" fontId="0" fillId="12" borderId="31" xfId="0" applyFill="1" applyBorder="1" applyAlignment="1">
      <alignment vertical="top" wrapText="1"/>
    </xf>
    <xf numFmtId="0" fontId="3" fillId="0" borderId="31" xfId="3" applyBorder="1" applyAlignment="1">
      <alignment vertical="top" wrapText="1"/>
    </xf>
    <xf numFmtId="0" fontId="2" fillId="12" borderId="22" xfId="0" applyFont="1" applyFill="1" applyBorder="1" applyAlignment="1">
      <alignment horizontal="center" vertical="center" wrapText="1"/>
    </xf>
    <xf numFmtId="0" fontId="0" fillId="0" borderId="52" xfId="0" applyBorder="1" applyAlignment="1">
      <alignment vertical="top" wrapText="1"/>
    </xf>
    <xf numFmtId="0" fontId="0" fillId="0" borderId="58" xfId="0" applyBorder="1"/>
    <xf numFmtId="0" fontId="46" fillId="0" borderId="4" xfId="0" applyFont="1" applyBorder="1" applyAlignment="1">
      <alignment vertical="top" wrapText="1"/>
    </xf>
    <xf numFmtId="0" fontId="3" fillId="0" borderId="4" xfId="3" applyBorder="1" applyAlignment="1">
      <alignment horizontal="center" vertical="top" wrapText="1"/>
    </xf>
    <xf numFmtId="0" fontId="46" fillId="0" borderId="4" xfId="0" applyFont="1" applyBorder="1" applyAlignment="1">
      <alignment horizontal="center" vertical="top" wrapText="1"/>
    </xf>
    <xf numFmtId="0" fontId="2" fillId="0" borderId="4" xfId="0" applyFont="1" applyBorder="1" applyAlignment="1">
      <alignment horizontal="center" vertical="top" wrapText="1"/>
    </xf>
    <xf numFmtId="0" fontId="3" fillId="0" borderId="4" xfId="3" applyBorder="1" applyAlignment="1">
      <alignment horizontal="left" vertical="top"/>
    </xf>
  </cellXfs>
  <cellStyles count="4">
    <cellStyle name="Hipervínculo" xfId="3" builtinId="8"/>
    <cellStyle name="Millares" xfId="1" builtinId="3"/>
    <cellStyle name="Normal" xfId="0" builtinId="0"/>
    <cellStyle name="Porcentaje" xfId="2" builtinId="5"/>
  </cellStyles>
  <dxfs count="21">
    <dxf>
      <font>
        <strike val="0"/>
        <condense val="0"/>
        <extend val="0"/>
        <outline val="0"/>
        <shadow val="0"/>
        <vertAlign val="baseline"/>
        <sz val="10"/>
        <color theme="1"/>
        <name val="Calibri Light"/>
        <family val="2"/>
        <scheme val="major"/>
      </font>
      <alignment horizontal="left" vertical="center" wrapText="1"/>
    </dxf>
    <dxf>
      <font>
        <strike val="0"/>
        <condense val="0"/>
        <extend val="0"/>
        <outline val="0"/>
        <shadow val="0"/>
        <vertAlign val="baseline"/>
        <sz val="10"/>
        <color theme="1"/>
        <name val="Calibri Light"/>
        <family val="2"/>
        <scheme val="major"/>
      </font>
      <alignment horizontal="left" vertical="center" wrapText="1"/>
    </dxf>
    <dxf>
      <font>
        <strike val="0"/>
        <condense val="0"/>
        <extend val="0"/>
        <outline val="0"/>
        <shadow val="0"/>
        <vertAlign val="baseline"/>
        <sz val="10"/>
        <color theme="1"/>
        <name val="Calibri Light"/>
        <family val="2"/>
        <scheme val="major"/>
      </font>
      <alignment horizontal="left" vertical="center" wrapText="1"/>
    </dxf>
    <dxf>
      <font>
        <strike val="0"/>
        <condense val="0"/>
        <extend val="0"/>
        <outline val="0"/>
        <shadow val="0"/>
        <vertAlign val="baseline"/>
        <sz val="10"/>
        <color theme="1"/>
        <name val="Calibri Light"/>
        <family val="2"/>
        <scheme val="major"/>
      </font>
      <alignment horizontal="left" vertical="center" wrapText="1"/>
    </dxf>
    <dxf>
      <font>
        <strike val="0"/>
        <condense val="0"/>
        <extend val="0"/>
        <outline val="0"/>
        <shadow val="0"/>
        <vertAlign val="baseline"/>
        <sz val="10"/>
        <color theme="1"/>
        <name val="Calibri Light"/>
        <family val="2"/>
        <scheme val="major"/>
      </font>
      <alignment horizontal="left" vertical="center" wrapText="1"/>
    </dxf>
    <dxf>
      <font>
        <strike val="0"/>
        <condense val="0"/>
        <extend val="0"/>
        <outline val="0"/>
        <shadow val="0"/>
        <vertAlign val="baseline"/>
        <sz val="10"/>
        <color theme="1"/>
        <name val="Calibri Light"/>
        <family val="2"/>
        <scheme val="major"/>
      </font>
      <alignment horizontal="left" vertical="center" wrapText="1"/>
    </dxf>
    <dxf>
      <font>
        <strike val="0"/>
        <condense val="0"/>
        <extend val="0"/>
        <outline val="0"/>
        <shadow val="0"/>
        <vertAlign val="baseline"/>
        <sz val="11"/>
        <color theme="1"/>
        <name val="Calibri"/>
        <family val="2"/>
        <scheme val="minor"/>
      </font>
      <numFmt numFmtId="14" formatCode="0.00%"/>
      <alignment horizontal="general" vertical="center" wrapText="1"/>
      <border>
        <left style="thin">
          <color indexed="64"/>
        </left>
        <right/>
        <top style="thin">
          <color indexed="64"/>
        </top>
        <bottom/>
        <vertical/>
        <horizontal/>
      </border>
    </dxf>
    <dxf>
      <font>
        <strike val="0"/>
        <condense val="0"/>
        <extend val="0"/>
        <outline val="0"/>
        <shadow val="0"/>
        <vertAlign val="baseline"/>
        <sz val="11"/>
        <color theme="1"/>
        <name val="Calibri"/>
        <family val="2"/>
        <scheme val="minor"/>
      </font>
      <numFmt numFmtId="14" formatCode="0.00%"/>
      <alignment horizontal="general"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1"/>
        <color theme="1"/>
        <name val="Calibri"/>
        <family val="2"/>
        <scheme val="minor"/>
      </font>
      <numFmt numFmtId="14" formatCode="0.00%"/>
      <alignment horizontal="general"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1"/>
        <color theme="1"/>
        <name val="Calibri"/>
        <family val="2"/>
        <scheme val="minor"/>
      </font>
      <numFmt numFmtId="14" formatCode="0.00%"/>
      <alignment horizontal="general"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1"/>
        <color theme="1"/>
        <name val="Calibri"/>
        <family val="2"/>
        <scheme val="minor"/>
      </font>
      <numFmt numFmtId="14" formatCode="0.00%"/>
      <alignment horizontal="general"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1"/>
        <color theme="1"/>
        <name val="Calibri"/>
        <family val="2"/>
        <scheme val="minor"/>
      </font>
      <numFmt numFmtId="14" formatCode="0.00%"/>
      <alignment horizontal="general"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1"/>
        <color theme="1"/>
        <name val="Calibri"/>
        <family val="2"/>
        <scheme val="minor"/>
      </font>
      <numFmt numFmtId="14" formatCode="0.00%"/>
      <alignment horizontal="general"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1"/>
        <color theme="1"/>
        <name val="Calibri"/>
        <family val="2"/>
        <scheme val="minor"/>
      </font>
      <numFmt numFmtId="14" formatCode="0.00%"/>
      <alignment horizontal="general"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1"/>
        <color theme="1"/>
        <name val="Calibri"/>
        <family val="2"/>
        <scheme val="minor"/>
      </font>
      <numFmt numFmtId="14" formatCode="0.00%"/>
      <alignment horizontal="general"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1"/>
        <color theme="1"/>
        <name val="Calibri"/>
        <family val="2"/>
        <scheme val="minor"/>
      </font>
      <numFmt numFmtId="14" formatCode="0.00%"/>
      <alignment horizontal="general" vertical="center" wrapText="1"/>
      <border>
        <left/>
        <right style="thin">
          <color indexed="64"/>
        </right>
        <top style="thin">
          <color indexed="64"/>
        </top>
        <bottom/>
        <vertical/>
        <horizontal/>
      </border>
    </dxf>
    <dxf>
      <border>
        <top style="thin">
          <color indexed="64"/>
        </top>
      </border>
    </dxf>
    <dxf>
      <border>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general" vertical="center" wrapText="1"/>
    </dxf>
    <dxf>
      <border>
        <bottom style="thin">
          <color indexed="64"/>
        </bottom>
      </border>
    </dxf>
    <dxf>
      <font>
        <b/>
        <strike val="0"/>
        <condense val="0"/>
        <extend val="0"/>
        <outline val="0"/>
        <shadow val="0"/>
        <vertAlign val="baseline"/>
        <sz val="11"/>
        <color theme="1"/>
        <name val="Calibri"/>
        <family val="2"/>
        <scheme val="minor"/>
      </font>
      <alignment horizontal="general" vertical="top" wrapText="1"/>
      <border>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autoTitleDeleted val="1"/>
    <c:plotArea>
      <c:layout>
        <c:manualLayout>
          <c:layoutTarget val="inner"/>
          <c:xMode val="edge"/>
          <c:yMode val="edge"/>
          <c:x val="4.1997191974026409E-4"/>
          <c:y val="9.3476560874878288E-3"/>
          <c:w val="0.99958003177118471"/>
          <c:h val="0.90977112860892384"/>
        </c:manualLayout>
      </c:layout>
      <c:barChart>
        <c:barDir val="col"/>
        <c:grouping val="clustered"/>
        <c:varyColors val="1"/>
        <c:ser>
          <c:idx val="0"/>
          <c:order val="0"/>
          <c:tx>
            <c:strRef>
              <c:f>'Sin Botones'!$P$10</c:f>
              <c:strCache>
                <c:ptCount val="1"/>
                <c:pt idx="0">
                  <c:v>Marcador sin Goles</c:v>
                </c:pt>
              </c:strCache>
            </c:strRef>
          </c:tx>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prstDash val="solid"/>
            </a:ln>
          </c:spPr>
          <c:invertIfNegative val="0"/>
          <c:dPt>
            <c:idx val="0"/>
            <c:invertIfNegative val="0"/>
            <c:bubble3D val="0"/>
            <c:spPr>
              <a:ln>
                <a:prstDash val="solid"/>
              </a:ln>
            </c:spPr>
            <c:extLst>
              <c:ext xmlns:c16="http://schemas.microsoft.com/office/drawing/2014/chart" uri="{C3380CC4-5D6E-409C-BE32-E72D297353CC}">
                <c16:uniqueId val="{00000001-9E8C-401A-8B43-E3C834C0F8EC}"/>
              </c:ext>
            </c:extLst>
          </c:dPt>
          <c:dPt>
            <c:idx val="1"/>
            <c:invertIfNegative val="0"/>
            <c:bubble3D val="0"/>
            <c:spPr>
              <a:ln>
                <a:prstDash val="solid"/>
              </a:ln>
            </c:spPr>
            <c:extLst>
              <c:ext xmlns:c16="http://schemas.microsoft.com/office/drawing/2014/chart" uri="{C3380CC4-5D6E-409C-BE32-E72D297353CC}">
                <c16:uniqueId val="{00000003-9E8C-401A-8B43-E3C834C0F8EC}"/>
              </c:ext>
            </c:extLst>
          </c:dPt>
          <c:dPt>
            <c:idx val="2"/>
            <c:invertIfNegative val="0"/>
            <c:bubble3D val="0"/>
            <c:spPr>
              <a:ln>
                <a:prstDash val="solid"/>
              </a:ln>
            </c:spPr>
            <c:extLst>
              <c:ext xmlns:c16="http://schemas.microsoft.com/office/drawing/2014/chart" uri="{C3380CC4-5D6E-409C-BE32-E72D297353CC}">
                <c16:uniqueId val="{00000005-9E8C-401A-8B43-E3C834C0F8EC}"/>
              </c:ext>
            </c:extLst>
          </c:dPt>
          <c:dPt>
            <c:idx val="3"/>
            <c:invertIfNegative val="0"/>
            <c:bubble3D val="0"/>
            <c:spPr>
              <a:ln>
                <a:prstDash val="solid"/>
              </a:ln>
            </c:spPr>
            <c:extLst>
              <c:ext xmlns:c16="http://schemas.microsoft.com/office/drawing/2014/chart" uri="{C3380CC4-5D6E-409C-BE32-E72D297353CC}">
                <c16:uniqueId val="{00000007-9E8C-401A-8B43-E3C834C0F8EC}"/>
              </c:ext>
            </c:extLst>
          </c:dPt>
          <c:dPt>
            <c:idx val="4"/>
            <c:invertIfNegative val="0"/>
            <c:bubble3D val="0"/>
            <c:spPr>
              <a:ln>
                <a:prstDash val="solid"/>
              </a:ln>
            </c:spPr>
            <c:extLst>
              <c:ext xmlns:c16="http://schemas.microsoft.com/office/drawing/2014/chart" uri="{C3380CC4-5D6E-409C-BE32-E72D297353CC}">
                <c16:uniqueId val="{00000009-9E8C-401A-8B43-E3C834C0F8EC}"/>
              </c:ext>
            </c:extLst>
          </c:dPt>
          <c:dPt>
            <c:idx val="5"/>
            <c:invertIfNegative val="0"/>
            <c:bubble3D val="0"/>
            <c:spPr>
              <a:ln>
                <a:prstDash val="solid"/>
              </a:ln>
            </c:spPr>
            <c:extLst>
              <c:ext xmlns:c16="http://schemas.microsoft.com/office/drawing/2014/chart" uri="{C3380CC4-5D6E-409C-BE32-E72D297353CC}">
                <c16:uniqueId val="{0000000B-9E8C-401A-8B43-E3C834C0F8EC}"/>
              </c:ext>
            </c:extLst>
          </c:dPt>
          <c:dPt>
            <c:idx val="6"/>
            <c:invertIfNegative val="0"/>
            <c:bubble3D val="0"/>
            <c:spPr>
              <a:ln>
                <a:prstDash val="solid"/>
              </a:ln>
            </c:spPr>
            <c:extLst>
              <c:ext xmlns:c16="http://schemas.microsoft.com/office/drawing/2014/chart" uri="{C3380CC4-5D6E-409C-BE32-E72D297353CC}">
                <c16:uniqueId val="{0000000D-9E8C-401A-8B43-E3C834C0F8EC}"/>
              </c:ext>
            </c:extLst>
          </c:dPt>
          <c:dPt>
            <c:idx val="7"/>
            <c:invertIfNegative val="0"/>
            <c:bubble3D val="0"/>
            <c:spPr>
              <a:ln>
                <a:prstDash val="solid"/>
              </a:ln>
            </c:spPr>
            <c:extLst>
              <c:ext xmlns:c16="http://schemas.microsoft.com/office/drawing/2014/chart" uri="{C3380CC4-5D6E-409C-BE32-E72D297353CC}">
                <c16:uniqueId val="{0000000F-9E8C-401A-8B43-E3C834C0F8EC}"/>
              </c:ext>
            </c:extLst>
          </c:dPt>
          <c:dPt>
            <c:idx val="8"/>
            <c:invertIfNegative val="0"/>
            <c:bubble3D val="0"/>
            <c:spPr>
              <a:ln>
                <a:prstDash val="solid"/>
              </a:ln>
            </c:spPr>
            <c:extLst>
              <c:ext xmlns:c16="http://schemas.microsoft.com/office/drawing/2014/chart" uri="{C3380CC4-5D6E-409C-BE32-E72D297353CC}">
                <c16:uniqueId val="{00000011-9E8C-401A-8B43-E3C834C0F8EC}"/>
              </c:ext>
            </c:extLst>
          </c:dPt>
          <c:dPt>
            <c:idx val="9"/>
            <c:invertIfNegative val="0"/>
            <c:bubble3D val="0"/>
            <c:spPr>
              <a:ln>
                <a:prstDash val="solid"/>
              </a:ln>
            </c:spPr>
            <c:extLst>
              <c:ext xmlns:c16="http://schemas.microsoft.com/office/drawing/2014/chart" uri="{C3380CC4-5D6E-409C-BE32-E72D297353CC}">
                <c16:uniqueId val="{00000013-9E8C-401A-8B43-E3C834C0F8EC}"/>
              </c:ext>
            </c:extLst>
          </c:dPt>
          <c:dLbls>
            <c:dLbl>
              <c:idx val="0"/>
              <c:spPr>
                <a:solidFill>
                  <a:sysClr val="window" lastClr="FFFFFF"/>
                </a:solidFill>
                <a:ln>
                  <a:solidFill>
                    <a:sysClr val="windowText" lastClr="000000"/>
                  </a:solid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s-PE"/>
                </a:p>
              </c:txPr>
              <c:dLblPos val="inEnd"/>
              <c:showLegendKey val="0"/>
              <c:showVal val="1"/>
              <c:showCatName val="0"/>
              <c:showSerName val="0"/>
              <c:showPercent val="0"/>
              <c:showBubbleSize val="0"/>
              <c:extLst>
                <c:ext xmlns:c16="http://schemas.microsoft.com/office/drawing/2014/chart" uri="{C3380CC4-5D6E-409C-BE32-E72D297353CC}">
                  <c16:uniqueId val="{00000001-9E8C-401A-8B43-E3C834C0F8EC}"/>
                </c:ext>
              </c:extLst>
            </c:dLbl>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'Sin Botones'!$P$11</c:f>
              <c:numCache>
                <c:formatCode>0.00%</c:formatCode>
                <c:ptCount val="1"/>
                <c:pt idx="0">
                  <c:v>0.33447899159663869</c:v>
                </c:pt>
              </c:numCache>
            </c:numRef>
          </c:val>
          <c:extLst>
            <c:ext xmlns:c16="http://schemas.microsoft.com/office/drawing/2014/chart" uri="{C3380CC4-5D6E-409C-BE32-E72D297353CC}">
              <c16:uniqueId val="{00000014-9E8C-401A-8B43-E3C834C0F8EC}"/>
            </c:ext>
          </c:extLst>
        </c:ser>
        <c:ser>
          <c:idx val="1"/>
          <c:order val="1"/>
          <c:tx>
            <c:strRef>
              <c:f>'Sin Botones'!$Q$10</c:f>
              <c:strCache>
                <c:ptCount val="1"/>
                <c:pt idx="0">
                  <c:v>Goles Local</c:v>
                </c:pt>
              </c:strCache>
            </c:strRef>
          </c:tx>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prstDash val="solid"/>
            </a:ln>
          </c:spPr>
          <c:invertIfNegative val="0"/>
          <c:dLbls>
            <c:spPr>
              <a:solidFill>
                <a:sysClr val="window" lastClr="FFFFFF"/>
              </a:solid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'Sin Botones'!$Q$11</c:f>
              <c:numCache>
                <c:formatCode>0.00%</c:formatCode>
                <c:ptCount val="1"/>
                <c:pt idx="0">
                  <c:v>0.70611798980335028</c:v>
                </c:pt>
              </c:numCache>
            </c:numRef>
          </c:val>
          <c:extLst>
            <c:ext xmlns:c16="http://schemas.microsoft.com/office/drawing/2014/chart" uri="{C3380CC4-5D6E-409C-BE32-E72D297353CC}">
              <c16:uniqueId val="{00000015-9E8C-401A-8B43-E3C834C0F8EC}"/>
            </c:ext>
          </c:extLst>
        </c:ser>
        <c:ser>
          <c:idx val="2"/>
          <c:order val="2"/>
          <c:tx>
            <c:strRef>
              <c:f>'Sin Botones'!$R$10</c:f>
              <c:strCache>
                <c:ptCount val="1"/>
                <c:pt idx="0">
                  <c:v>Goles Visitante</c:v>
                </c:pt>
              </c:strCache>
            </c:strRef>
          </c:tx>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prstDash val="solid"/>
            </a:ln>
          </c:spPr>
          <c:invertIfNegative val="0"/>
          <c:dLbls>
            <c:spPr>
              <a:solidFill>
                <a:sysClr val="window" lastClr="FFFFFF"/>
              </a:solid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'Sin Botones'!$R$11</c:f>
              <c:numCache>
                <c:formatCode>0.00%</c:formatCode>
                <c:ptCount val="1"/>
                <c:pt idx="0">
                  <c:v>0.29388201019664972</c:v>
                </c:pt>
              </c:numCache>
            </c:numRef>
          </c:val>
          <c:extLst>
            <c:ext xmlns:c16="http://schemas.microsoft.com/office/drawing/2014/chart" uri="{C3380CC4-5D6E-409C-BE32-E72D297353CC}">
              <c16:uniqueId val="{00000016-9E8C-401A-8B43-E3C834C0F8EC}"/>
            </c:ext>
          </c:extLst>
        </c:ser>
        <c:ser>
          <c:idx val="3"/>
          <c:order val="3"/>
          <c:tx>
            <c:strRef>
              <c:f>'Sin Botones'!$S$10</c:f>
              <c:strCache>
                <c:ptCount val="1"/>
                <c:pt idx="0">
                  <c:v>BTTS_yes</c:v>
                </c:pt>
              </c:strCache>
            </c:strRef>
          </c:tx>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a:noFill/>
              <a:prstDash val="solid"/>
            </a:ln>
          </c:spPr>
          <c:invertIfNegative val="0"/>
          <c:dLbls>
            <c:spPr>
              <a:solidFill>
                <a:sysClr val="window" lastClr="FFFFFF"/>
              </a:solid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'Sin Botones'!$S$11</c:f>
              <c:numCache>
                <c:formatCode>0.00%</c:formatCode>
                <c:ptCount val="1"/>
                <c:pt idx="0">
                  <c:v>0.86557137104268622</c:v>
                </c:pt>
              </c:numCache>
            </c:numRef>
          </c:val>
          <c:extLst>
            <c:ext xmlns:c16="http://schemas.microsoft.com/office/drawing/2014/chart" uri="{C3380CC4-5D6E-409C-BE32-E72D297353CC}">
              <c16:uniqueId val="{00000017-9E8C-401A-8B43-E3C834C0F8EC}"/>
            </c:ext>
          </c:extLst>
        </c:ser>
        <c:ser>
          <c:idx val="4"/>
          <c:order val="4"/>
          <c:tx>
            <c:strRef>
              <c:f>'Sin Botones'!$T$10</c:f>
              <c:strCache>
                <c:ptCount val="1"/>
                <c:pt idx="0">
                  <c:v>
BTTS-no</c:v>
                </c:pt>
              </c:strCache>
            </c:strRef>
          </c:tx>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prstDash val="solid"/>
            </a:ln>
          </c:spPr>
          <c:invertIfNegative val="0"/>
          <c:dLbls>
            <c:spPr>
              <a:solidFill>
                <a:sysClr val="window" lastClr="FFFFFF"/>
              </a:solid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'Sin Botones'!$T$11</c:f>
              <c:numCache>
                <c:formatCode>0.00%</c:formatCode>
                <c:ptCount val="1"/>
                <c:pt idx="0">
                  <c:v>0.13442862895731378</c:v>
                </c:pt>
              </c:numCache>
            </c:numRef>
          </c:val>
          <c:extLst>
            <c:ext xmlns:c16="http://schemas.microsoft.com/office/drawing/2014/chart" uri="{C3380CC4-5D6E-409C-BE32-E72D297353CC}">
              <c16:uniqueId val="{00000018-9E8C-401A-8B43-E3C834C0F8EC}"/>
            </c:ext>
          </c:extLst>
        </c:ser>
        <c:ser>
          <c:idx val="5"/>
          <c:order val="5"/>
          <c:tx>
            <c:strRef>
              <c:f>'Sin Botones'!$U$10</c:f>
              <c:strCache>
                <c:ptCount val="1"/>
                <c:pt idx="0">
                  <c:v> Empate del Partido</c:v>
                </c:pt>
              </c:strCache>
            </c:strRef>
          </c:tx>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prstDash val="solid"/>
            </a:ln>
          </c:spPr>
          <c:invertIfNegative val="0"/>
          <c:dLbls>
            <c:spPr>
              <a:solidFill>
                <a:sysClr val="window" lastClr="FFFFFF"/>
              </a:solid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'Sin Botones'!$U$11</c:f>
              <c:numCache>
                <c:formatCode>0.00%</c:formatCode>
                <c:ptCount val="1"/>
                <c:pt idx="0">
                  <c:v>0.74497768527456087</c:v>
                </c:pt>
              </c:numCache>
            </c:numRef>
          </c:val>
          <c:extLst>
            <c:ext xmlns:c16="http://schemas.microsoft.com/office/drawing/2014/chart" uri="{C3380CC4-5D6E-409C-BE32-E72D297353CC}">
              <c16:uniqueId val="{00000019-9E8C-401A-8B43-E3C834C0F8EC}"/>
            </c:ext>
          </c:extLst>
        </c:ser>
        <c:ser>
          <c:idx val="6"/>
          <c:order val="6"/>
          <c:tx>
            <c:strRef>
              <c:f>'Sin Botones'!$V$10</c:f>
              <c:strCache>
                <c:ptCount val="1"/>
                <c:pt idx="0">
                  <c:v>Victoria Local</c:v>
                </c:pt>
              </c:strCache>
            </c:strRef>
          </c:tx>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prstDash val="solid"/>
            </a:ln>
          </c:spPr>
          <c:invertIfNegative val="0"/>
          <c:dLbls>
            <c:spPr>
              <a:solidFill>
                <a:sysClr val="window" lastClr="FFFFFF"/>
              </a:solid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'Sin Botones'!$V$11</c:f>
              <c:numCache>
                <c:formatCode>0.00%</c:formatCode>
                <c:ptCount val="1"/>
                <c:pt idx="0">
                  <c:v>0.24405146747497974</c:v>
                </c:pt>
              </c:numCache>
            </c:numRef>
          </c:val>
          <c:extLst>
            <c:ext xmlns:c16="http://schemas.microsoft.com/office/drawing/2014/chart" uri="{C3380CC4-5D6E-409C-BE32-E72D297353CC}">
              <c16:uniqueId val="{0000001A-9E8C-401A-8B43-E3C834C0F8EC}"/>
            </c:ext>
          </c:extLst>
        </c:ser>
        <c:ser>
          <c:idx val="7"/>
          <c:order val="7"/>
          <c:tx>
            <c:strRef>
              <c:f>'Sin Botones'!$W$10</c:f>
              <c:strCache>
                <c:ptCount val="1"/>
                <c:pt idx="0">
                  <c:v>Victoria Visitante</c:v>
                </c:pt>
              </c:strCache>
            </c:strRef>
          </c:tx>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prstDash val="solid"/>
            </a:ln>
          </c:spPr>
          <c:invertIfNegative val="0"/>
          <c:dLbls>
            <c:spPr>
              <a:solidFill>
                <a:sysClr val="window" lastClr="FFFFFF"/>
              </a:solid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'Sin Botones'!$W$11</c:f>
              <c:numCache>
                <c:formatCode>0.00%</c:formatCode>
                <c:ptCount val="1"/>
                <c:pt idx="0">
                  <c:v>0.24118795417306507</c:v>
                </c:pt>
              </c:numCache>
            </c:numRef>
          </c:val>
          <c:extLst>
            <c:ext xmlns:c16="http://schemas.microsoft.com/office/drawing/2014/chart" uri="{C3380CC4-5D6E-409C-BE32-E72D297353CC}">
              <c16:uniqueId val="{0000001B-9E8C-401A-8B43-E3C834C0F8EC}"/>
            </c:ext>
          </c:extLst>
        </c:ser>
        <c:ser>
          <c:idx val="8"/>
          <c:order val="8"/>
          <c:tx>
            <c:strRef>
              <c:f>'Sin Botones'!$X$10</c:f>
              <c:strCache>
                <c:ptCount val="1"/>
                <c:pt idx="0">
                  <c:v>Pérdida Local</c:v>
                </c:pt>
              </c:strCache>
            </c:strRef>
          </c:tx>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prstDash val="solid"/>
            </a:ln>
          </c:spPr>
          <c:invertIfNegative val="0"/>
          <c:dLbls>
            <c:spPr>
              <a:solidFill>
                <a:sysClr val="window" lastClr="FFFFFF"/>
              </a:solid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'Sin Botones'!$X$11</c:f>
              <c:numCache>
                <c:formatCode>0.00%</c:formatCode>
                <c:ptCount val="1"/>
                <c:pt idx="0">
                  <c:v>0.51283213084876267</c:v>
                </c:pt>
              </c:numCache>
            </c:numRef>
          </c:val>
          <c:extLst>
            <c:ext xmlns:c16="http://schemas.microsoft.com/office/drawing/2014/chart" uri="{C3380CC4-5D6E-409C-BE32-E72D297353CC}">
              <c16:uniqueId val="{0000001C-9E8C-401A-8B43-E3C834C0F8EC}"/>
            </c:ext>
          </c:extLst>
        </c:ser>
        <c:ser>
          <c:idx val="9"/>
          <c:order val="9"/>
          <c:tx>
            <c:strRef>
              <c:f>'Sin Botones'!$Y$10</c:f>
              <c:strCache>
                <c:ptCount val="1"/>
                <c:pt idx="0">
                  <c:v>Pérdida Visitante</c:v>
                </c:pt>
              </c:strCache>
            </c:strRef>
          </c:tx>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a:noFill/>
              <a:prstDash val="solid"/>
            </a:ln>
          </c:spPr>
          <c:invertIfNegative val="0"/>
          <c:dLbls>
            <c:spPr>
              <a:solidFill>
                <a:sysClr val="window" lastClr="FFFFFF"/>
              </a:solid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'Sin Botones'!$Y$11</c:f>
              <c:numCache>
                <c:formatCode>0.00%</c:formatCode>
                <c:ptCount val="1"/>
                <c:pt idx="0">
                  <c:v>0.51098832052517063</c:v>
                </c:pt>
              </c:numCache>
            </c:numRef>
          </c:val>
          <c:extLst>
            <c:ext xmlns:c16="http://schemas.microsoft.com/office/drawing/2014/chart" uri="{C3380CC4-5D6E-409C-BE32-E72D297353CC}">
              <c16:uniqueId val="{0000001D-9E8C-401A-8B43-E3C834C0F8EC}"/>
            </c:ext>
          </c:extLst>
        </c:ser>
        <c:dLbls>
          <c:dLblPos val="inEnd"/>
          <c:showLegendKey val="0"/>
          <c:showVal val="1"/>
          <c:showCatName val="0"/>
          <c:showSerName val="0"/>
          <c:showPercent val="0"/>
          <c:showBubbleSize val="0"/>
        </c:dLbls>
        <c:gapWidth val="100"/>
        <c:overlap val="-24"/>
        <c:axId val="598268879"/>
        <c:axId val="598275119"/>
      </c:barChart>
      <c:catAx>
        <c:axId val="59826887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PE"/>
          </a:p>
        </c:txPr>
        <c:crossAx val="598275119"/>
        <c:crosses val="autoZero"/>
        <c:auto val="1"/>
        <c:lblAlgn val="ctr"/>
        <c:lblOffset val="100"/>
        <c:noMultiLvlLbl val="0"/>
      </c:catAx>
      <c:valAx>
        <c:axId val="598275119"/>
        <c:scaling>
          <c:orientation val="minMax"/>
        </c:scaling>
        <c:delete val="1"/>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crossAx val="598268879"/>
        <c:crosses val="autoZero"/>
        <c:crossBetween val="between"/>
      </c:valAx>
    </c:plotArea>
    <c:plotVisOnly val="1"/>
    <c:dispBlanksAs val="gap"/>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14</xdr:col>
      <xdr:colOff>979714</xdr:colOff>
      <xdr:row>2</xdr:row>
      <xdr:rowOff>13607</xdr:rowOff>
    </xdr:from>
    <xdr:to>
      <xdr:col>25</xdr:col>
      <xdr:colOff>40822</xdr:colOff>
      <xdr:row>8</xdr:row>
      <xdr:rowOff>381000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22</xdr:row>
      <xdr:rowOff>0</xdr:rowOff>
    </xdr:from>
    <xdr:to>
      <xdr:col>18</xdr:col>
      <xdr:colOff>135550</xdr:colOff>
      <xdr:row>22</xdr:row>
      <xdr:rowOff>1200150</xdr:rowOff>
    </xdr:to>
    <xdr:pic>
      <xdr:nvPicPr>
        <xdr:cNvPr id="2" name="Imagen 1">
          <a:extLst>
            <a:ext uri="{FF2B5EF4-FFF2-40B4-BE49-F238E27FC236}">
              <a16:creationId xmlns:a16="http://schemas.microsoft.com/office/drawing/2014/main" id="{89199587-7383-B5CC-36FC-DB7401F76B48}"/>
            </a:ext>
          </a:extLst>
        </xdr:cNvPr>
        <xdr:cNvPicPr>
          <a:picLocks noChangeAspect="1"/>
        </xdr:cNvPicPr>
      </xdr:nvPicPr>
      <xdr:blipFill>
        <a:blip xmlns:r="http://schemas.openxmlformats.org/officeDocument/2006/relationships" r:embed="rId1"/>
        <a:stretch>
          <a:fillRect/>
        </a:stretch>
      </xdr:blipFill>
      <xdr:spPr>
        <a:xfrm>
          <a:off x="16192500" y="16411575"/>
          <a:ext cx="6231550" cy="1200150"/>
        </a:xfrm>
        <a:prstGeom prst="rect">
          <a:avLst/>
        </a:prstGeom>
      </xdr:spPr>
    </xdr:pic>
    <xdr:clientData/>
  </xdr:twoCellAnchor>
  <xdr:twoCellAnchor editAs="oneCell">
    <xdr:from>
      <xdr:col>10</xdr:col>
      <xdr:colOff>9525</xdr:colOff>
      <xdr:row>22</xdr:row>
      <xdr:rowOff>1457577</xdr:rowOff>
    </xdr:from>
    <xdr:to>
      <xdr:col>18</xdr:col>
      <xdr:colOff>257175</xdr:colOff>
      <xdr:row>23</xdr:row>
      <xdr:rowOff>1585071</xdr:rowOff>
    </xdr:to>
    <xdr:pic>
      <xdr:nvPicPr>
        <xdr:cNvPr id="3" name="Imagen 2">
          <a:extLst>
            <a:ext uri="{FF2B5EF4-FFF2-40B4-BE49-F238E27FC236}">
              <a16:creationId xmlns:a16="http://schemas.microsoft.com/office/drawing/2014/main" id="{87C832BD-39CD-081B-D89A-41354290B83A}"/>
            </a:ext>
          </a:extLst>
        </xdr:cNvPr>
        <xdr:cNvPicPr>
          <a:picLocks noChangeAspect="1"/>
        </xdr:cNvPicPr>
      </xdr:nvPicPr>
      <xdr:blipFill>
        <a:blip xmlns:r="http://schemas.openxmlformats.org/officeDocument/2006/relationships" r:embed="rId2"/>
        <a:stretch>
          <a:fillRect/>
        </a:stretch>
      </xdr:blipFill>
      <xdr:spPr>
        <a:xfrm>
          <a:off x="16202025" y="17869152"/>
          <a:ext cx="6343650" cy="2042019"/>
        </a:xfrm>
        <a:prstGeom prst="rect">
          <a:avLst/>
        </a:prstGeom>
      </xdr:spPr>
    </xdr:pic>
    <xdr:clientData/>
  </xdr:twoCellAnchor>
  <xdr:oneCellAnchor>
    <xdr:from>
      <xdr:col>10</xdr:col>
      <xdr:colOff>0</xdr:colOff>
      <xdr:row>53</xdr:row>
      <xdr:rowOff>0</xdr:rowOff>
    </xdr:from>
    <xdr:ext cx="6231550" cy="1200150"/>
    <xdr:pic>
      <xdr:nvPicPr>
        <xdr:cNvPr id="4" name="Imagen 3">
          <a:extLst>
            <a:ext uri="{FF2B5EF4-FFF2-40B4-BE49-F238E27FC236}">
              <a16:creationId xmlns:a16="http://schemas.microsoft.com/office/drawing/2014/main" id="{5BDFC9E9-EA6A-43DC-9786-08537BD78719}"/>
            </a:ext>
          </a:extLst>
        </xdr:cNvPr>
        <xdr:cNvPicPr>
          <a:picLocks noChangeAspect="1"/>
        </xdr:cNvPicPr>
      </xdr:nvPicPr>
      <xdr:blipFill>
        <a:blip xmlns:r="http://schemas.openxmlformats.org/officeDocument/2006/relationships" r:embed="rId1"/>
        <a:stretch>
          <a:fillRect/>
        </a:stretch>
      </xdr:blipFill>
      <xdr:spPr>
        <a:xfrm>
          <a:off x="16192500" y="16411575"/>
          <a:ext cx="6231550" cy="1200150"/>
        </a:xfrm>
        <a:prstGeom prst="rect">
          <a:avLst/>
        </a:prstGeom>
      </xdr:spPr>
    </xdr:pic>
    <xdr:clientData/>
  </xdr:oneCellAnchor>
  <xdr:oneCellAnchor>
    <xdr:from>
      <xdr:col>10</xdr:col>
      <xdr:colOff>9525</xdr:colOff>
      <xdr:row>53</xdr:row>
      <xdr:rowOff>1457577</xdr:rowOff>
    </xdr:from>
    <xdr:ext cx="6343650" cy="2042019"/>
    <xdr:pic>
      <xdr:nvPicPr>
        <xdr:cNvPr id="5" name="Imagen 4">
          <a:extLst>
            <a:ext uri="{FF2B5EF4-FFF2-40B4-BE49-F238E27FC236}">
              <a16:creationId xmlns:a16="http://schemas.microsoft.com/office/drawing/2014/main" id="{1C84AEE4-427E-412C-A769-08116ECC198A}"/>
            </a:ext>
          </a:extLst>
        </xdr:cNvPr>
        <xdr:cNvPicPr>
          <a:picLocks noChangeAspect="1"/>
        </xdr:cNvPicPr>
      </xdr:nvPicPr>
      <xdr:blipFill>
        <a:blip xmlns:r="http://schemas.openxmlformats.org/officeDocument/2006/relationships" r:embed="rId2"/>
        <a:stretch>
          <a:fillRect/>
        </a:stretch>
      </xdr:blipFill>
      <xdr:spPr>
        <a:xfrm>
          <a:off x="16202025" y="17869152"/>
          <a:ext cx="6343650" cy="2042019"/>
        </a:xfrm>
        <a:prstGeom prst="rect">
          <a:avLst/>
        </a:prstGeom>
      </xdr:spPr>
    </xdr:pic>
    <xdr:clientData/>
  </xdr:oneCellAnchor>
  <xdr:twoCellAnchor editAs="oneCell">
    <xdr:from>
      <xdr:col>0</xdr:col>
      <xdr:colOff>0</xdr:colOff>
      <xdr:row>55</xdr:row>
      <xdr:rowOff>352425</xdr:rowOff>
    </xdr:from>
    <xdr:to>
      <xdr:col>4</xdr:col>
      <xdr:colOff>828436</xdr:colOff>
      <xdr:row>57</xdr:row>
      <xdr:rowOff>352869</xdr:rowOff>
    </xdr:to>
    <xdr:pic>
      <xdr:nvPicPr>
        <xdr:cNvPr id="6" name="Imagen 5">
          <a:extLst>
            <a:ext uri="{FF2B5EF4-FFF2-40B4-BE49-F238E27FC236}">
              <a16:creationId xmlns:a16="http://schemas.microsoft.com/office/drawing/2014/main" id="{A8946849-C3EE-84E6-0745-1E3D7A0DE296}"/>
            </a:ext>
          </a:extLst>
        </xdr:cNvPr>
        <xdr:cNvPicPr>
          <a:picLocks noChangeAspect="1"/>
        </xdr:cNvPicPr>
      </xdr:nvPicPr>
      <xdr:blipFill>
        <a:blip xmlns:r="http://schemas.openxmlformats.org/officeDocument/2006/relationships" r:embed="rId3"/>
        <a:stretch>
          <a:fillRect/>
        </a:stretch>
      </xdr:blipFill>
      <xdr:spPr>
        <a:xfrm>
          <a:off x="0" y="51015900"/>
          <a:ext cx="6400561" cy="2515044"/>
        </a:xfrm>
        <a:prstGeom prst="rect">
          <a:avLst/>
        </a:prstGeom>
      </xdr:spPr>
    </xdr:pic>
    <xdr:clientData/>
  </xdr:twoCellAnchor>
  <xdr:twoCellAnchor editAs="oneCell">
    <xdr:from>
      <xdr:col>0</xdr:col>
      <xdr:colOff>0</xdr:colOff>
      <xdr:row>62</xdr:row>
      <xdr:rowOff>161924</xdr:rowOff>
    </xdr:from>
    <xdr:to>
      <xdr:col>4</xdr:col>
      <xdr:colOff>1457325</xdr:colOff>
      <xdr:row>80</xdr:row>
      <xdr:rowOff>140293</xdr:rowOff>
    </xdr:to>
    <xdr:pic>
      <xdr:nvPicPr>
        <xdr:cNvPr id="8" name="Imagen 7">
          <a:extLst>
            <a:ext uri="{FF2B5EF4-FFF2-40B4-BE49-F238E27FC236}">
              <a16:creationId xmlns:a16="http://schemas.microsoft.com/office/drawing/2014/main" id="{B7EC4A1A-298A-6F98-49B8-4D1503AFFEEF}"/>
            </a:ext>
          </a:extLst>
        </xdr:cNvPr>
        <xdr:cNvPicPr>
          <a:picLocks noChangeAspect="1"/>
        </xdr:cNvPicPr>
      </xdr:nvPicPr>
      <xdr:blipFill>
        <a:blip xmlns:r="http://schemas.openxmlformats.org/officeDocument/2006/relationships" r:embed="rId4"/>
        <a:stretch>
          <a:fillRect/>
        </a:stretch>
      </xdr:blipFill>
      <xdr:spPr>
        <a:xfrm>
          <a:off x="0" y="55168799"/>
          <a:ext cx="7029450" cy="3597869"/>
        </a:xfrm>
        <a:prstGeom prst="rect">
          <a:avLst/>
        </a:prstGeom>
      </xdr:spPr>
    </xdr:pic>
    <xdr:clientData/>
  </xdr:twoCellAnchor>
  <xdr:twoCellAnchor editAs="oneCell">
    <xdr:from>
      <xdr:col>0</xdr:col>
      <xdr:colOff>0</xdr:colOff>
      <xdr:row>83</xdr:row>
      <xdr:rowOff>0</xdr:rowOff>
    </xdr:from>
    <xdr:to>
      <xdr:col>4</xdr:col>
      <xdr:colOff>1295399</xdr:colOff>
      <xdr:row>97</xdr:row>
      <xdr:rowOff>21551</xdr:rowOff>
    </xdr:to>
    <xdr:pic>
      <xdr:nvPicPr>
        <xdr:cNvPr id="9" name="Imagen 8">
          <a:extLst>
            <a:ext uri="{FF2B5EF4-FFF2-40B4-BE49-F238E27FC236}">
              <a16:creationId xmlns:a16="http://schemas.microsoft.com/office/drawing/2014/main" id="{4A3A7582-D37E-50AF-8B83-3447F0CF871D}"/>
            </a:ext>
          </a:extLst>
        </xdr:cNvPr>
        <xdr:cNvPicPr>
          <a:picLocks noChangeAspect="1"/>
        </xdr:cNvPicPr>
      </xdr:nvPicPr>
      <xdr:blipFill>
        <a:blip xmlns:r="http://schemas.openxmlformats.org/officeDocument/2006/relationships" r:embed="rId5"/>
        <a:stretch>
          <a:fillRect/>
        </a:stretch>
      </xdr:blipFill>
      <xdr:spPr>
        <a:xfrm>
          <a:off x="0" y="59007375"/>
          <a:ext cx="6867524" cy="27838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Categorías" displayName="Tabla_Categorías" ref="P10:Y11" totalsRowShown="0" headerRowDxfId="20" dataDxfId="18" headerRowBorderDxfId="19" tableBorderDxfId="17" totalsRowBorderDxfId="16" dataCellStyle="Porcentaje">
  <autoFilter ref="P10:Y11" xr:uid="{00000000-0009-0000-0100-000001000000}"/>
  <tableColumns count="10">
    <tableColumn id="1" xr3:uid="{00000000-0010-0000-0000-000001000000}" name="Marcador sin Goles" dataDxfId="15" dataCellStyle="Porcentaje">
      <calculatedColumnFormula>IF(M3=1,P3,IF(M3=2,P4,IF(M3=3,P5,IF(M3=4,P6,IF(M3=5,P7,IF(M3=6,P8,IF(M3=7,P9,P4)))))))</calculatedColumnFormula>
    </tableColumn>
    <tableColumn id="2" xr3:uid="{00000000-0010-0000-0000-000002000000}" name="Goles Local" dataDxfId="14" dataCellStyle="Porcentaje">
      <calculatedColumnFormula>IF(M3=1,Q3,IF(M3=2,Q4,IF(M3=3,Q5,IF(M3=4,Q6,IF(M3=5,Q7,IF(M3=6,Q8,IF(M3=7,Q9,Q4)))))))</calculatedColumnFormula>
    </tableColumn>
    <tableColumn id="3" xr3:uid="{00000000-0010-0000-0000-000003000000}" name="Goles Visitante" dataDxfId="13" dataCellStyle="Porcentaje">
      <calculatedColumnFormula>IF(M3=1,R3,IF(M3=2,R4,IF(M3=3,R5,IF(M3=4,R6,IF(M3=5,R7,IF(M3=6,R8,IF(M3=7,R9,R4)))))))</calculatedColumnFormula>
    </tableColumn>
    <tableColumn id="4" xr3:uid="{00000000-0010-0000-0000-000004000000}" name="BTTS_yes" dataDxfId="12" dataCellStyle="Porcentaje">
      <calculatedColumnFormula>IF(M3=1,S3,IF(M3=2,S4,IF(M3=3,S5,IF(M3=4,S6,IF(M3=5,S7,IF(M3=6,S8,IF(M3=7,S9,S4)))))))</calculatedColumnFormula>
    </tableColumn>
    <tableColumn id="5" xr3:uid="{00000000-0010-0000-0000-000005000000}" name="_x000a_BTTS-no" dataDxfId="11" dataCellStyle="Porcentaje">
      <calculatedColumnFormula>IF(M3=1,T3,IF(M3=2,T4,IF(M3=3,T5,IF(M3=4,T6,IF(M3=5,T7,IF(M3=6,T8,IF(M3=7,T9,T4)))))))</calculatedColumnFormula>
    </tableColumn>
    <tableColumn id="6" xr3:uid="{00000000-0010-0000-0000-000006000000}" name=" Empate del Partido" dataDxfId="10" dataCellStyle="Porcentaje">
      <calculatedColumnFormula>IF(M3=1,U3,IF(M3=2,U4,IF(M3=3,U5,IF(M3=4,U6,IF(M3=5,U7,IF(M3=6,U8,IF(M3=7,U9,U4)))))))</calculatedColumnFormula>
    </tableColumn>
    <tableColumn id="7" xr3:uid="{00000000-0010-0000-0000-000007000000}" name="Victoria Local" dataDxfId="9" dataCellStyle="Porcentaje">
      <calculatedColumnFormula>IF(M3=1,V3,IF(M3=2,V4,IF(M3=3,V5,IF(M3=4,V6,IF(M3=5,V7,IF(M3=6,V8,IF(M3=7,V9,V4)))))))</calculatedColumnFormula>
    </tableColumn>
    <tableColumn id="8" xr3:uid="{00000000-0010-0000-0000-000008000000}" name="Victoria Visitante" dataDxfId="8" dataCellStyle="Porcentaje">
      <calculatedColumnFormula>IF(M3=1,W3,IF(M3=2,W4,IF(M3=3,W5,IF(M3=4,W6,IF(M3=5,W7,IF(M3=6,W8,IF(M3=7,W9,W4)))))))</calculatedColumnFormula>
    </tableColumn>
    <tableColumn id="9" xr3:uid="{00000000-0010-0000-0000-000009000000}" name="Pérdida Local" dataDxfId="7" dataCellStyle="Porcentaje">
      <calculatedColumnFormula>IF(M3=1,X3,IF(M3=2,X4,IF(M3=3,X5,IF(M3=4,X6,IF(M3=5,X7,IF(M3=6,X8,IF(M3=7,X9,X4)))))))</calculatedColumnFormula>
    </tableColumn>
    <tableColumn id="10" xr3:uid="{00000000-0010-0000-0000-00000A000000}" name="Pérdida Visitante" dataDxfId="6" dataCellStyle="Porcentaje">
      <calculatedColumnFormula>IF(M3=1,Y3,IF(M3=2,Y4,IF(M3=3,Y5,IF(M3=4,Y6,IF(M3=5,Y7,IF(M3=6,Y8,IF(M3=7,Y9,Y4)))))))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a4" displayName="Tabla4" ref="A76:D86" totalsRowShown="0" headerRowDxfId="5" dataDxfId="4">
  <autoFilter ref="A76:D86" xr:uid="{00000000-0009-0000-0100-000002000000}"/>
  <tableColumns count="4">
    <tableColumn id="1" xr3:uid="{00000000-0010-0000-0100-000001000000}" name="Indicador" dataDxfId="3"/>
    <tableColumn id="2" xr3:uid="{00000000-0010-0000-0100-000002000000}" name="Valor Original" dataDxfId="2"/>
    <tableColumn id="3" xr3:uid="{00000000-0010-0000-0100-000003000000}" name="Valor Ajustado" dataDxfId="1"/>
    <tableColumn id="4" xr3:uid="{00000000-0010-0000-0100-000004000000}" name="Justificación" dataDxfId="0"/>
  </tableColumns>
  <tableStyleInfo name="TableStyleMedium2"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ootystats.org/predictions/"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hyperlink" Target="https://footystats.org/predictions/"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3" Type="http://schemas.openxmlformats.org/officeDocument/2006/relationships/hyperlink" Target="https://es.360player.com/product/statistics?utm_source=chatgpt.com" TargetMode="External"/><Relationship Id="rId18" Type="http://schemas.openxmlformats.org/officeDocument/2006/relationships/hyperlink" Target="https://es.wikipedia.org/wiki/Classora?utm_source=chatgpt.com" TargetMode="External"/><Relationship Id="rId26" Type="http://schemas.openxmlformats.org/officeDocument/2006/relationships/hyperlink" Target="https://api.besoccer.com/es/documentacion?utm_source=chatgpt.com" TargetMode="External"/><Relationship Id="rId39" Type="http://schemas.openxmlformats.org/officeDocument/2006/relationships/hyperlink" Target="https://as.com/futbol/360player-la-app-de-referencia-de-barca-academy-y-rafa-nadal-academy-acelera-su-expansion-n/?utm_source=chatgpt.com" TargetMode="External"/><Relationship Id="rId21" Type="http://schemas.openxmlformats.org/officeDocument/2006/relationships/hyperlink" Target="https://es.wikipedia.org/wiki/Sportian?utm_source=chatgpt.com" TargetMode="External"/><Relationship Id="rId34" Type="http://schemas.openxmlformats.org/officeDocument/2006/relationships/hyperlink" Target="https://www.classora.com/" TargetMode="External"/><Relationship Id="rId7" Type="http://schemas.openxmlformats.org/officeDocument/2006/relationships/hyperlink" Target="https://foroapuestas.forobet.com/MDBA-BF-FORO-TXT" TargetMode="External"/><Relationship Id="rId12" Type="http://schemas.openxmlformats.org/officeDocument/2006/relationships/hyperlink" Target="https://api.besoccer.com/?utm_source=chatgpt.com" TargetMode="External"/><Relationship Id="rId17" Type="http://schemas.openxmlformats.org/officeDocument/2006/relationships/hyperlink" Target="https://foroapuestas.forobet.com/betfair/55166-primeros-pasos-con-el-api-de-betfair-version-es.html" TargetMode="External"/><Relationship Id="rId25" Type="http://schemas.openxmlformats.org/officeDocument/2006/relationships/hyperlink" Target="https://api.besoccer.com/?utm_source=chatgpt.com" TargetMode="External"/><Relationship Id="rId33" Type="http://schemas.openxmlformats.org/officeDocument/2006/relationships/hyperlink" Target="https://www.360player.com/" TargetMode="External"/><Relationship Id="rId38" Type="http://schemas.openxmlformats.org/officeDocument/2006/relationships/hyperlink" Target="https://objetivoanalista.com/mejores-software-de-videoanalisis-de-futbol/?utm_source=chatgpt.com" TargetMode="External"/><Relationship Id="rId2" Type="http://schemas.openxmlformats.org/officeDocument/2006/relationships/hyperlink" Target="https://geekflare.com/es/topic/api/" TargetMode="External"/><Relationship Id="rId16" Type="http://schemas.openxmlformats.org/officeDocument/2006/relationships/hyperlink" Target="https://foroapuestas.forobet.com/betfair/55166-primeros-pasos-con-el-api-de-betfair-version-es.html" TargetMode="External"/><Relationship Id="rId20" Type="http://schemas.openxmlformats.org/officeDocument/2006/relationships/hyperlink" Target="https://es.wikipedia.org/wiki/InStat?utm_source=chatgpt.com" TargetMode="External"/><Relationship Id="rId29" Type="http://schemas.openxmlformats.org/officeDocument/2006/relationships/hyperlink" Target="https://www.sportian.com/" TargetMode="External"/><Relationship Id="rId1" Type="http://schemas.openxmlformats.org/officeDocument/2006/relationships/hyperlink" Target="https://foroapuestas.forobet.com/betfair/55166-primeros-pasos-con-el-api-de-betfair-version-es.html" TargetMode="External"/><Relationship Id="rId6" Type="http://schemas.openxmlformats.org/officeDocument/2006/relationships/hyperlink" Target="https://api.developer.betfair.com/services/webapps/docs/display/1smk3cen4v3lu3yomq5qye0ni/Non-Interactive+%28bot%29+login" TargetMode="External"/><Relationship Id="rId11" Type="http://schemas.openxmlformats.org/officeDocument/2006/relationships/hyperlink" Target="https://foroapuestas.forobet.com/MDBA-BF-FORO-TXT" TargetMode="External"/><Relationship Id="rId24" Type="http://schemas.openxmlformats.org/officeDocument/2006/relationships/hyperlink" Target="https://api.besoccer.com/" TargetMode="External"/><Relationship Id="rId32" Type="http://schemas.openxmlformats.org/officeDocument/2006/relationships/hyperlink" Target="https://api.instatfootball.com/" TargetMode="External"/><Relationship Id="rId37" Type="http://schemas.openxmlformats.org/officeDocument/2006/relationships/hyperlink" Target="https://objetivoanalista.com/mejores-software-de-videoanalisis-de-futbol/?utm_source=chatgpt.com" TargetMode="External"/><Relationship Id="rId40" Type="http://schemas.openxmlformats.org/officeDocument/2006/relationships/hyperlink" Target="https://footystats.org/es/api/?utm_source=chatgpt.com" TargetMode="External"/><Relationship Id="rId5" Type="http://schemas.openxmlformats.org/officeDocument/2006/relationships/hyperlink" Target="https://myaccount.betfair.es/accountdetails/mysecurity?showAPI=1" TargetMode="External"/><Relationship Id="rId15" Type="http://schemas.openxmlformats.org/officeDocument/2006/relationships/hyperlink" Target="https://geekflare.com/es/best-sports-apis" TargetMode="External"/><Relationship Id="rId23" Type="http://schemas.openxmlformats.org/officeDocument/2006/relationships/hyperlink" Target="https://api.besoccer.com/" TargetMode="External"/><Relationship Id="rId28" Type="http://schemas.openxmlformats.org/officeDocument/2006/relationships/hyperlink" Target="https://instatsport.com/" TargetMode="External"/><Relationship Id="rId36" Type="http://schemas.openxmlformats.org/officeDocument/2006/relationships/hyperlink" Target="https://www.g2.com/es/products/longomatch/competitors/alternatives?utm_source=chatgpt.com" TargetMode="External"/><Relationship Id="rId10" Type="http://schemas.openxmlformats.org/officeDocument/2006/relationships/hyperlink" Target="https://foroapuestas.forobet.com/MDBA-BF-FORO-TXT" TargetMode="External"/><Relationship Id="rId19" Type="http://schemas.openxmlformats.org/officeDocument/2006/relationships/hyperlink" Target="https://es.wikipedia.org/wiki/BeSoccer?utm_source=chatgpt.com" TargetMode="External"/><Relationship Id="rId31" Type="http://schemas.openxmlformats.org/officeDocument/2006/relationships/hyperlink" Target="https://pro.besoccer.com/reports?utm_source=chatgpt.com" TargetMode="External"/><Relationship Id="rId4" Type="http://schemas.openxmlformats.org/officeDocument/2006/relationships/hyperlink" Target="https://foroapuestas.forobet.com/MDBA-BF-FORO-TXT" TargetMode="External"/><Relationship Id="rId9" Type="http://schemas.openxmlformats.org/officeDocument/2006/relationships/hyperlink" Target="https://foroapuestas.forobet.com/MDBA-BF-FORO-TXT" TargetMode="External"/><Relationship Id="rId14" Type="http://schemas.openxmlformats.org/officeDocument/2006/relationships/hyperlink" Target="https://geekflare.com/es/best-sports-apis" TargetMode="External"/><Relationship Id="rId22" Type="http://schemas.openxmlformats.org/officeDocument/2006/relationships/hyperlink" Target="https://www.postman.com/" TargetMode="External"/><Relationship Id="rId27" Type="http://schemas.openxmlformats.org/officeDocument/2006/relationships/hyperlink" Target="https://openweathermap.org/api?utm_source=chatgpt.com" TargetMode="External"/><Relationship Id="rId30" Type="http://schemas.openxmlformats.org/officeDocument/2006/relationships/hyperlink" Target="https://api.besoccer.com/" TargetMode="External"/><Relationship Id="rId35" Type="http://schemas.openxmlformats.org/officeDocument/2006/relationships/hyperlink" Target="https://www.g2.com/es/products/instat-football/competitors/alternatives?utm_source=chatgpt.com" TargetMode="External"/><Relationship Id="rId8" Type="http://schemas.openxmlformats.org/officeDocument/2006/relationships/hyperlink" Target="http://www.betfair.es/" TargetMode="External"/><Relationship Id="rId3" Type="http://schemas.openxmlformats.org/officeDocument/2006/relationships/hyperlink" Target="https://foroapuestas.forobet.com/betfair/55166-primeros-pasos-con-el-api-de-betfair-version-es.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api.betfair.com/exchange/betting/json-rpc/v1" TargetMode="External"/><Relationship Id="rId18" Type="http://schemas.openxmlformats.org/officeDocument/2006/relationships/hyperlink" Target="https://apidocs.wyscout.com/" TargetMode="External"/><Relationship Id="rId26" Type="http://schemas.openxmlformats.org/officeDocument/2006/relationships/hyperlink" Target="https://www.sportmonks.com/es/futbol-api/" TargetMode="External"/><Relationship Id="rId3" Type="http://schemas.openxmlformats.org/officeDocument/2006/relationships/hyperlink" Target="https://pro.besoccer.com/reports?utm_source=chatgpt.com" TargetMode="External"/><Relationship Id="rId21" Type="http://schemas.openxmlformats.org/officeDocument/2006/relationships/hyperlink" Target="https://api.football-data.org/" TargetMode="External"/><Relationship Id="rId34" Type="http://schemas.openxmlformats.org/officeDocument/2006/relationships/hyperlink" Target="https://www.youtube.com/watch?v=i4vlEyHuEU8" TargetMode="External"/><Relationship Id="rId7" Type="http://schemas.openxmlformats.org/officeDocument/2006/relationships/hyperlink" Target="https://api.openweathermap.org/data/2.5/weather?q=CIUDAD&amp;appid=TU_API_KEY" TargetMode="External"/><Relationship Id="rId12" Type="http://schemas.openxmlformats.org/officeDocument/2006/relationships/hyperlink" Target="https://developer.betfair.com/" TargetMode="External"/><Relationship Id="rId17" Type="http://schemas.openxmlformats.org/officeDocument/2006/relationships/hyperlink" Target="https://api.todoporelfutbol.com/" TargetMode="External"/><Relationship Id="rId25" Type="http://schemas.openxmlformats.org/officeDocument/2006/relationships/hyperlink" Target="https://api-sports.io/" TargetMode="External"/><Relationship Id="rId33" Type="http://schemas.openxmlformats.org/officeDocument/2006/relationships/hyperlink" Target="https://github.com/statsbomb/open-data" TargetMode="External"/><Relationship Id="rId2" Type="http://schemas.openxmlformats.org/officeDocument/2006/relationships/hyperlink" Target="https://api.besoccer.com/v2/%7bendpoint%7d?token=TU_API_KEY" TargetMode="External"/><Relationship Id="rId16" Type="http://schemas.openxmlformats.org/officeDocument/2006/relationships/hyperlink" Target="https://developer.betfair.com/exchange-api/betting-api-demo/?utm_source=chatgpt.com" TargetMode="External"/><Relationship Id="rId20" Type="http://schemas.openxmlformats.org/officeDocument/2006/relationships/hyperlink" Target="https://www.api-football.com/" TargetMode="External"/><Relationship Id="rId29" Type="http://schemas.openxmlformats.org/officeDocument/2006/relationships/hyperlink" Target="https://home.openweathermap.org/home" TargetMode="External"/><Relationship Id="rId1" Type="http://schemas.openxmlformats.org/officeDocument/2006/relationships/hyperlink" Target="https://api.besoccer.com/" TargetMode="External"/><Relationship Id="rId6" Type="http://schemas.openxmlformats.org/officeDocument/2006/relationships/hyperlink" Target="https://openweathermap.org/api" TargetMode="External"/><Relationship Id="rId11" Type="http://schemas.openxmlformats.org/officeDocument/2006/relationships/hyperlink" Target="https://developer.betfair.com/" TargetMode="External"/><Relationship Id="rId24" Type="http://schemas.openxmlformats.org/officeDocument/2006/relationships/hyperlink" Target="https://api.sportradar.com/" TargetMode="External"/><Relationship Id="rId32" Type="http://schemas.openxmlformats.org/officeDocument/2006/relationships/hyperlink" Target="https://www.statsperform.com/opta/" TargetMode="External"/><Relationship Id="rId5" Type="http://schemas.openxmlformats.org/officeDocument/2006/relationships/hyperlink" Target="https://api.instatfootball.com/%7blang%7d/data/%7baction%7d.%7bformat%7d?login=TU_LOGIN&amp;pass=TU_PASSWORD" TargetMode="External"/><Relationship Id="rId15" Type="http://schemas.openxmlformats.org/officeDocument/2006/relationships/hyperlink" Target="https://apps.betfair.com/visualisers/api-ng-sports-operations/?utm_source=chatgpt.com" TargetMode="External"/><Relationship Id="rId23" Type="http://schemas.openxmlformats.org/officeDocument/2006/relationships/hyperlink" Target="https://developer.sportradar.com/" TargetMode="External"/><Relationship Id="rId28" Type="http://schemas.openxmlformats.org/officeDocument/2006/relationships/hyperlink" Target="https://api.besoccer.com/es/panel" TargetMode="External"/><Relationship Id="rId36" Type="http://schemas.openxmlformats.org/officeDocument/2006/relationships/drawing" Target="../drawings/drawing2.xml"/><Relationship Id="rId10" Type="http://schemas.openxmlformats.org/officeDocument/2006/relationships/hyperlink" Target="https://api.football-data.org/" TargetMode="External"/><Relationship Id="rId19" Type="http://schemas.openxmlformats.org/officeDocument/2006/relationships/hyperlink" Target="https://api.wyscout.com/" TargetMode="External"/><Relationship Id="rId31" Type="http://schemas.openxmlformats.org/officeDocument/2006/relationships/hyperlink" Target="https://github.com/statsbomb/open-data" TargetMode="External"/><Relationship Id="rId4" Type="http://schemas.openxmlformats.org/officeDocument/2006/relationships/hyperlink" Target="https://api.instatfootball.com/" TargetMode="External"/><Relationship Id="rId9" Type="http://schemas.openxmlformats.org/officeDocument/2006/relationships/hyperlink" Target="https://www.football-data.org/" TargetMode="External"/><Relationship Id="rId14" Type="http://schemas.openxmlformats.org/officeDocument/2006/relationships/hyperlink" Target="https://support.developer.betfair.com/hc/en-us/articles/115003864651-How-do-I-get-started?utm_source=chatgpt.com" TargetMode="External"/><Relationship Id="rId22" Type="http://schemas.openxmlformats.org/officeDocument/2006/relationships/hyperlink" Target="https://www.statsperform.com/opta/" TargetMode="External"/><Relationship Id="rId27" Type="http://schemas.openxmlformats.org/officeDocument/2006/relationships/hyperlink" Target="mailto:Exito07727483@" TargetMode="External"/><Relationship Id="rId30" Type="http://schemas.openxmlformats.org/officeDocument/2006/relationships/hyperlink" Target="https://www.youtube.com/@SoyJuanjoDigital" TargetMode="External"/><Relationship Id="rId35" Type="http://schemas.openxmlformats.org/officeDocument/2006/relationships/hyperlink" Target="https://www.youtube.com/redirect?event=video_description&amp;redir_token=QUFFLUhqbGppUHRHczZjeW9IRkZzdzZKSjBYVVBKdy1vUXxBQ3Jtc0tuckl5UG1Wd0JsUVZoTVV4STBDSnEzMTNoVGQzR1BGZEZKZUlQYTgxZFlHXzRGZlh1OVBpTEE0RlBfOHNlaU9DOG9aMTFPYWVSbDVSclFFMVJndzBqY0t5cEVzamU2WlR5SHEzcnhUd3lQQ1ZKZkxxSQ&amp;q=https%3A%2F%2Fgithub.com%2Ffedericorabanos%2Ffutbol-data-visualizacion%2Ftree%2Fmain%2Farchivos%2Fstreams-videos&amp;v=i4vlEyHuEU8" TargetMode="External"/><Relationship Id="rId8" Type="http://schemas.openxmlformats.org/officeDocument/2006/relationships/hyperlink" Target="https://statsbomb.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youtube.com/watch?v=XJz4X_8HtGo&amp;t=7s" TargetMode="External"/><Relationship Id="rId2" Type="http://schemas.openxmlformats.org/officeDocument/2006/relationships/hyperlink" Target="https://www.youtube.com/watch?v=2KsJx3ZbSKs" TargetMode="External"/><Relationship Id="rId1" Type="http://schemas.openxmlformats.org/officeDocument/2006/relationships/hyperlink" Target="https://www.youtube.com/watch?v=-01LTOpkKSs&amp;t=1s" TargetMode="External"/><Relationship Id="rId6" Type="http://schemas.openxmlformats.org/officeDocument/2006/relationships/hyperlink" Target="https://www.youtube.com/watch?v=kGFB-NthqDo" TargetMode="External"/><Relationship Id="rId5" Type="http://schemas.openxmlformats.org/officeDocument/2006/relationships/hyperlink" Target="https://www.youtube.com/watch?v=SZzLO-u5n9U" TargetMode="External"/><Relationship Id="rId4" Type="http://schemas.openxmlformats.org/officeDocument/2006/relationships/hyperlink" Target="https://www.youtube.com/watch?v=FbUNMv1dKy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6">
    <tabColor theme="9"/>
  </sheetPr>
  <dimension ref="A1:AQ270"/>
  <sheetViews>
    <sheetView topLeftCell="F1" zoomScale="70" zoomScaleNormal="70" workbookViewId="0">
      <selection activeCell="H5" sqref="H5:M5"/>
    </sheetView>
  </sheetViews>
  <sheetFormatPr baseColWidth="10" defaultRowHeight="23.25"/>
  <cols>
    <col min="2" max="2" width="15.5703125" customWidth="1"/>
    <col min="3" max="3" width="21.7109375" customWidth="1"/>
    <col min="4" max="6" width="22.140625" customWidth="1"/>
    <col min="7" max="8" width="22.140625" style="34" customWidth="1"/>
    <col min="9" max="9" width="20.140625" style="34" customWidth="1"/>
    <col min="10" max="13" width="18.140625" style="34" customWidth="1"/>
    <col min="14" max="14" width="14.28515625" style="34" customWidth="1"/>
    <col min="15" max="15" width="15" style="34" customWidth="1"/>
    <col min="16" max="19" width="13.140625" style="34" customWidth="1"/>
    <col min="20" max="20" width="13" customWidth="1"/>
    <col min="21" max="23" width="12.7109375" customWidth="1"/>
    <col min="24" max="25" width="13.140625" customWidth="1"/>
    <col min="26" max="26" width="8" customWidth="1"/>
    <col min="27" max="27" width="20.140625" style="2" customWidth="1"/>
    <col min="28" max="28" width="9.7109375" customWidth="1"/>
    <col min="29" max="29" width="24.42578125" customWidth="1"/>
    <col min="30" max="31" width="12.85546875" customWidth="1"/>
    <col min="32" max="32" width="64.140625" customWidth="1"/>
    <col min="33" max="34" width="9.7109375" customWidth="1"/>
    <col min="40" max="40" width="11.42578125" style="1" customWidth="1"/>
    <col min="41" max="41" width="67.85546875" style="4" customWidth="1"/>
  </cols>
  <sheetData>
    <row r="1" spans="1:41" ht="38.25" customHeight="1">
      <c r="G1" s="1"/>
      <c r="H1" s="237"/>
      <c r="I1" s="238"/>
      <c r="J1" s="238"/>
      <c r="K1" s="238"/>
      <c r="L1" s="238"/>
      <c r="M1" s="239"/>
      <c r="P1" s="234" t="s">
        <v>0</v>
      </c>
      <c r="Q1" s="234" t="s">
        <v>1</v>
      </c>
      <c r="R1" s="234" t="s">
        <v>2</v>
      </c>
      <c r="S1" s="234" t="s">
        <v>3</v>
      </c>
      <c r="T1" s="234" t="s">
        <v>4</v>
      </c>
      <c r="U1" s="234" t="s">
        <v>5</v>
      </c>
      <c r="V1" s="234" t="s">
        <v>6</v>
      </c>
      <c r="W1" s="234" t="s">
        <v>7</v>
      </c>
      <c r="X1" s="234" t="s">
        <v>8</v>
      </c>
      <c r="Y1" s="234" t="s">
        <v>9</v>
      </c>
      <c r="AC1" s="3" t="s">
        <v>10</v>
      </c>
    </row>
    <row r="2" spans="1:41" ht="36.75" customHeight="1">
      <c r="A2" s="5" t="s">
        <v>11</v>
      </c>
      <c r="B2" s="6" t="s">
        <v>12</v>
      </c>
      <c r="C2" s="5" t="s">
        <v>13</v>
      </c>
      <c r="D2" s="509" t="s">
        <v>14</v>
      </c>
      <c r="E2" s="475"/>
      <c r="G2" s="1"/>
      <c r="H2" s="240"/>
      <c r="I2" s="243"/>
      <c r="J2" s="241"/>
      <c r="K2" s="241"/>
      <c r="L2" s="241"/>
      <c r="M2" s="242"/>
      <c r="O2" s="7" t="s">
        <v>15</v>
      </c>
      <c r="P2" s="8" t="s">
        <v>16</v>
      </c>
      <c r="Q2" s="9" t="s">
        <v>17</v>
      </c>
      <c r="R2" s="5" t="s">
        <v>18</v>
      </c>
      <c r="S2" s="10" t="s">
        <v>19</v>
      </c>
      <c r="T2" s="11" t="s">
        <v>20</v>
      </c>
      <c r="U2" s="5" t="s">
        <v>21</v>
      </c>
      <c r="V2" s="5" t="s">
        <v>22</v>
      </c>
      <c r="W2" s="5" t="s">
        <v>23</v>
      </c>
      <c r="X2" s="5" t="s">
        <v>24</v>
      </c>
      <c r="Y2" s="5" t="s">
        <v>25</v>
      </c>
      <c r="Z2" s="12"/>
      <c r="AC2" s="5" t="s">
        <v>26</v>
      </c>
      <c r="AD2" s="5" t="s">
        <v>27</v>
      </c>
      <c r="AE2" s="5" t="s">
        <v>28</v>
      </c>
      <c r="AF2" s="5" t="s">
        <v>29</v>
      </c>
    </row>
    <row r="3" spans="1:41" ht="31.5" customHeight="1" thickBot="1">
      <c r="A3" s="13"/>
      <c r="B3" s="13"/>
      <c r="C3" s="13"/>
      <c r="D3" s="559"/>
      <c r="E3" s="475"/>
      <c r="G3" s="1"/>
      <c r="H3" s="14"/>
      <c r="I3" s="15"/>
      <c r="J3" s="15"/>
      <c r="K3" s="15"/>
      <c r="L3" s="15"/>
      <c r="M3" s="16"/>
      <c r="O3" s="17" t="s">
        <v>30</v>
      </c>
      <c r="P3" s="18">
        <v>0.31603921568627452</v>
      </c>
      <c r="Q3" s="19">
        <v>0.66755674232309736</v>
      </c>
      <c r="R3" s="19">
        <v>0.33244325767690258</v>
      </c>
      <c r="S3" s="19">
        <v>0.94160432522138227</v>
      </c>
      <c r="T3" s="19">
        <v>5.8395674778617727E-2</v>
      </c>
      <c r="U3" s="250">
        <v>0.57869230979990482</v>
      </c>
      <c r="V3" s="230">
        <v>0.36491848765027279</v>
      </c>
      <c r="W3" s="230">
        <v>0.34276612799324718</v>
      </c>
      <c r="X3" s="235">
        <v>0.45002090157621849</v>
      </c>
      <c r="Y3" s="235">
        <v>0.50741635458455092</v>
      </c>
      <c r="Z3" s="20"/>
      <c r="AC3" s="262" t="s">
        <v>16</v>
      </c>
      <c r="AD3" s="263">
        <v>0.30640000000000001</v>
      </c>
      <c r="AE3" s="263">
        <v>0.185</v>
      </c>
      <c r="AF3" s="264" t="s">
        <v>31</v>
      </c>
    </row>
    <row r="4" spans="1:41" ht="31.5" customHeight="1">
      <c r="G4" s="244" t="s">
        <v>32</v>
      </c>
      <c r="H4" s="523" t="s">
        <v>10</v>
      </c>
      <c r="I4" s="495"/>
      <c r="J4" s="495"/>
      <c r="K4" s="495"/>
      <c r="L4" s="495"/>
      <c r="M4" s="524"/>
      <c r="O4" s="21" t="s">
        <v>33</v>
      </c>
      <c r="P4" s="18">
        <v>0.30637254901960792</v>
      </c>
      <c r="Q4" s="19">
        <v>0.75749377772968296</v>
      </c>
      <c r="R4" s="19">
        <v>0.2425062222703171</v>
      </c>
      <c r="S4" s="19">
        <v>0.8962457023398851</v>
      </c>
      <c r="T4" s="19">
        <v>0.1037542976601149</v>
      </c>
      <c r="U4" s="18">
        <v>0.56019872058321429</v>
      </c>
      <c r="V4" s="230">
        <v>0.33042581583680503</v>
      </c>
      <c r="W4" s="230">
        <v>0.30562476531478688</v>
      </c>
      <c r="X4" s="235">
        <v>0.47651003543754511</v>
      </c>
      <c r="Y4" s="235">
        <v>0.53571433142161973</v>
      </c>
      <c r="Z4" s="20"/>
      <c r="AC4" s="262" t="s">
        <v>17</v>
      </c>
      <c r="AD4" s="263">
        <v>0.75749999999999995</v>
      </c>
      <c r="AE4" s="263">
        <v>0.82099999999999995</v>
      </c>
      <c r="AF4" s="264" t="s">
        <v>34</v>
      </c>
    </row>
    <row r="5" spans="1:41" ht="31.5" customHeight="1">
      <c r="G5" s="244" t="s">
        <v>35</v>
      </c>
      <c r="H5" s="523" t="s">
        <v>36</v>
      </c>
      <c r="I5" s="495"/>
      <c r="J5" s="495"/>
      <c r="K5" s="495"/>
      <c r="L5" s="495"/>
      <c r="M5" s="524"/>
      <c r="O5" s="17" t="s">
        <v>37</v>
      </c>
      <c r="P5" s="18">
        <v>0.32541176470588229</v>
      </c>
      <c r="Q5" s="19">
        <v>0.5724098454493417</v>
      </c>
      <c r="R5" s="19">
        <v>0.37933758393048578</v>
      </c>
      <c r="S5" s="19">
        <v>0.85808977302713196</v>
      </c>
      <c r="T5" s="19">
        <v>0.14191022697286801</v>
      </c>
      <c r="U5" s="18">
        <v>0.45485256568326188</v>
      </c>
      <c r="V5" s="230">
        <v>0.4329637067282639</v>
      </c>
      <c r="W5" s="230">
        <v>0.40062954798844752</v>
      </c>
      <c r="X5" s="236">
        <v>0.43759452673113802</v>
      </c>
      <c r="Y5" s="236">
        <v>0.48161906651556963</v>
      </c>
      <c r="Z5" s="20"/>
      <c r="AC5" s="262" t="s">
        <v>18</v>
      </c>
      <c r="AD5" s="263">
        <v>0.24249999999999999</v>
      </c>
      <c r="AE5" s="263">
        <v>0.19800000000000001</v>
      </c>
      <c r="AF5" s="264" t="s">
        <v>38</v>
      </c>
      <c r="AO5" s="274" t="s">
        <v>39</v>
      </c>
    </row>
    <row r="6" spans="1:41" ht="31.5" customHeight="1">
      <c r="A6" s="522" t="s">
        <v>40</v>
      </c>
      <c r="B6" s="475"/>
      <c r="C6" s="522" t="s">
        <v>41</v>
      </c>
      <c r="D6" s="475"/>
      <c r="G6" s="244" t="s">
        <v>42</v>
      </c>
      <c r="H6" s="523" t="s">
        <v>43</v>
      </c>
      <c r="I6" s="495"/>
      <c r="J6" s="495"/>
      <c r="K6" s="495"/>
      <c r="L6" s="495"/>
      <c r="M6" s="524"/>
      <c r="O6" s="21" t="s">
        <v>44</v>
      </c>
      <c r="P6" s="18">
        <v>0.3253137254901961</v>
      </c>
      <c r="Q6" s="19">
        <v>0.47158688988446118</v>
      </c>
      <c r="R6" s="19">
        <v>0.52841311011553882</v>
      </c>
      <c r="S6" s="19">
        <v>0.53526285920652128</v>
      </c>
      <c r="T6" s="19">
        <v>0.46473714079347872</v>
      </c>
      <c r="U6" s="18">
        <v>0.38368589901659528</v>
      </c>
      <c r="V6" s="230">
        <v>0.4455091141642647</v>
      </c>
      <c r="W6" s="230">
        <v>0.40441461502487391</v>
      </c>
      <c r="X6" s="236">
        <v>0.44378898681644208</v>
      </c>
      <c r="Y6" s="236">
        <v>0.45484098086445007</v>
      </c>
      <c r="Z6" s="20"/>
      <c r="AC6" s="262" t="s">
        <v>45</v>
      </c>
      <c r="AD6" s="263">
        <v>0.8962</v>
      </c>
      <c r="AE6" s="263">
        <v>0.65400000000000003</v>
      </c>
      <c r="AF6" s="264" t="s">
        <v>46</v>
      </c>
      <c r="AO6" s="274" t="s">
        <v>47</v>
      </c>
    </row>
    <row r="7" spans="1:41" ht="31.5" customHeight="1">
      <c r="A7" s="525" t="s">
        <v>48</v>
      </c>
      <c r="B7" s="490"/>
      <c r="C7" s="525" t="s">
        <v>49</v>
      </c>
      <c r="D7" s="490"/>
      <c r="E7" s="22"/>
      <c r="G7" s="1"/>
      <c r="H7" s="523"/>
      <c r="I7" s="495"/>
      <c r="J7" s="495"/>
      <c r="K7" s="495"/>
      <c r="L7" s="495"/>
      <c r="M7" s="524"/>
      <c r="O7" s="17" t="s">
        <v>50</v>
      </c>
      <c r="P7" s="18">
        <v>0.31594117647058823</v>
      </c>
      <c r="Q7" s="19">
        <v>0.62066241606951422</v>
      </c>
      <c r="R7" s="19">
        <v>0.4275901545506583</v>
      </c>
      <c r="S7" s="19">
        <v>0.91201664338806243</v>
      </c>
      <c r="T7" s="19">
        <v>8.7983356611937569E-2</v>
      </c>
      <c r="U7" s="18">
        <v>0.50752564313323811</v>
      </c>
      <c r="V7" s="230">
        <v>0.39356461519066799</v>
      </c>
      <c r="W7" s="230">
        <v>0.35971020192165021</v>
      </c>
      <c r="X7" s="236">
        <v>0.45628908270558732</v>
      </c>
      <c r="Y7" s="236">
        <v>0.506048349586111</v>
      </c>
      <c r="Z7" s="20"/>
      <c r="AC7" s="262" t="s">
        <v>51</v>
      </c>
      <c r="AD7" s="263">
        <v>0.1038</v>
      </c>
      <c r="AE7" s="263">
        <v>0.34599999999999997</v>
      </c>
      <c r="AF7" s="264" t="s">
        <v>52</v>
      </c>
      <c r="AO7" s="274" t="s">
        <v>53</v>
      </c>
    </row>
    <row r="8" spans="1:41" ht="31.5" customHeight="1" thickBot="1">
      <c r="A8" s="491"/>
      <c r="B8" s="492"/>
      <c r="C8" s="491"/>
      <c r="D8" s="492"/>
      <c r="E8" s="23"/>
      <c r="F8" s="24"/>
      <c r="H8" s="25"/>
      <c r="I8" s="26"/>
      <c r="J8" s="26"/>
      <c r="K8" s="26"/>
      <c r="L8" s="26"/>
      <c r="M8" s="27"/>
      <c r="O8" s="17" t="s">
        <v>54</v>
      </c>
      <c r="P8" s="18">
        <v>0.30647058823529411</v>
      </c>
      <c r="Q8" s="19">
        <v>0.5724098454493417</v>
      </c>
      <c r="R8" s="19">
        <v>0.40812238207976692</v>
      </c>
      <c r="S8" s="19">
        <v>0.93957221583076456</v>
      </c>
      <c r="T8" s="19">
        <v>6.0427784169235443E-2</v>
      </c>
      <c r="U8" s="18">
        <v>0.57869230979990482</v>
      </c>
      <c r="V8" s="230">
        <v>0.34590066155167298</v>
      </c>
      <c r="W8" s="230">
        <v>0.31798758492790652</v>
      </c>
      <c r="X8" s="236">
        <v>0.46301774736061002</v>
      </c>
      <c r="Y8" s="236">
        <v>0.48070022104629712</v>
      </c>
      <c r="Z8" s="20"/>
      <c r="AC8" s="262" t="s">
        <v>55</v>
      </c>
      <c r="AD8" s="263">
        <v>0.56020000000000003</v>
      </c>
      <c r="AE8" s="263">
        <v>0.28000000000000003</v>
      </c>
      <c r="AF8" s="264" t="s">
        <v>56</v>
      </c>
    </row>
    <row r="9" spans="1:41" ht="31.5" customHeight="1" thickBot="1">
      <c r="A9" s="28">
        <v>2</v>
      </c>
      <c r="B9" s="29"/>
      <c r="C9" s="29"/>
      <c r="D9" s="28">
        <v>0</v>
      </c>
      <c r="F9" s="30"/>
      <c r="H9" s="31" t="s">
        <v>57</v>
      </c>
      <c r="I9" s="32"/>
      <c r="J9" s="32"/>
      <c r="K9" s="32"/>
      <c r="L9" s="32"/>
      <c r="M9" s="33"/>
      <c r="O9" s="17" t="s">
        <v>58</v>
      </c>
      <c r="P9" s="18">
        <v>0.31574509803921569</v>
      </c>
      <c r="Q9" s="19">
        <v>0.5227391531625718</v>
      </c>
      <c r="R9" s="19">
        <v>0.58111423613188928</v>
      </c>
      <c r="S9" s="19">
        <v>0.33048067019887251</v>
      </c>
      <c r="T9" s="19">
        <v>0.66951932980112749</v>
      </c>
      <c r="U9" s="18">
        <v>0.38368589901659528</v>
      </c>
      <c r="V9" s="230">
        <v>0.45509286561254442</v>
      </c>
      <c r="W9" s="230">
        <v>0.40975681882855258</v>
      </c>
      <c r="X9" s="236">
        <v>0.43759452673113802</v>
      </c>
      <c r="Y9" s="236">
        <v>0.46767434456156248</v>
      </c>
      <c r="Z9" s="20"/>
      <c r="AC9" s="262" t="s">
        <v>22</v>
      </c>
      <c r="AD9" s="263">
        <v>0.33040000000000003</v>
      </c>
      <c r="AE9" s="263">
        <v>0.65500000000000003</v>
      </c>
      <c r="AF9" s="264" t="s">
        <v>59</v>
      </c>
    </row>
    <row r="10" spans="1:41" ht="30.75" customHeight="1">
      <c r="A10" s="509" t="s">
        <v>60</v>
      </c>
      <c r="B10" s="475"/>
      <c r="C10" s="509" t="s">
        <v>61</v>
      </c>
      <c r="D10" s="475"/>
      <c r="E10" s="509" t="s">
        <v>62</v>
      </c>
      <c r="F10" s="475"/>
      <c r="I10" s="35" t="s">
        <v>63</v>
      </c>
      <c r="J10" s="36" t="s">
        <v>33</v>
      </c>
      <c r="K10" s="299"/>
      <c r="P10" s="8" t="s">
        <v>16</v>
      </c>
      <c r="Q10" s="8" t="s">
        <v>17</v>
      </c>
      <c r="R10" s="8" t="s">
        <v>18</v>
      </c>
      <c r="S10" s="11" t="s">
        <v>64</v>
      </c>
      <c r="T10" s="11" t="s">
        <v>65</v>
      </c>
      <c r="U10" s="8" t="s">
        <v>66</v>
      </c>
      <c r="V10" s="8" t="s">
        <v>22</v>
      </c>
      <c r="W10" s="8" t="s">
        <v>23</v>
      </c>
      <c r="X10" s="8" t="s">
        <v>24</v>
      </c>
      <c r="Y10" s="8" t="s">
        <v>25</v>
      </c>
      <c r="AC10" s="262" t="s">
        <v>23</v>
      </c>
      <c r="AD10" s="263">
        <v>0.30559999999999998</v>
      </c>
      <c r="AE10" s="263">
        <v>6.5000000000000002E-2</v>
      </c>
      <c r="AF10" s="264" t="s">
        <v>67</v>
      </c>
    </row>
    <row r="11" spans="1:41" ht="29.25" customHeight="1">
      <c r="A11" s="503" t="s">
        <v>68</v>
      </c>
      <c r="B11" s="475"/>
      <c r="C11" s="535">
        <v>0.36556589780535748</v>
      </c>
      <c r="D11" s="475"/>
      <c r="E11" s="535">
        <v>0.27086613468609638</v>
      </c>
      <c r="F11" s="475"/>
      <c r="G11" s="35" t="s">
        <v>69</v>
      </c>
      <c r="N11" s="37">
        <v>6</v>
      </c>
      <c r="O11" s="11" t="s">
        <v>70</v>
      </c>
      <c r="P11" s="38">
        <v>0.32541176470588229</v>
      </c>
      <c r="Q11" s="38">
        <v>0.5724098454493417</v>
      </c>
      <c r="R11" s="38">
        <v>0.37933758393048578</v>
      </c>
      <c r="S11" s="38">
        <v>0.85808977302713196</v>
      </c>
      <c r="T11" s="38">
        <v>0.14191022697286801</v>
      </c>
      <c r="U11" s="38">
        <v>0.45485256568326188</v>
      </c>
      <c r="V11" s="38">
        <v>0.4329637067282639</v>
      </c>
      <c r="W11" s="38">
        <v>0.40062954798844752</v>
      </c>
      <c r="X11" s="38">
        <v>0.43759452673113802</v>
      </c>
      <c r="Y11" s="38">
        <v>0.48161906651556963</v>
      </c>
      <c r="AC11" s="262" t="s">
        <v>24</v>
      </c>
      <c r="AD11" s="263">
        <v>0.47649999999999998</v>
      </c>
      <c r="AE11" s="263">
        <v>0.10199999999999999</v>
      </c>
      <c r="AF11" s="264" t="s">
        <v>71</v>
      </c>
    </row>
    <row r="12" spans="1:41" ht="31.5" customHeight="1">
      <c r="A12" s="509" t="s">
        <v>72</v>
      </c>
      <c r="B12" s="475"/>
      <c r="C12" s="510">
        <v>0.5724098454493417</v>
      </c>
      <c r="D12" s="475"/>
      <c r="E12" s="510">
        <v>0.4275901545506583</v>
      </c>
      <c r="F12" s="475"/>
      <c r="I12" t="s">
        <v>73</v>
      </c>
      <c r="J12" s="39" t="s">
        <v>74</v>
      </c>
      <c r="P12" s="8" t="s">
        <v>16</v>
      </c>
      <c r="Q12" s="9" t="s">
        <v>17</v>
      </c>
      <c r="R12" s="5" t="s">
        <v>18</v>
      </c>
      <c r="S12" s="10" t="s">
        <v>19</v>
      </c>
      <c r="T12" s="11" t="s">
        <v>20</v>
      </c>
      <c r="U12" s="5" t="s">
        <v>21</v>
      </c>
      <c r="V12" s="5" t="s">
        <v>22</v>
      </c>
      <c r="W12" s="5" t="s">
        <v>23</v>
      </c>
      <c r="X12" s="5" t="s">
        <v>24</v>
      </c>
      <c r="Y12" s="5" t="s">
        <v>25</v>
      </c>
      <c r="AC12" s="262" t="s">
        <v>25</v>
      </c>
      <c r="AD12" s="263">
        <v>0.53569999999999995</v>
      </c>
      <c r="AE12" s="263">
        <v>0.8</v>
      </c>
      <c r="AF12" s="264" t="s">
        <v>75</v>
      </c>
    </row>
    <row r="13" spans="1:41" ht="27" customHeight="1">
      <c r="A13" s="40" t="s">
        <v>76</v>
      </c>
      <c r="N13" s="41"/>
      <c r="O13" s="41"/>
      <c r="P13" s="42"/>
      <c r="Q13" s="41"/>
      <c r="R13" s="41"/>
      <c r="S13" s="41"/>
      <c r="T13" s="41"/>
      <c r="U13" s="41"/>
      <c r="V13" s="41"/>
    </row>
    <row r="14" spans="1:41" ht="44.25" customHeight="1">
      <c r="A14" s="43" t="s">
        <v>77</v>
      </c>
      <c r="B14" s="43" t="s">
        <v>78</v>
      </c>
      <c r="C14" s="44" t="s">
        <v>79</v>
      </c>
      <c r="D14" s="45" t="s">
        <v>80</v>
      </c>
      <c r="E14" s="44" t="s">
        <v>81</v>
      </c>
      <c r="F14" s="45" t="s">
        <v>82</v>
      </c>
      <c r="G14" s="45" t="s">
        <v>83</v>
      </c>
      <c r="H14" s="45" t="s">
        <v>84</v>
      </c>
      <c r="I14" s="45" t="s">
        <v>85</v>
      </c>
      <c r="J14" s="44" t="s">
        <v>86</v>
      </c>
      <c r="K14" s="45" t="s">
        <v>87</v>
      </c>
      <c r="L14" s="45" t="s">
        <v>88</v>
      </c>
      <c r="M14" s="45" t="s">
        <v>89</v>
      </c>
      <c r="N14" s="46" t="s">
        <v>90</v>
      </c>
      <c r="O14" s="47" t="s">
        <v>91</v>
      </c>
      <c r="P14" s="44" t="s">
        <v>92</v>
      </c>
      <c r="Q14" s="44" t="s">
        <v>93</v>
      </c>
      <c r="R14" s="44" t="s">
        <v>94</v>
      </c>
      <c r="S14" s="44" t="s">
        <v>95</v>
      </c>
      <c r="T14" s="44" t="s">
        <v>96</v>
      </c>
      <c r="U14" s="44" t="s">
        <v>97</v>
      </c>
      <c r="V14" s="44" t="s">
        <v>98</v>
      </c>
      <c r="W14" s="48"/>
      <c r="X14" s="48"/>
      <c r="Y14" s="48"/>
      <c r="Z14" s="48"/>
      <c r="AA14" s="49"/>
      <c r="AH14" s="23"/>
      <c r="AI14" s="23"/>
      <c r="AJ14" s="23"/>
    </row>
    <row r="15" spans="1:41" ht="30.75" customHeight="1" thickBot="1">
      <c r="A15" s="10">
        <v>2</v>
      </c>
      <c r="B15" s="10" t="s">
        <v>99</v>
      </c>
      <c r="C15" s="50" t="s">
        <v>48</v>
      </c>
      <c r="D15" s="69">
        <v>24</v>
      </c>
      <c r="E15" s="69">
        <v>13</v>
      </c>
      <c r="F15" s="69">
        <v>8</v>
      </c>
      <c r="G15" s="69">
        <v>3</v>
      </c>
      <c r="H15" s="69">
        <v>46</v>
      </c>
      <c r="I15" s="69">
        <v>26</v>
      </c>
      <c r="J15" s="69">
        <v>20</v>
      </c>
      <c r="K15" s="69">
        <v>47</v>
      </c>
      <c r="L15" s="70">
        <v>1.96</v>
      </c>
      <c r="M15" s="245">
        <v>0.42</v>
      </c>
      <c r="N15" s="246">
        <v>0.54</v>
      </c>
      <c r="O15" s="69">
        <v>1.51</v>
      </c>
      <c r="P15" s="52">
        <v>0.17</v>
      </c>
      <c r="Q15" s="52">
        <v>0.28999999999999998</v>
      </c>
      <c r="R15" s="52">
        <v>0.37</v>
      </c>
      <c r="S15" s="52">
        <v>0.83</v>
      </c>
      <c r="T15" s="246">
        <v>0.71</v>
      </c>
      <c r="U15" s="246">
        <v>0.63</v>
      </c>
      <c r="V15" s="261">
        <v>3</v>
      </c>
      <c r="W15" s="53"/>
      <c r="X15" s="53"/>
      <c r="Y15" s="53"/>
      <c r="Z15" s="53"/>
      <c r="AA15" s="54"/>
    </row>
    <row r="16" spans="1:41" ht="42.75" customHeight="1">
      <c r="A16" s="10"/>
      <c r="B16" s="55"/>
      <c r="C16" s="44" t="s">
        <v>79</v>
      </c>
      <c r="D16" s="47" t="s">
        <v>100</v>
      </c>
      <c r="E16" s="47" t="s">
        <v>101</v>
      </c>
      <c r="F16" s="47" t="s">
        <v>102</v>
      </c>
      <c r="G16" s="56" t="s">
        <v>103</v>
      </c>
      <c r="H16" s="47" t="s">
        <v>104</v>
      </c>
      <c r="I16" s="56" t="s">
        <v>105</v>
      </c>
      <c r="J16" s="57"/>
      <c r="K16" s="57"/>
      <c r="L16" s="57"/>
      <c r="M16" s="57"/>
      <c r="N16" s="57"/>
      <c r="O16" s="57"/>
      <c r="P16" s="57"/>
      <c r="Q16" s="57"/>
      <c r="R16" s="57"/>
      <c r="S16" s="57"/>
      <c r="T16" s="57"/>
      <c r="U16" s="57"/>
      <c r="V16" s="57"/>
      <c r="W16" s="58"/>
      <c r="X16" s="58"/>
      <c r="Y16" s="58"/>
      <c r="Z16" s="58"/>
      <c r="AA16" s="59"/>
    </row>
    <row r="17" spans="1:43" ht="30.75" customHeight="1" thickBot="1">
      <c r="A17" s="10">
        <v>7</v>
      </c>
      <c r="B17" s="60" t="s">
        <v>106</v>
      </c>
      <c r="C17" s="50" t="s">
        <v>48</v>
      </c>
      <c r="D17" s="51">
        <v>1.51</v>
      </c>
      <c r="E17" s="51">
        <v>1.43</v>
      </c>
      <c r="F17" s="51">
        <v>0.08</v>
      </c>
      <c r="G17" s="51">
        <v>1.92</v>
      </c>
      <c r="H17" s="51">
        <v>1.08</v>
      </c>
      <c r="I17" s="71">
        <v>0.41</v>
      </c>
      <c r="J17" s="61"/>
      <c r="K17" s="43"/>
      <c r="L17" s="43"/>
      <c r="M17" s="43"/>
      <c r="N17" s="43"/>
      <c r="O17" s="43"/>
      <c r="P17" s="43"/>
      <c r="Q17" s="43"/>
      <c r="R17" s="43"/>
      <c r="S17" s="43"/>
      <c r="T17" s="43"/>
      <c r="U17" s="43"/>
      <c r="V17" s="43"/>
      <c r="W17" s="62"/>
      <c r="X17" s="62"/>
      <c r="Y17" s="62"/>
      <c r="Z17" s="62"/>
      <c r="AA17" s="63"/>
    </row>
    <row r="18" spans="1:43" ht="30.75" customHeight="1">
      <c r="A18" s="64"/>
      <c r="B18" s="65"/>
      <c r="C18" s="66"/>
      <c r="D18" s="65"/>
      <c r="E18" s="65"/>
      <c r="F18" s="65"/>
      <c r="G18" s="65"/>
      <c r="H18" s="65"/>
      <c r="I18" s="65"/>
      <c r="J18" s="65"/>
      <c r="K18" s="65"/>
      <c r="L18" s="65"/>
      <c r="M18" s="65"/>
      <c r="N18" s="67"/>
      <c r="O18" s="65"/>
      <c r="P18" s="65"/>
      <c r="Q18" s="65"/>
      <c r="R18" s="65"/>
      <c r="S18" s="65"/>
      <c r="T18" s="65"/>
      <c r="U18" s="65"/>
      <c r="V18" s="65"/>
      <c r="W18" s="65"/>
      <c r="X18" s="65"/>
      <c r="Y18" s="65"/>
      <c r="Z18" s="65"/>
      <c r="AA18" s="59"/>
    </row>
    <row r="19" spans="1:43" ht="30.75" customHeight="1">
      <c r="A19" s="68" t="s">
        <v>107</v>
      </c>
      <c r="B19" s="58"/>
      <c r="C19" s="62"/>
      <c r="D19" s="58"/>
      <c r="E19" s="58"/>
      <c r="F19" s="58"/>
      <c r="G19" s="58"/>
      <c r="H19" s="58"/>
      <c r="I19" s="58"/>
      <c r="J19" s="58"/>
      <c r="K19" s="58"/>
      <c r="L19" s="58"/>
      <c r="M19" s="58"/>
      <c r="N19" s="58"/>
      <c r="O19" s="58"/>
      <c r="P19" s="58"/>
      <c r="Q19" s="58"/>
      <c r="R19" s="58"/>
      <c r="S19" s="58"/>
      <c r="T19" s="58"/>
      <c r="U19" s="58"/>
      <c r="V19" s="58"/>
      <c r="W19" s="58"/>
      <c r="X19" s="58"/>
      <c r="Y19" s="58"/>
      <c r="Z19" s="58"/>
      <c r="AA19" s="59"/>
    </row>
    <row r="20" spans="1:43" ht="40.5" customHeight="1">
      <c r="A20" s="43" t="s">
        <v>77</v>
      </c>
      <c r="B20" s="43" t="s">
        <v>78</v>
      </c>
      <c r="C20" s="44" t="s">
        <v>108</v>
      </c>
      <c r="D20" s="45" t="s">
        <v>80</v>
      </c>
      <c r="E20" s="44" t="s">
        <v>81</v>
      </c>
      <c r="F20" s="45" t="s">
        <v>82</v>
      </c>
      <c r="G20" s="45" t="s">
        <v>83</v>
      </c>
      <c r="H20" s="45" t="s">
        <v>84</v>
      </c>
      <c r="I20" s="45" t="s">
        <v>85</v>
      </c>
      <c r="J20" s="44" t="s">
        <v>86</v>
      </c>
      <c r="K20" s="45" t="s">
        <v>87</v>
      </c>
      <c r="L20" s="45" t="s">
        <v>88</v>
      </c>
      <c r="M20" s="45" t="s">
        <v>89</v>
      </c>
      <c r="N20" s="46" t="s">
        <v>90</v>
      </c>
      <c r="O20" s="45" t="s">
        <v>91</v>
      </c>
      <c r="P20" s="44" t="s">
        <v>92</v>
      </c>
      <c r="Q20" s="44" t="s">
        <v>93</v>
      </c>
      <c r="R20" s="44" t="s">
        <v>94</v>
      </c>
      <c r="S20" s="44" t="s">
        <v>95</v>
      </c>
      <c r="T20" s="44" t="s">
        <v>96</v>
      </c>
      <c r="U20" s="44" t="s">
        <v>97</v>
      </c>
      <c r="V20" s="44" t="s">
        <v>98</v>
      </c>
      <c r="W20" s="48"/>
      <c r="X20" s="48"/>
      <c r="Y20" s="48"/>
      <c r="Z20" s="48"/>
      <c r="AA20" s="49"/>
      <c r="AJ20" s="40" t="s">
        <v>109</v>
      </c>
    </row>
    <row r="21" spans="1:43" ht="30.75" customHeight="1" thickBot="1">
      <c r="A21" s="10">
        <v>4</v>
      </c>
      <c r="B21" s="10" t="s">
        <v>99</v>
      </c>
      <c r="C21" s="50" t="s">
        <v>49</v>
      </c>
      <c r="D21" s="69">
        <v>24</v>
      </c>
      <c r="E21" s="69">
        <v>11</v>
      </c>
      <c r="F21" s="69">
        <v>6</v>
      </c>
      <c r="G21" s="69">
        <v>7</v>
      </c>
      <c r="H21" s="69">
        <v>29</v>
      </c>
      <c r="I21" s="69">
        <v>25</v>
      </c>
      <c r="J21" s="69">
        <v>4</v>
      </c>
      <c r="K21" s="69">
        <v>39</v>
      </c>
      <c r="L21" s="70">
        <v>1.63</v>
      </c>
      <c r="M21" s="245">
        <v>0.28999999999999998</v>
      </c>
      <c r="N21" s="246">
        <v>0.57999999999999996</v>
      </c>
      <c r="O21" s="69">
        <v>0.92</v>
      </c>
      <c r="P21" s="52">
        <v>0.17</v>
      </c>
      <c r="Q21" s="52">
        <v>0.37</v>
      </c>
      <c r="R21" s="52">
        <v>0.46</v>
      </c>
      <c r="S21" s="52">
        <v>0.83</v>
      </c>
      <c r="T21" s="260">
        <v>0.63</v>
      </c>
      <c r="U21" s="260">
        <v>0.54</v>
      </c>
      <c r="V21" s="251">
        <v>2.25</v>
      </c>
      <c r="W21" s="53"/>
      <c r="X21" s="53"/>
      <c r="Y21" s="53"/>
      <c r="Z21" s="53"/>
      <c r="AA21" s="54"/>
      <c r="AH21" s="248" t="s">
        <v>110</v>
      </c>
      <c r="AI21" s="249"/>
      <c r="AJ21" s="249"/>
      <c r="AK21" s="249"/>
      <c r="AL21" s="247"/>
    </row>
    <row r="22" spans="1:43" ht="45" customHeight="1">
      <c r="A22" s="10"/>
      <c r="B22" s="55"/>
      <c r="C22" s="44" t="s">
        <v>108</v>
      </c>
      <c r="D22" s="47" t="s">
        <v>100</v>
      </c>
      <c r="E22" s="47" t="s">
        <v>101</v>
      </c>
      <c r="F22" s="47" t="s">
        <v>102</v>
      </c>
      <c r="G22" s="56" t="s">
        <v>103</v>
      </c>
      <c r="H22" s="47" t="s">
        <v>104</v>
      </c>
      <c r="I22" s="56" t="s">
        <v>105</v>
      </c>
      <c r="J22" s="57"/>
      <c r="K22" s="57"/>
      <c r="L22" s="57"/>
      <c r="M22" s="57"/>
      <c r="N22" s="57"/>
      <c r="O22" s="57"/>
      <c r="P22" s="57"/>
      <c r="Q22" s="57"/>
      <c r="R22" s="57"/>
      <c r="S22" s="57"/>
      <c r="T22" s="57"/>
      <c r="U22" s="57"/>
      <c r="V22" s="57"/>
      <c r="W22" s="58"/>
      <c r="X22" s="58"/>
      <c r="Y22" s="58"/>
      <c r="Z22" s="58"/>
      <c r="AA22" s="59"/>
    </row>
    <row r="23" spans="1:43" ht="30.75" customHeight="1" thickBot="1">
      <c r="A23" s="10">
        <v>16</v>
      </c>
      <c r="B23" s="60" t="s">
        <v>106</v>
      </c>
      <c r="C23" s="50" t="s">
        <v>49</v>
      </c>
      <c r="D23" s="69">
        <v>0.92</v>
      </c>
      <c r="E23" s="69">
        <v>1.88</v>
      </c>
      <c r="F23" s="69">
        <v>-0.96</v>
      </c>
      <c r="G23" s="69">
        <v>1.21</v>
      </c>
      <c r="H23" s="69">
        <v>1.04</v>
      </c>
      <c r="I23" s="261">
        <v>0.28999999999999998</v>
      </c>
      <c r="K23" s="43"/>
      <c r="L23" s="43"/>
      <c r="M23" s="43"/>
      <c r="N23" s="43"/>
      <c r="O23" s="43"/>
      <c r="P23" s="43"/>
      <c r="Q23" s="43"/>
      <c r="R23" s="43"/>
      <c r="S23" s="43"/>
      <c r="T23" s="43"/>
      <c r="U23" s="43"/>
      <c r="V23" s="43"/>
      <c r="W23" s="62"/>
      <c r="X23" s="62"/>
      <c r="Y23" s="62"/>
      <c r="Z23" s="62"/>
      <c r="AA23" s="63"/>
      <c r="AC23" s="3" t="s">
        <v>10</v>
      </c>
    </row>
    <row r="24" spans="1:43" ht="23.25" customHeight="1">
      <c r="AC24" s="519" t="s">
        <v>111</v>
      </c>
      <c r="AD24" s="520"/>
      <c r="AE24" s="520"/>
      <c r="AF24" s="520"/>
      <c r="AH24" s="519" t="s">
        <v>112</v>
      </c>
      <c r="AI24" s="520"/>
      <c r="AJ24" s="520"/>
      <c r="AK24" s="520"/>
      <c r="AL24" s="520"/>
      <c r="AM24" s="520"/>
      <c r="AN24" s="562"/>
      <c r="AO24" s="563"/>
      <c r="AP24" s="520"/>
      <c r="AQ24" s="520"/>
    </row>
    <row r="25" spans="1:43" ht="23.25" customHeight="1">
      <c r="AC25" s="520"/>
      <c r="AD25" s="520"/>
      <c r="AE25" s="520"/>
      <c r="AF25" s="520"/>
      <c r="AH25" s="520"/>
      <c r="AI25" s="520"/>
      <c r="AJ25" s="520"/>
      <c r="AK25" s="520"/>
      <c r="AL25" s="520"/>
      <c r="AM25" s="520"/>
      <c r="AN25" s="562"/>
      <c r="AO25" s="563"/>
      <c r="AP25" s="520"/>
      <c r="AQ25" s="520"/>
    </row>
    <row r="26" spans="1:43" ht="23.25" customHeight="1">
      <c r="F26" s="271" t="s">
        <v>113</v>
      </c>
      <c r="AC26" s="520"/>
      <c r="AD26" s="520"/>
      <c r="AE26" s="520"/>
      <c r="AF26" s="520"/>
      <c r="AH26" s="520"/>
      <c r="AI26" s="520"/>
      <c r="AJ26" s="520"/>
      <c r="AK26" s="520"/>
      <c r="AL26" s="520"/>
      <c r="AM26" s="520"/>
      <c r="AN26" s="562"/>
      <c r="AO26" s="563"/>
      <c r="AP26" s="520"/>
      <c r="AQ26" s="520"/>
    </row>
    <row r="27" spans="1:43" s="72" customFormat="1" ht="27.75" customHeight="1">
      <c r="F27" s="270" t="s">
        <v>114</v>
      </c>
      <c r="G27" s="73"/>
      <c r="H27" s="73"/>
      <c r="I27" s="73"/>
      <c r="J27" s="73"/>
      <c r="K27" s="73"/>
      <c r="L27" s="73"/>
      <c r="M27" s="73"/>
      <c r="N27" s="73"/>
      <c r="O27" s="73"/>
      <c r="P27" s="73"/>
      <c r="Q27" s="73"/>
      <c r="R27" s="73"/>
      <c r="S27" s="73"/>
      <c r="AA27" s="2"/>
      <c r="AC27" s="521"/>
      <c r="AD27" s="521"/>
      <c r="AE27" s="521"/>
      <c r="AF27" s="521"/>
      <c r="AH27" s="521"/>
      <c r="AI27" s="521"/>
      <c r="AJ27" s="521"/>
      <c r="AK27" s="521"/>
      <c r="AL27" s="521"/>
      <c r="AM27" s="521"/>
      <c r="AN27" s="521"/>
      <c r="AO27" s="521"/>
      <c r="AP27" s="521"/>
      <c r="AQ27" s="521"/>
    </row>
    <row r="28" spans="1:43" ht="23.25" customHeight="1">
      <c r="O28" s="74"/>
      <c r="P28" s="75"/>
      <c r="Q28" s="75"/>
      <c r="AC28" s="520"/>
      <c r="AD28" s="520"/>
      <c r="AE28" s="520"/>
      <c r="AF28" s="520"/>
      <c r="AH28" s="520"/>
      <c r="AI28" s="520"/>
      <c r="AJ28" s="520"/>
      <c r="AK28" s="520"/>
      <c r="AL28" s="520"/>
      <c r="AM28" s="520"/>
      <c r="AN28" s="562"/>
      <c r="AO28" s="563"/>
      <c r="AP28" s="520"/>
      <c r="AQ28" s="520"/>
    </row>
    <row r="29" spans="1:43" ht="21" customHeight="1">
      <c r="B29" s="252" t="s">
        <v>115</v>
      </c>
      <c r="I29" s="76"/>
      <c r="T29" s="34"/>
      <c r="U29" s="34"/>
      <c r="AC29" s="520"/>
      <c r="AD29" s="520"/>
      <c r="AE29" s="520"/>
      <c r="AF29" s="520"/>
      <c r="AH29" s="520"/>
      <c r="AI29" s="520"/>
      <c r="AJ29" s="520"/>
      <c r="AK29" s="520"/>
      <c r="AL29" s="520"/>
      <c r="AM29" s="520"/>
      <c r="AN29" s="562"/>
      <c r="AO29" s="563"/>
      <c r="AP29" s="520"/>
      <c r="AQ29" s="520"/>
    </row>
    <row r="30" spans="1:43" ht="15" customHeight="1">
      <c r="B30" s="77"/>
      <c r="C30" s="517"/>
      <c r="D30" s="517"/>
      <c r="I30" s="78"/>
      <c r="T30" s="34"/>
      <c r="U30" s="34"/>
      <c r="AC30" s="520"/>
      <c r="AD30" s="520"/>
      <c r="AE30" s="520"/>
      <c r="AF30" s="520"/>
      <c r="AH30" s="520"/>
      <c r="AI30" s="520"/>
      <c r="AJ30" s="520"/>
      <c r="AK30" s="520"/>
      <c r="AL30" s="520"/>
      <c r="AM30" s="520"/>
      <c r="AN30" s="562"/>
      <c r="AO30" s="563"/>
      <c r="AP30" s="520"/>
      <c r="AQ30" s="520"/>
    </row>
    <row r="31" spans="1:43" ht="21" customHeight="1">
      <c r="B31" s="79" t="s">
        <v>116</v>
      </c>
      <c r="C31" s="520"/>
      <c r="D31" s="520"/>
      <c r="I31" s="80"/>
      <c r="T31" s="34"/>
      <c r="U31" s="34"/>
      <c r="AC31" s="520"/>
      <c r="AD31" s="520"/>
      <c r="AE31" s="520"/>
      <c r="AF31" s="520"/>
      <c r="AH31" s="520"/>
      <c r="AI31" s="520"/>
      <c r="AJ31" s="520"/>
      <c r="AK31" s="520"/>
      <c r="AL31" s="520"/>
      <c r="AM31" s="520"/>
      <c r="AN31" s="562"/>
      <c r="AO31" s="563"/>
      <c r="AP31" s="520"/>
      <c r="AQ31" s="520"/>
    </row>
    <row r="32" spans="1:43" ht="37.5" customHeight="1">
      <c r="B32" s="253" t="s">
        <v>26</v>
      </c>
      <c r="C32" s="253" t="s">
        <v>117</v>
      </c>
      <c r="D32" s="253" t="s">
        <v>118</v>
      </c>
      <c r="E32" s="253" t="s">
        <v>117</v>
      </c>
      <c r="F32" s="253" t="s">
        <v>118</v>
      </c>
      <c r="G32" s="81"/>
      <c r="H32" s="81"/>
      <c r="I32" s="80"/>
      <c r="T32" s="34"/>
      <c r="U32" s="34"/>
      <c r="AC32" s="520"/>
      <c r="AD32" s="520"/>
      <c r="AE32" s="520"/>
      <c r="AF32" s="520"/>
      <c r="AH32" s="520"/>
      <c r="AI32" s="520"/>
      <c r="AJ32" s="520"/>
      <c r="AK32" s="520"/>
      <c r="AL32" s="520"/>
      <c r="AM32" s="520"/>
      <c r="AN32" s="562"/>
      <c r="AO32" s="563"/>
      <c r="AP32" s="520"/>
      <c r="AQ32" s="520"/>
    </row>
    <row r="33" spans="2:43" ht="31.5" customHeight="1">
      <c r="B33" s="82" t="s">
        <v>119</v>
      </c>
      <c r="C33" s="83" t="s">
        <v>120</v>
      </c>
      <c r="D33" s="83" t="s">
        <v>121</v>
      </c>
      <c r="E33" s="254">
        <v>0.54</v>
      </c>
      <c r="F33" s="254">
        <v>0.57999999999999996</v>
      </c>
      <c r="G33" s="7" t="s">
        <v>122</v>
      </c>
      <c r="H33" s="477" t="s">
        <v>123</v>
      </c>
      <c r="I33" s="474"/>
      <c r="J33" s="474"/>
      <c r="K33" s="475"/>
      <c r="T33" s="34"/>
      <c r="U33" s="34"/>
      <c r="AC33" s="520"/>
      <c r="AD33" s="520"/>
      <c r="AE33" s="520"/>
      <c r="AF33" s="520"/>
      <c r="AH33" s="520"/>
      <c r="AI33" s="520"/>
      <c r="AJ33" s="520"/>
      <c r="AK33" s="520"/>
      <c r="AL33" s="520"/>
      <c r="AM33" s="520"/>
      <c r="AN33" s="562"/>
      <c r="AO33" s="563"/>
      <c r="AP33" s="520"/>
      <c r="AQ33" s="520"/>
    </row>
    <row r="34" spans="2:43" ht="31.5" customHeight="1">
      <c r="B34" s="84" t="s">
        <v>124</v>
      </c>
      <c r="C34" s="85" t="s">
        <v>125</v>
      </c>
      <c r="D34" s="85" t="s">
        <v>126</v>
      </c>
      <c r="E34" s="255">
        <v>0.42</v>
      </c>
      <c r="F34" s="255">
        <v>0.28999999999999998</v>
      </c>
      <c r="G34" s="7" t="s">
        <v>127</v>
      </c>
      <c r="H34" s="477" t="s">
        <v>128</v>
      </c>
      <c r="I34" s="474"/>
      <c r="J34" s="474"/>
      <c r="K34" s="475"/>
      <c r="L34" s="86"/>
      <c r="M34" s="87"/>
      <c r="T34" s="34"/>
      <c r="U34" s="34"/>
      <c r="AC34" s="520"/>
      <c r="AD34" s="520"/>
      <c r="AE34" s="520"/>
      <c r="AF34" s="520"/>
      <c r="AH34" s="520"/>
      <c r="AI34" s="520"/>
      <c r="AJ34" s="520"/>
      <c r="AK34" s="520"/>
      <c r="AL34" s="520"/>
      <c r="AM34" s="520"/>
      <c r="AN34" s="562"/>
      <c r="AO34" s="563"/>
      <c r="AP34" s="520"/>
      <c r="AQ34" s="520"/>
    </row>
    <row r="35" spans="2:43" ht="31.5" customHeight="1">
      <c r="B35" s="84" t="s">
        <v>129</v>
      </c>
      <c r="C35" s="88" t="s">
        <v>130</v>
      </c>
      <c r="D35" s="89" t="s">
        <v>131</v>
      </c>
      <c r="E35" s="256">
        <v>1.51</v>
      </c>
      <c r="F35" s="257">
        <v>0.92</v>
      </c>
      <c r="G35" s="7" t="s">
        <v>132</v>
      </c>
      <c r="H35" s="477" t="s">
        <v>133</v>
      </c>
      <c r="I35" s="474"/>
      <c r="J35" s="474"/>
      <c r="K35" s="475"/>
      <c r="L35" s="23"/>
      <c r="M35" s="497"/>
      <c r="N35" s="495"/>
      <c r="O35" s="495"/>
      <c r="P35" s="495"/>
      <c r="Q35" s="495"/>
      <c r="T35" s="34"/>
      <c r="U35" s="34"/>
      <c r="AC35" s="520"/>
      <c r="AD35" s="520"/>
      <c r="AE35" s="520"/>
      <c r="AF35" s="520"/>
      <c r="AH35" s="520"/>
      <c r="AI35" s="520"/>
      <c r="AJ35" s="520"/>
      <c r="AK35" s="520"/>
      <c r="AL35" s="520"/>
      <c r="AM35" s="520"/>
      <c r="AN35" s="562"/>
      <c r="AO35" s="563"/>
      <c r="AP35" s="520"/>
      <c r="AQ35" s="520"/>
    </row>
    <row r="36" spans="2:43" ht="31.5" customHeight="1">
      <c r="B36" s="84" t="s">
        <v>134</v>
      </c>
      <c r="C36" s="88" t="s">
        <v>135</v>
      </c>
      <c r="D36" s="88" t="s">
        <v>136</v>
      </c>
      <c r="E36" s="256">
        <v>1.43</v>
      </c>
      <c r="F36" s="256">
        <v>0.92</v>
      </c>
      <c r="G36" s="7" t="s">
        <v>137</v>
      </c>
      <c r="H36" s="477" t="s">
        <v>138</v>
      </c>
      <c r="I36" s="474"/>
      <c r="J36" s="474"/>
      <c r="K36" s="475"/>
      <c r="L36" s="75"/>
      <c r="M36" s="502"/>
      <c r="N36" s="495"/>
      <c r="O36" s="495"/>
      <c r="P36" s="495"/>
      <c r="Q36" s="495"/>
      <c r="T36" s="34"/>
      <c r="U36" s="34"/>
      <c r="AC36" s="520"/>
      <c r="AD36" s="520"/>
      <c r="AE36" s="520"/>
      <c r="AF36" s="520"/>
      <c r="AH36" s="520"/>
      <c r="AI36" s="520"/>
      <c r="AJ36" s="520"/>
      <c r="AK36" s="520"/>
      <c r="AL36" s="520"/>
      <c r="AM36" s="520"/>
      <c r="AN36" s="562"/>
      <c r="AO36" s="563"/>
      <c r="AP36" s="520"/>
      <c r="AQ36" s="520"/>
    </row>
    <row r="37" spans="2:43" ht="31.5" customHeight="1">
      <c r="B37" s="82" t="s">
        <v>82</v>
      </c>
      <c r="C37" s="83" t="s">
        <v>139</v>
      </c>
      <c r="D37" s="83" t="s">
        <v>140</v>
      </c>
      <c r="E37" s="254">
        <v>8</v>
      </c>
      <c r="F37" s="254">
        <v>6</v>
      </c>
      <c r="G37" s="258" t="s">
        <v>82</v>
      </c>
      <c r="H37" s="477" t="s">
        <v>141</v>
      </c>
      <c r="I37" s="474"/>
      <c r="J37" s="474"/>
      <c r="K37" s="475"/>
      <c r="L37" s="75"/>
      <c r="M37" s="497"/>
      <c r="N37" s="495"/>
      <c r="O37" s="495"/>
      <c r="P37" s="495"/>
      <c r="Q37" s="495"/>
      <c r="T37" s="34"/>
      <c r="U37" s="34"/>
      <c r="AH37" s="520"/>
      <c r="AI37" s="520"/>
      <c r="AJ37" s="520"/>
      <c r="AK37" s="520"/>
      <c r="AL37" s="520"/>
      <c r="AM37" s="520"/>
      <c r="AN37" s="562"/>
      <c r="AO37" s="563"/>
      <c r="AP37" s="520"/>
      <c r="AQ37" s="520"/>
    </row>
    <row r="38" spans="2:43" ht="31.5" customHeight="1">
      <c r="B38" s="90" t="s">
        <v>80</v>
      </c>
      <c r="C38" s="83" t="s">
        <v>142</v>
      </c>
      <c r="D38" s="88" t="s">
        <v>143</v>
      </c>
      <c r="E38" s="254">
        <v>24</v>
      </c>
      <c r="F38" s="256">
        <v>24</v>
      </c>
      <c r="G38" s="259" t="s">
        <v>80</v>
      </c>
      <c r="H38" s="477" t="s">
        <v>144</v>
      </c>
      <c r="I38" s="474"/>
      <c r="J38" s="474"/>
      <c r="K38" s="475"/>
      <c r="L38" s="75"/>
      <c r="M38" s="502"/>
      <c r="N38" s="495"/>
      <c r="O38" s="495"/>
      <c r="P38" s="495"/>
      <c r="Q38" s="495"/>
      <c r="T38" s="34"/>
      <c r="U38" s="34"/>
      <c r="AH38" s="520"/>
      <c r="AI38" s="520"/>
      <c r="AJ38" s="520"/>
      <c r="AK38" s="520"/>
      <c r="AL38" s="520"/>
      <c r="AM38" s="520"/>
      <c r="AN38" s="562"/>
      <c r="AO38" s="563"/>
      <c r="AP38" s="520"/>
      <c r="AQ38" s="520"/>
    </row>
    <row r="39" spans="2:43">
      <c r="D39" s="4"/>
      <c r="H39" s="554"/>
      <c r="I39" s="495"/>
      <c r="J39" s="495"/>
      <c r="AH39" s="520"/>
      <c r="AI39" s="520"/>
      <c r="AJ39" s="520"/>
      <c r="AK39" s="520"/>
      <c r="AL39" s="520"/>
      <c r="AM39" s="520"/>
      <c r="AN39" s="562"/>
      <c r="AO39" s="563"/>
      <c r="AP39" s="520"/>
      <c r="AQ39" s="520"/>
    </row>
    <row r="40" spans="2:43" ht="23.25" customHeight="1">
      <c r="D40" s="34"/>
      <c r="K40" s="223"/>
      <c r="AH40" s="520"/>
      <c r="AI40" s="520"/>
      <c r="AJ40" s="520"/>
      <c r="AK40" s="520"/>
      <c r="AL40" s="520"/>
      <c r="AM40" s="520"/>
      <c r="AN40" s="562"/>
      <c r="AO40" s="563"/>
      <c r="AP40" s="520"/>
      <c r="AQ40" s="520"/>
    </row>
    <row r="41" spans="2:43" ht="24" customHeight="1" thickBot="1">
      <c r="D41" s="4"/>
      <c r="K41" s="223"/>
      <c r="AH41" s="520"/>
      <c r="AI41" s="520"/>
      <c r="AJ41" s="520"/>
      <c r="AK41" s="520"/>
      <c r="AL41" s="520"/>
      <c r="AM41" s="520"/>
      <c r="AN41" s="562"/>
      <c r="AO41" s="563"/>
      <c r="AP41" s="520"/>
      <c r="AQ41" s="520"/>
    </row>
    <row r="42" spans="2:43" ht="56.25" customHeight="1" thickBot="1">
      <c r="B42" s="557" t="s">
        <v>145</v>
      </c>
      <c r="C42" s="537"/>
      <c r="D42" s="538"/>
      <c r="E42" s="86"/>
      <c r="F42" s="86"/>
      <c r="G42" s="86"/>
      <c r="H42" s="86"/>
      <c r="I42" s="86"/>
      <c r="AH42" s="520"/>
      <c r="AI42" s="520"/>
      <c r="AJ42" s="520"/>
      <c r="AK42" s="520"/>
      <c r="AL42" s="520"/>
      <c r="AM42" s="520"/>
      <c r="AN42" s="562"/>
      <c r="AO42" s="563"/>
      <c r="AP42" s="520"/>
      <c r="AQ42" s="520"/>
    </row>
    <row r="43" spans="2:43" ht="31.5" customHeight="1">
      <c r="B43" s="501" t="s">
        <v>146</v>
      </c>
      <c r="C43" s="501" t="s">
        <v>147</v>
      </c>
      <c r="D43" s="501" t="s">
        <v>148</v>
      </c>
      <c r="E43" s="505"/>
      <c r="F43" s="506" t="s">
        <v>149</v>
      </c>
      <c r="G43" s="490"/>
      <c r="H43" s="506" t="s">
        <v>150</v>
      </c>
      <c r="I43" s="490"/>
      <c r="J43" s="544"/>
      <c r="K43" s="534" t="s">
        <v>151</v>
      </c>
      <c r="O43" s="77"/>
      <c r="P43" s="517"/>
      <c r="Q43" s="517"/>
      <c r="AH43" s="520"/>
      <c r="AI43" s="520"/>
      <c r="AJ43" s="520"/>
      <c r="AK43" s="520"/>
      <c r="AL43" s="520"/>
      <c r="AM43" s="520"/>
      <c r="AN43" s="562"/>
      <c r="AO43" s="563"/>
      <c r="AP43" s="520"/>
      <c r="AQ43" s="520"/>
    </row>
    <row r="44" spans="2:43" ht="45.75" customHeight="1">
      <c r="B44" s="472"/>
      <c r="C44" s="472"/>
      <c r="D44" s="491"/>
      <c r="E44" s="492"/>
      <c r="F44" s="491"/>
      <c r="G44" s="492"/>
      <c r="H44" s="491"/>
      <c r="I44" s="492"/>
      <c r="J44" s="545"/>
      <c r="K44" s="472"/>
      <c r="O44" s="91"/>
      <c r="P44" s="495"/>
      <c r="Q44" s="495"/>
      <c r="AH44" s="520"/>
      <c r="AI44" s="520"/>
      <c r="AJ44" s="520"/>
      <c r="AK44" s="520"/>
      <c r="AL44" s="520"/>
      <c r="AM44" s="520"/>
      <c r="AN44" s="562"/>
      <c r="AO44" s="563"/>
      <c r="AP44" s="520"/>
      <c r="AQ44" s="520"/>
    </row>
    <row r="45" spans="2:43" ht="45" customHeight="1">
      <c r="B45" s="471"/>
      <c r="C45" s="92" t="s">
        <v>152</v>
      </c>
      <c r="D45" s="471" t="s">
        <v>153</v>
      </c>
      <c r="E45" s="492"/>
      <c r="F45" s="471" t="s">
        <v>154</v>
      </c>
      <c r="G45" s="492"/>
      <c r="H45" s="471" t="s">
        <v>155</v>
      </c>
      <c r="I45" s="492"/>
      <c r="J45" s="552"/>
      <c r="K45" s="550" t="s">
        <v>156</v>
      </c>
      <c r="O45" s="81"/>
      <c r="P45" s="81"/>
      <c r="Q45" s="81"/>
      <c r="AH45" s="520"/>
      <c r="AI45" s="520"/>
      <c r="AJ45" s="520"/>
      <c r="AK45" s="520"/>
      <c r="AL45" s="520"/>
      <c r="AM45" s="520"/>
      <c r="AN45" s="562"/>
      <c r="AO45" s="563"/>
      <c r="AP45" s="520"/>
      <c r="AQ45" s="520"/>
    </row>
    <row r="46" spans="2:43" ht="41.25" customHeight="1">
      <c r="B46" s="472"/>
      <c r="C46" s="93" t="s">
        <v>157</v>
      </c>
      <c r="D46" s="511">
        <v>0.79499999999999993</v>
      </c>
      <c r="E46" s="492"/>
      <c r="F46" s="511">
        <v>0.61006410783309528</v>
      </c>
      <c r="G46" s="492"/>
      <c r="H46" s="511">
        <v>8.3333333333333329E-2</v>
      </c>
      <c r="I46" s="492"/>
      <c r="J46" s="545"/>
      <c r="K46" s="472"/>
      <c r="O46" s="94"/>
      <c r="P46" s="95"/>
      <c r="Q46" s="95"/>
      <c r="AH46" s="520"/>
      <c r="AI46" s="520"/>
      <c r="AJ46" s="520"/>
      <c r="AK46" s="520"/>
      <c r="AL46" s="520"/>
      <c r="AM46" s="520"/>
      <c r="AN46" s="562"/>
      <c r="AO46" s="563"/>
      <c r="AP46" s="520"/>
      <c r="AQ46" s="520"/>
    </row>
    <row r="47" spans="2:43" ht="31.5" customHeight="1">
      <c r="B47" s="476" t="s">
        <v>30</v>
      </c>
      <c r="C47" s="513"/>
      <c r="D47" s="489">
        <v>0.4</v>
      </c>
      <c r="E47" s="490"/>
      <c r="F47" s="489">
        <v>0.4</v>
      </c>
      <c r="G47" s="490"/>
      <c r="H47" s="489">
        <v>0.2</v>
      </c>
      <c r="I47" s="490"/>
      <c r="J47" s="476" t="s">
        <v>30</v>
      </c>
      <c r="K47" s="496">
        <v>0.57869230979990482</v>
      </c>
      <c r="M47" s="96"/>
      <c r="O47" s="97"/>
      <c r="P47" s="98"/>
      <c r="Q47" s="98"/>
      <c r="AH47" s="520"/>
      <c r="AI47" s="520"/>
      <c r="AJ47" s="520"/>
      <c r="AK47" s="520"/>
      <c r="AL47" s="520"/>
      <c r="AM47" s="520"/>
      <c r="AN47" s="562"/>
      <c r="AO47" s="563"/>
      <c r="AP47" s="520"/>
      <c r="AQ47" s="520"/>
    </row>
    <row r="48" spans="2:43" ht="31.5" customHeight="1">
      <c r="B48" s="472"/>
      <c r="C48" s="472"/>
      <c r="D48" s="491"/>
      <c r="E48" s="492"/>
      <c r="F48" s="491"/>
      <c r="G48" s="492"/>
      <c r="H48" s="491"/>
      <c r="I48" s="492"/>
      <c r="J48" s="472"/>
      <c r="K48" s="472"/>
      <c r="M48" s="99"/>
      <c r="O48" s="97"/>
      <c r="P48" s="100"/>
      <c r="Q48" s="101"/>
      <c r="AH48" s="520"/>
      <c r="AI48" s="520"/>
      <c r="AJ48" s="520"/>
      <c r="AK48" s="520"/>
      <c r="AL48" s="520"/>
      <c r="AM48" s="520"/>
      <c r="AN48" s="562"/>
      <c r="AO48" s="563"/>
      <c r="AP48" s="520"/>
      <c r="AQ48" s="520"/>
    </row>
    <row r="49" spans="2:43" ht="31.5" customHeight="1">
      <c r="B49" s="485" t="s">
        <v>33</v>
      </c>
      <c r="C49" s="512"/>
      <c r="D49" s="504">
        <v>0.3</v>
      </c>
      <c r="E49" s="490"/>
      <c r="F49" s="504">
        <v>0.5</v>
      </c>
      <c r="G49" s="490"/>
      <c r="H49" s="504">
        <v>0.2</v>
      </c>
      <c r="I49" s="490"/>
      <c r="J49" s="485" t="s">
        <v>33</v>
      </c>
      <c r="K49" s="496">
        <v>0.56019872058321429</v>
      </c>
      <c r="M49" s="96"/>
      <c r="O49" s="97"/>
      <c r="P49" s="100"/>
      <c r="Q49" s="100"/>
      <c r="AH49" s="520"/>
      <c r="AI49" s="520"/>
      <c r="AJ49" s="520"/>
      <c r="AK49" s="520"/>
      <c r="AL49" s="520"/>
      <c r="AM49" s="520"/>
      <c r="AN49" s="562"/>
      <c r="AO49" s="563"/>
      <c r="AP49" s="520"/>
      <c r="AQ49" s="520"/>
    </row>
    <row r="50" spans="2:43" ht="31.5" customHeight="1">
      <c r="B50" s="472"/>
      <c r="C50" s="472"/>
      <c r="D50" s="491"/>
      <c r="E50" s="492"/>
      <c r="F50" s="491"/>
      <c r="G50" s="492"/>
      <c r="H50" s="491"/>
      <c r="I50" s="492"/>
      <c r="J50" s="472"/>
      <c r="K50" s="472"/>
      <c r="O50" s="94"/>
      <c r="P50" s="95"/>
      <c r="Q50" s="95"/>
      <c r="AH50" s="520"/>
      <c r="AI50" s="520"/>
      <c r="AJ50" s="520"/>
      <c r="AK50" s="520"/>
      <c r="AL50" s="520"/>
      <c r="AM50" s="520"/>
      <c r="AN50" s="562"/>
      <c r="AO50" s="563"/>
      <c r="AP50" s="520"/>
      <c r="AQ50" s="520"/>
    </row>
    <row r="51" spans="2:43" ht="31.5" customHeight="1">
      <c r="B51" s="476" t="s">
        <v>37</v>
      </c>
      <c r="C51" s="513"/>
      <c r="D51" s="489">
        <v>0.3</v>
      </c>
      <c r="E51" s="490"/>
      <c r="F51" s="489">
        <v>0.3</v>
      </c>
      <c r="G51" s="490"/>
      <c r="H51" s="489">
        <v>0.4</v>
      </c>
      <c r="I51" s="490"/>
      <c r="J51" s="476" t="s">
        <v>37</v>
      </c>
      <c r="K51" s="496">
        <v>0.45485256568326188</v>
      </c>
      <c r="M51" s="102"/>
      <c r="O51" s="97"/>
      <c r="P51" s="95"/>
      <c r="Q51" s="100"/>
      <c r="AH51" s="520"/>
      <c r="AI51" s="520"/>
      <c r="AJ51" s="520"/>
      <c r="AK51" s="520"/>
      <c r="AL51" s="520"/>
      <c r="AM51" s="520"/>
      <c r="AN51" s="562"/>
      <c r="AO51" s="563"/>
      <c r="AP51" s="520"/>
      <c r="AQ51" s="520"/>
    </row>
    <row r="52" spans="2:43" ht="31.5" customHeight="1">
      <c r="B52" s="472"/>
      <c r="C52" s="472"/>
      <c r="D52" s="491"/>
      <c r="E52" s="492"/>
      <c r="F52" s="491"/>
      <c r="G52" s="492"/>
      <c r="H52" s="491"/>
      <c r="I52" s="492"/>
      <c r="J52" s="472"/>
      <c r="K52" s="472"/>
      <c r="AH52" s="520"/>
      <c r="AI52" s="520"/>
      <c r="AJ52" s="520"/>
      <c r="AK52" s="520"/>
      <c r="AL52" s="520"/>
      <c r="AM52" s="520"/>
      <c r="AN52" s="562"/>
      <c r="AO52" s="563"/>
      <c r="AP52" s="520"/>
      <c r="AQ52" s="520"/>
    </row>
    <row r="53" spans="2:43" ht="31.5" customHeight="1">
      <c r="B53" s="485" t="s">
        <v>44</v>
      </c>
      <c r="C53" s="512"/>
      <c r="D53" s="504">
        <v>0.2</v>
      </c>
      <c r="E53" s="490"/>
      <c r="F53" s="504">
        <v>0.3</v>
      </c>
      <c r="G53" s="490"/>
      <c r="H53" s="504">
        <v>0.5</v>
      </c>
      <c r="I53" s="490"/>
      <c r="J53" s="485" t="s">
        <v>44</v>
      </c>
      <c r="K53" s="496">
        <v>0.38368589901659528</v>
      </c>
      <c r="AH53" s="520"/>
      <c r="AI53" s="520"/>
      <c r="AJ53" s="520"/>
      <c r="AK53" s="520"/>
      <c r="AL53" s="520"/>
      <c r="AM53" s="520"/>
      <c r="AN53" s="562"/>
      <c r="AO53" s="563"/>
      <c r="AP53" s="520"/>
      <c r="AQ53" s="520"/>
    </row>
    <row r="54" spans="2:43" ht="31.5" customHeight="1">
      <c r="B54" s="472"/>
      <c r="C54" s="472"/>
      <c r="D54" s="491"/>
      <c r="E54" s="492"/>
      <c r="F54" s="491"/>
      <c r="G54" s="492"/>
      <c r="H54" s="491"/>
      <c r="I54" s="492"/>
      <c r="J54" s="472"/>
      <c r="K54" s="472"/>
      <c r="AH54" s="520"/>
      <c r="AI54" s="520"/>
      <c r="AJ54" s="520"/>
      <c r="AK54" s="520"/>
      <c r="AL54" s="520"/>
      <c r="AM54" s="520"/>
      <c r="AN54" s="562"/>
      <c r="AO54" s="563"/>
      <c r="AP54" s="520"/>
      <c r="AQ54" s="520"/>
    </row>
    <row r="55" spans="2:43" ht="31.5" customHeight="1">
      <c r="B55" s="476" t="s">
        <v>50</v>
      </c>
      <c r="C55" s="513"/>
      <c r="D55" s="489">
        <v>0.3</v>
      </c>
      <c r="E55" s="490"/>
      <c r="F55" s="489">
        <v>0.4</v>
      </c>
      <c r="G55" s="490"/>
      <c r="H55" s="489">
        <v>0.3</v>
      </c>
      <c r="I55" s="490"/>
      <c r="J55" s="476" t="s">
        <v>50</v>
      </c>
      <c r="K55" s="496">
        <v>0.50752564313323811</v>
      </c>
      <c r="AH55" s="520"/>
      <c r="AI55" s="520"/>
      <c r="AJ55" s="520"/>
      <c r="AK55" s="520"/>
      <c r="AL55" s="520"/>
      <c r="AM55" s="520"/>
      <c r="AN55" s="562"/>
      <c r="AO55" s="563"/>
      <c r="AP55" s="520"/>
      <c r="AQ55" s="520"/>
    </row>
    <row r="56" spans="2:43" ht="31.5" customHeight="1">
      <c r="B56" s="472"/>
      <c r="C56" s="472"/>
      <c r="D56" s="491"/>
      <c r="E56" s="492"/>
      <c r="F56" s="491"/>
      <c r="G56" s="492"/>
      <c r="H56" s="491"/>
      <c r="I56" s="492"/>
      <c r="J56" s="472"/>
      <c r="K56" s="472"/>
      <c r="AH56" s="520"/>
      <c r="AI56" s="520"/>
      <c r="AJ56" s="520"/>
      <c r="AK56" s="520"/>
      <c r="AL56" s="520"/>
      <c r="AM56" s="520"/>
      <c r="AN56" s="562"/>
      <c r="AO56" s="563"/>
      <c r="AP56" s="520"/>
      <c r="AQ56" s="520"/>
    </row>
    <row r="57" spans="2:43" s="103" customFormat="1" ht="42.75" customHeight="1">
      <c r="B57" s="488" t="s">
        <v>54</v>
      </c>
      <c r="C57" s="512"/>
      <c r="D57" s="504">
        <v>0.4</v>
      </c>
      <c r="E57" s="490"/>
      <c r="F57" s="504">
        <v>0.4</v>
      </c>
      <c r="G57" s="490"/>
      <c r="H57" s="504">
        <v>0.2</v>
      </c>
      <c r="I57" s="490"/>
      <c r="J57" s="488" t="s">
        <v>54</v>
      </c>
      <c r="K57" s="496">
        <v>0.57869230979990482</v>
      </c>
      <c r="AA57" s="104"/>
      <c r="AH57" s="564"/>
      <c r="AI57" s="564"/>
      <c r="AJ57" s="564"/>
      <c r="AK57" s="564"/>
      <c r="AL57" s="564"/>
      <c r="AM57" s="564"/>
      <c r="AN57" s="564"/>
      <c r="AO57" s="564"/>
      <c r="AP57" s="564"/>
      <c r="AQ57" s="564"/>
    </row>
    <row r="58" spans="2:43" s="103" customFormat="1" ht="31.5" customHeight="1">
      <c r="B58" s="472"/>
      <c r="C58" s="472"/>
      <c r="D58" s="491"/>
      <c r="E58" s="492"/>
      <c r="F58" s="491"/>
      <c r="G58" s="492"/>
      <c r="H58" s="491"/>
      <c r="I58" s="492"/>
      <c r="J58" s="472"/>
      <c r="K58" s="472"/>
      <c r="AA58" s="104"/>
      <c r="AH58" s="564"/>
      <c r="AI58" s="564"/>
      <c r="AJ58" s="564"/>
      <c r="AK58" s="564"/>
      <c r="AL58" s="564"/>
      <c r="AM58" s="564"/>
      <c r="AN58" s="564"/>
      <c r="AO58" s="564"/>
      <c r="AP58" s="564"/>
      <c r="AQ58" s="564"/>
    </row>
    <row r="59" spans="2:43" s="103" customFormat="1" ht="31.5" customHeight="1">
      <c r="B59" s="476" t="s">
        <v>58</v>
      </c>
      <c r="C59" s="513"/>
      <c r="D59" s="489">
        <v>0.2</v>
      </c>
      <c r="E59" s="490"/>
      <c r="F59" s="489">
        <v>0.3</v>
      </c>
      <c r="G59" s="490"/>
      <c r="H59" s="489">
        <v>0.5</v>
      </c>
      <c r="I59" s="490"/>
      <c r="J59" s="476" t="s">
        <v>58</v>
      </c>
      <c r="K59" s="496">
        <v>0.38368589901659528</v>
      </c>
      <c r="AA59" s="104"/>
      <c r="AH59" s="564"/>
      <c r="AI59" s="564"/>
      <c r="AJ59" s="564"/>
      <c r="AK59" s="564"/>
      <c r="AL59" s="564"/>
      <c r="AM59" s="564"/>
      <c r="AN59" s="564"/>
      <c r="AO59" s="564"/>
      <c r="AP59" s="564"/>
      <c r="AQ59" s="564"/>
    </row>
    <row r="60" spans="2:43" s="103" customFormat="1" ht="31.5" customHeight="1">
      <c r="B60" s="472"/>
      <c r="C60" s="472"/>
      <c r="D60" s="491"/>
      <c r="E60" s="492"/>
      <c r="F60" s="491"/>
      <c r="G60" s="492"/>
      <c r="H60" s="491"/>
      <c r="I60" s="492"/>
      <c r="J60" s="472"/>
      <c r="K60" s="472"/>
      <c r="AA60" s="104"/>
      <c r="AH60" s="564"/>
      <c r="AI60" s="564"/>
      <c r="AJ60" s="564"/>
      <c r="AK60" s="564"/>
      <c r="AL60" s="564"/>
      <c r="AM60" s="564"/>
      <c r="AN60" s="564"/>
      <c r="AO60" s="564"/>
      <c r="AP60" s="564"/>
      <c r="AQ60" s="564"/>
    </row>
    <row r="61" spans="2:43" s="103" customFormat="1" ht="31.5" customHeight="1">
      <c r="B61" s="107"/>
      <c r="C61" s="108"/>
      <c r="D61" s="109"/>
      <c r="E61" s="109"/>
      <c r="F61" s="109"/>
      <c r="G61" s="109"/>
      <c r="H61" s="109"/>
      <c r="I61" s="109"/>
      <c r="J61" s="107"/>
      <c r="K61" s="110"/>
      <c r="AA61" s="104"/>
      <c r="AH61" s="564"/>
      <c r="AI61" s="564"/>
      <c r="AJ61" s="564"/>
      <c r="AK61" s="564"/>
      <c r="AL61" s="564"/>
      <c r="AM61" s="564"/>
      <c r="AN61" s="564"/>
      <c r="AO61" s="564"/>
      <c r="AP61" s="564"/>
      <c r="AQ61" s="564"/>
    </row>
    <row r="62" spans="2:43" s="115" customFormat="1" ht="31.5" customHeight="1">
      <c r="B62" s="111"/>
      <c r="C62" s="112"/>
      <c r="D62" s="113"/>
      <c r="E62" s="113"/>
      <c r="F62" s="113"/>
      <c r="G62" s="113"/>
      <c r="H62" s="113"/>
      <c r="I62" s="113"/>
      <c r="J62" s="111"/>
      <c r="K62" s="114"/>
      <c r="AA62" s="104"/>
      <c r="AH62" s="565"/>
      <c r="AI62" s="565"/>
      <c r="AJ62" s="565"/>
      <c r="AK62" s="565"/>
      <c r="AL62" s="565"/>
      <c r="AM62" s="565"/>
      <c r="AN62" s="565"/>
      <c r="AO62" s="565"/>
      <c r="AP62" s="565"/>
      <c r="AQ62" s="565"/>
    </row>
    <row r="63" spans="2:43" ht="23.25" customHeight="1">
      <c r="D63" s="116"/>
      <c r="E63" s="116"/>
      <c r="F63" s="116"/>
      <c r="G63" s="117"/>
      <c r="H63" s="117"/>
      <c r="I63" s="117"/>
      <c r="AH63" s="520"/>
      <c r="AI63" s="520"/>
      <c r="AJ63" s="520"/>
      <c r="AK63" s="520"/>
      <c r="AL63" s="520"/>
      <c r="AM63" s="520"/>
      <c r="AN63" s="562"/>
      <c r="AO63" s="563"/>
      <c r="AP63" s="520"/>
      <c r="AQ63" s="520"/>
    </row>
    <row r="64" spans="2:43" ht="23.25" customHeight="1">
      <c r="B64" s="79" t="s">
        <v>158</v>
      </c>
      <c r="C64" s="116"/>
      <c r="D64" s="116"/>
      <c r="E64" s="116"/>
      <c r="F64" s="117"/>
      <c r="G64" s="117"/>
      <c r="H64" s="117"/>
      <c r="Z64" s="2"/>
      <c r="AA64" s="118"/>
      <c r="AH64" s="520"/>
      <c r="AI64" s="520"/>
      <c r="AJ64" s="520"/>
      <c r="AK64" s="520"/>
      <c r="AL64" s="520"/>
      <c r="AM64" s="520"/>
      <c r="AN64" s="562"/>
      <c r="AO64" s="563"/>
      <c r="AP64" s="520"/>
      <c r="AQ64" s="520"/>
    </row>
    <row r="65" spans="2:43" ht="48" customHeight="1">
      <c r="B65" s="119" t="s">
        <v>26</v>
      </c>
      <c r="C65" s="119" t="s">
        <v>117</v>
      </c>
      <c r="D65" s="119" t="s">
        <v>118</v>
      </c>
      <c r="E65" s="120" t="s">
        <v>117</v>
      </c>
      <c r="F65" s="119" t="s">
        <v>118</v>
      </c>
      <c r="G65" s="117"/>
      <c r="H65" s="117"/>
      <c r="Z65" s="2"/>
      <c r="AA65" s="121"/>
      <c r="AC65" s="244" t="s">
        <v>159</v>
      </c>
      <c r="AF65" s="265" t="s">
        <v>160</v>
      </c>
      <c r="AH65" s="520"/>
      <c r="AI65" s="520"/>
      <c r="AJ65" s="520"/>
      <c r="AK65" s="520"/>
      <c r="AL65" s="520"/>
      <c r="AM65" s="520"/>
      <c r="AN65" s="562"/>
      <c r="AO65" s="563"/>
      <c r="AP65" s="520"/>
      <c r="AQ65" s="520"/>
    </row>
    <row r="66" spans="2:43" ht="28.5" customHeight="1">
      <c r="B66" s="82" t="s">
        <v>119</v>
      </c>
      <c r="C66" s="83" t="s">
        <v>120</v>
      </c>
      <c r="D66" s="83" t="s">
        <v>121</v>
      </c>
      <c r="E66" s="122">
        <v>0.54</v>
      </c>
      <c r="F66" s="123">
        <v>0.57999999999999996</v>
      </c>
      <c r="G66" s="7" t="s">
        <v>122</v>
      </c>
      <c r="H66" s="477" t="s">
        <v>123</v>
      </c>
      <c r="I66" s="474"/>
      <c r="J66" s="474"/>
      <c r="K66" s="475"/>
      <c r="Z66" s="2"/>
      <c r="AA66" s="121"/>
      <c r="AH66" s="520"/>
      <c r="AI66" s="520"/>
      <c r="AJ66" s="520"/>
      <c r="AK66" s="520"/>
      <c r="AL66" s="520"/>
      <c r="AM66" s="520"/>
      <c r="AN66" s="562"/>
      <c r="AO66" s="563"/>
      <c r="AP66" s="520"/>
      <c r="AQ66" s="520"/>
    </row>
    <row r="67" spans="2:43" ht="28.5" customHeight="1">
      <c r="B67" s="84" t="s">
        <v>124</v>
      </c>
      <c r="C67" s="85" t="s">
        <v>125</v>
      </c>
      <c r="D67" s="85" t="s">
        <v>126</v>
      </c>
      <c r="E67" s="124">
        <v>0.42</v>
      </c>
      <c r="F67" s="124">
        <v>0.28999999999999998</v>
      </c>
      <c r="G67" s="7" t="s">
        <v>127</v>
      </c>
      <c r="H67" s="477" t="s">
        <v>128</v>
      </c>
      <c r="I67" s="474"/>
      <c r="J67" s="474"/>
      <c r="K67" s="475"/>
      <c r="Z67" s="2"/>
      <c r="AA67" s="121"/>
      <c r="AH67" s="520"/>
      <c r="AI67" s="520"/>
      <c r="AJ67" s="520"/>
      <c r="AK67" s="520"/>
      <c r="AL67" s="520"/>
      <c r="AM67" s="520"/>
      <c r="AN67" s="562"/>
      <c r="AO67" s="563"/>
      <c r="AP67" s="520"/>
      <c r="AQ67" s="520"/>
    </row>
    <row r="68" spans="2:43" ht="28.5" customHeight="1">
      <c r="B68" s="84" t="s">
        <v>129</v>
      </c>
      <c r="C68" s="88" t="s">
        <v>130</v>
      </c>
      <c r="D68" s="89" t="s">
        <v>131</v>
      </c>
      <c r="E68" s="125">
        <v>1.51</v>
      </c>
      <c r="F68" s="126">
        <v>0.92</v>
      </c>
      <c r="G68" s="7" t="s">
        <v>132</v>
      </c>
      <c r="H68" s="477" t="s">
        <v>133</v>
      </c>
      <c r="I68" s="474"/>
      <c r="J68" s="474"/>
      <c r="K68" s="475"/>
      <c r="Z68" s="2"/>
      <c r="AA68" s="121"/>
      <c r="AH68" s="520"/>
      <c r="AI68" s="520"/>
      <c r="AJ68" s="520"/>
      <c r="AK68" s="520"/>
      <c r="AL68" s="520"/>
      <c r="AM68" s="520"/>
      <c r="AN68" s="562"/>
      <c r="AO68" s="563"/>
      <c r="AP68" s="520"/>
      <c r="AQ68" s="520"/>
    </row>
    <row r="69" spans="2:43" ht="28.5" customHeight="1">
      <c r="B69" s="84" t="s">
        <v>134</v>
      </c>
      <c r="C69" s="88" t="s">
        <v>135</v>
      </c>
      <c r="D69" s="88" t="s">
        <v>136</v>
      </c>
      <c r="E69" s="125">
        <v>1.43</v>
      </c>
      <c r="F69" s="125">
        <v>0.92</v>
      </c>
      <c r="G69" s="7" t="s">
        <v>137</v>
      </c>
      <c r="H69" s="477" t="s">
        <v>138</v>
      </c>
      <c r="I69" s="474"/>
      <c r="J69" s="474"/>
      <c r="K69" s="475"/>
      <c r="Z69" s="2"/>
      <c r="AA69" s="121"/>
      <c r="AH69" s="520"/>
      <c r="AI69" s="520"/>
      <c r="AJ69" s="520"/>
      <c r="AK69" s="520"/>
      <c r="AL69" s="520"/>
      <c r="AM69" s="520"/>
      <c r="AN69" s="562"/>
      <c r="AO69" s="563"/>
      <c r="AP69" s="520"/>
      <c r="AQ69" s="520"/>
    </row>
    <row r="70" spans="2:43" ht="28.5" customHeight="1">
      <c r="B70" s="82" t="s">
        <v>82</v>
      </c>
      <c r="C70" s="83" t="s">
        <v>139</v>
      </c>
      <c r="D70" s="83" t="s">
        <v>140</v>
      </c>
      <c r="E70" s="123">
        <v>8</v>
      </c>
      <c r="F70" s="123">
        <v>6</v>
      </c>
      <c r="G70" s="7" t="s">
        <v>82</v>
      </c>
      <c r="H70" s="477" t="s">
        <v>141</v>
      </c>
      <c r="I70" s="474"/>
      <c r="J70" s="474"/>
      <c r="K70" s="475"/>
      <c r="Z70" s="2"/>
      <c r="AA70" s="121"/>
      <c r="AH70" s="520"/>
      <c r="AI70" s="520"/>
      <c r="AJ70" s="520"/>
      <c r="AK70" s="520"/>
      <c r="AL70" s="520"/>
      <c r="AM70" s="520"/>
      <c r="AN70" s="562"/>
      <c r="AO70" s="563"/>
      <c r="AP70" s="520"/>
      <c r="AQ70" s="520"/>
    </row>
    <row r="71" spans="2:43" ht="28.5" customHeight="1">
      <c r="B71" s="90" t="s">
        <v>80</v>
      </c>
      <c r="C71" s="83" t="s">
        <v>142</v>
      </c>
      <c r="D71" s="88" t="s">
        <v>143</v>
      </c>
      <c r="E71" s="123">
        <v>24</v>
      </c>
      <c r="F71" s="125">
        <v>24</v>
      </c>
      <c r="G71" s="7" t="s">
        <v>161</v>
      </c>
      <c r="H71" s="477" t="s">
        <v>144</v>
      </c>
      <c r="I71" s="474"/>
      <c r="J71" s="474"/>
      <c r="K71" s="475"/>
      <c r="Z71" s="2"/>
      <c r="AA71" s="121"/>
      <c r="AH71" s="520"/>
      <c r="AI71" s="520"/>
      <c r="AJ71" s="520"/>
      <c r="AK71" s="520"/>
      <c r="AL71" s="520"/>
      <c r="AM71" s="520"/>
      <c r="AN71" s="562"/>
      <c r="AO71" s="563"/>
      <c r="AP71" s="520"/>
      <c r="AQ71" s="520"/>
    </row>
    <row r="72" spans="2:43" ht="24" customHeight="1" thickBot="1">
      <c r="D72" s="116"/>
      <c r="E72" s="116"/>
      <c r="F72" s="116"/>
      <c r="G72" s="117"/>
      <c r="H72" s="117"/>
      <c r="I72" s="117"/>
      <c r="AH72" s="520"/>
      <c r="AI72" s="520"/>
      <c r="AJ72" s="520"/>
      <c r="AK72" s="520"/>
      <c r="AL72" s="520"/>
      <c r="AM72" s="520"/>
      <c r="AN72" s="562"/>
      <c r="AO72" s="563"/>
      <c r="AP72" s="520"/>
      <c r="AQ72" s="520"/>
    </row>
    <row r="73" spans="2:43" ht="59.25" customHeight="1" thickBot="1">
      <c r="B73" s="561" t="s">
        <v>162</v>
      </c>
      <c r="C73" s="537"/>
      <c r="D73" s="538"/>
      <c r="E73" s="86"/>
      <c r="F73" s="86"/>
      <c r="G73" s="86"/>
      <c r="H73" s="86"/>
      <c r="I73" s="86"/>
    </row>
    <row r="74" spans="2:43" ht="31.5" customHeight="1">
      <c r="B74" s="501" t="s">
        <v>146</v>
      </c>
      <c r="C74" s="501" t="s">
        <v>163</v>
      </c>
      <c r="D74" s="501" t="s">
        <v>164</v>
      </c>
      <c r="E74" s="505"/>
      <c r="F74" s="501" t="s">
        <v>165</v>
      </c>
      <c r="G74" s="505"/>
      <c r="H74" s="501" t="s">
        <v>166</v>
      </c>
      <c r="I74" s="505"/>
      <c r="J74" s="544"/>
      <c r="K74" s="534" t="s">
        <v>167</v>
      </c>
      <c r="O74" s="77"/>
      <c r="P74" s="517"/>
      <c r="Q74" s="517"/>
    </row>
    <row r="75" spans="2:43" ht="38.25" customHeight="1">
      <c r="B75" s="472"/>
      <c r="C75" s="472"/>
      <c r="D75" s="491"/>
      <c r="E75" s="492"/>
      <c r="F75" s="491"/>
      <c r="G75" s="492"/>
      <c r="H75" s="491"/>
      <c r="I75" s="492"/>
      <c r="J75" s="545"/>
      <c r="K75" s="472"/>
      <c r="O75" s="81"/>
      <c r="P75" s="495"/>
      <c r="Q75" s="495"/>
    </row>
    <row r="76" spans="2:43" ht="70.5" customHeight="1">
      <c r="B76" s="471"/>
      <c r="C76" s="92" t="s">
        <v>152</v>
      </c>
      <c r="D76" s="507" t="s">
        <v>168</v>
      </c>
      <c r="E76" s="492"/>
      <c r="F76" s="471" t="s">
        <v>169</v>
      </c>
      <c r="G76" s="492"/>
      <c r="H76" s="471" t="s">
        <v>170</v>
      </c>
      <c r="I76" s="492"/>
      <c r="J76" s="552"/>
      <c r="K76" s="558" t="s">
        <v>171</v>
      </c>
      <c r="M76" s="547"/>
      <c r="N76" s="495"/>
      <c r="O76" s="81"/>
      <c r="P76" s="81"/>
      <c r="Q76" s="81"/>
    </row>
    <row r="77" spans="2:43" ht="80.25" customHeight="1">
      <c r="B77" s="472"/>
      <c r="C77" s="93" t="s">
        <v>157</v>
      </c>
      <c r="D77" s="507">
        <v>0.60099999999999998</v>
      </c>
      <c r="E77" s="492"/>
      <c r="F77" s="511">
        <v>0.43999999999999989</v>
      </c>
      <c r="G77" s="492"/>
      <c r="H77" s="511">
        <v>0.60266666666666668</v>
      </c>
      <c r="I77" s="492"/>
      <c r="J77" s="545"/>
      <c r="K77" s="472"/>
      <c r="M77" s="547"/>
      <c r="N77" s="495"/>
      <c r="O77" s="94"/>
      <c r="P77" s="95"/>
      <c r="Q77" s="95"/>
    </row>
    <row r="78" spans="2:43" ht="31.5" customHeight="1">
      <c r="B78" s="476" t="s">
        <v>30</v>
      </c>
      <c r="C78" s="513"/>
      <c r="D78" s="489">
        <v>0.2</v>
      </c>
      <c r="E78" s="490"/>
      <c r="F78" s="489">
        <v>0.4</v>
      </c>
      <c r="G78" s="490"/>
      <c r="H78" s="489">
        <v>0.4</v>
      </c>
      <c r="I78" s="490"/>
      <c r="J78" s="476" t="s">
        <v>30</v>
      </c>
      <c r="K78" s="496">
        <v>0.31603921568627452</v>
      </c>
      <c r="M78" s="548"/>
      <c r="O78" s="97"/>
      <c r="P78" s="98"/>
      <c r="Q78" s="98"/>
    </row>
    <row r="79" spans="2:43" ht="31.5" customHeight="1">
      <c r="B79" s="472"/>
      <c r="C79" s="472"/>
      <c r="D79" s="491"/>
      <c r="E79" s="492"/>
      <c r="F79" s="491"/>
      <c r="G79" s="492"/>
      <c r="H79" s="491"/>
      <c r="I79" s="492"/>
      <c r="J79" s="472"/>
      <c r="K79" s="472"/>
      <c r="M79" s="495"/>
      <c r="O79" s="97"/>
      <c r="P79" s="100"/>
      <c r="Q79" s="101"/>
    </row>
    <row r="80" spans="2:43" ht="31.5" customHeight="1">
      <c r="B80" s="485" t="s">
        <v>33</v>
      </c>
      <c r="C80" s="512"/>
      <c r="D80" s="504">
        <v>0.3</v>
      </c>
      <c r="E80" s="490"/>
      <c r="F80" s="504">
        <v>0.5</v>
      </c>
      <c r="G80" s="490"/>
      <c r="H80" s="504">
        <v>0.2</v>
      </c>
      <c r="I80" s="490"/>
      <c r="J80" s="485" t="s">
        <v>33</v>
      </c>
      <c r="K80" s="496">
        <v>0.30637254901960792</v>
      </c>
      <c r="M80" s="548"/>
      <c r="O80" s="97"/>
      <c r="P80" s="100"/>
      <c r="Q80" s="100"/>
    </row>
    <row r="81" spans="2:41" ht="31.5" customHeight="1">
      <c r="B81" s="472"/>
      <c r="C81" s="472"/>
      <c r="D81" s="491"/>
      <c r="E81" s="492"/>
      <c r="F81" s="491"/>
      <c r="G81" s="492"/>
      <c r="H81" s="491"/>
      <c r="I81" s="492"/>
      <c r="J81" s="472"/>
      <c r="K81" s="472"/>
      <c r="M81" s="495"/>
      <c r="O81" s="94"/>
      <c r="P81" s="95"/>
      <c r="Q81" s="95"/>
    </row>
    <row r="82" spans="2:41" ht="31.5" customHeight="1">
      <c r="B82" s="476" t="s">
        <v>37</v>
      </c>
      <c r="C82" s="513"/>
      <c r="D82" s="489">
        <v>0.4</v>
      </c>
      <c r="E82" s="490"/>
      <c r="F82" s="489">
        <v>0.3</v>
      </c>
      <c r="G82" s="490"/>
      <c r="H82" s="489">
        <v>0.3</v>
      </c>
      <c r="I82" s="490"/>
      <c r="J82" s="476" t="s">
        <v>37</v>
      </c>
      <c r="K82" s="496">
        <v>0.32541176470588229</v>
      </c>
      <c r="M82" s="548"/>
      <c r="O82" s="97"/>
      <c r="P82" s="95"/>
      <c r="Q82" s="100"/>
    </row>
    <row r="83" spans="2:41" ht="31.5" customHeight="1">
      <c r="B83" s="472"/>
      <c r="C83" s="472"/>
      <c r="D83" s="491"/>
      <c r="E83" s="492"/>
      <c r="F83" s="491"/>
      <c r="G83" s="492"/>
      <c r="H83" s="491"/>
      <c r="I83" s="492"/>
      <c r="J83" s="472"/>
      <c r="K83" s="472"/>
      <c r="M83" s="495"/>
    </row>
    <row r="84" spans="2:41" ht="31.5" customHeight="1">
      <c r="B84" s="485" t="s">
        <v>44</v>
      </c>
      <c r="C84" s="512"/>
      <c r="D84" s="504">
        <v>0.5</v>
      </c>
      <c r="E84" s="490"/>
      <c r="F84" s="504">
        <v>0.3</v>
      </c>
      <c r="G84" s="490"/>
      <c r="H84" s="504">
        <v>0.2</v>
      </c>
      <c r="I84" s="490"/>
      <c r="J84" s="485" t="s">
        <v>44</v>
      </c>
      <c r="K84" s="496">
        <v>0.3253137254901961</v>
      </c>
    </row>
    <row r="85" spans="2:41" ht="31.5" customHeight="1">
      <c r="B85" s="472"/>
      <c r="C85" s="472"/>
      <c r="D85" s="491"/>
      <c r="E85" s="492"/>
      <c r="F85" s="491"/>
      <c r="G85" s="492"/>
      <c r="H85" s="491"/>
      <c r="I85" s="492"/>
      <c r="J85" s="472"/>
      <c r="K85" s="472"/>
    </row>
    <row r="86" spans="2:41" ht="31.5" customHeight="1">
      <c r="B86" s="476" t="s">
        <v>50</v>
      </c>
      <c r="C86" s="513"/>
      <c r="D86" s="489">
        <v>0.3</v>
      </c>
      <c r="E86" s="490"/>
      <c r="F86" s="489">
        <v>0.4</v>
      </c>
      <c r="G86" s="490"/>
      <c r="H86" s="489">
        <v>0.3</v>
      </c>
      <c r="I86" s="490"/>
      <c r="J86" s="476" t="s">
        <v>50</v>
      </c>
      <c r="K86" s="496">
        <v>0.31594117647058823</v>
      </c>
    </row>
    <row r="87" spans="2:41" ht="31.5" customHeight="1">
      <c r="B87" s="472"/>
      <c r="C87" s="472"/>
      <c r="D87" s="491"/>
      <c r="E87" s="492"/>
      <c r="F87" s="491"/>
      <c r="G87" s="492"/>
      <c r="H87" s="491"/>
      <c r="I87" s="492"/>
      <c r="J87" s="472"/>
      <c r="K87" s="472"/>
    </row>
    <row r="88" spans="2:41" s="103" customFormat="1" ht="42.75" customHeight="1">
      <c r="B88" s="488" t="s">
        <v>54</v>
      </c>
      <c r="C88" s="512"/>
      <c r="D88" s="504">
        <v>0.2</v>
      </c>
      <c r="E88" s="490"/>
      <c r="F88" s="504">
        <v>0.5</v>
      </c>
      <c r="G88" s="490"/>
      <c r="H88" s="504">
        <v>0.3</v>
      </c>
      <c r="I88" s="490"/>
      <c r="J88" s="488" t="s">
        <v>54</v>
      </c>
      <c r="K88" s="496">
        <v>0.30647058823529411</v>
      </c>
      <c r="AA88" s="104"/>
      <c r="AN88" s="105"/>
      <c r="AO88" s="106"/>
    </row>
    <row r="89" spans="2:41" s="103" customFormat="1" ht="31.5" customHeight="1">
      <c r="B89" s="472"/>
      <c r="C89" s="472"/>
      <c r="D89" s="491"/>
      <c r="E89" s="492"/>
      <c r="F89" s="491"/>
      <c r="G89" s="492"/>
      <c r="H89" s="491"/>
      <c r="I89" s="492"/>
      <c r="J89" s="472"/>
      <c r="K89" s="472"/>
      <c r="AA89" s="104"/>
      <c r="AN89" s="105"/>
      <c r="AO89" s="106"/>
    </row>
    <row r="90" spans="2:41" s="103" customFormat="1" ht="31.5" customHeight="1">
      <c r="B90" s="476" t="s">
        <v>58</v>
      </c>
      <c r="C90" s="513"/>
      <c r="D90" s="489">
        <v>0.5</v>
      </c>
      <c r="E90" s="490"/>
      <c r="F90" s="489">
        <v>0.4</v>
      </c>
      <c r="G90" s="490"/>
      <c r="H90" s="489">
        <v>0.1</v>
      </c>
      <c r="I90" s="490"/>
      <c r="J90" s="476" t="s">
        <v>58</v>
      </c>
      <c r="K90" s="496">
        <v>0.31574509803921569</v>
      </c>
      <c r="AA90" s="104"/>
      <c r="AN90" s="105"/>
      <c r="AO90" s="106"/>
    </row>
    <row r="91" spans="2:41" s="103" customFormat="1" ht="31.5" customHeight="1">
      <c r="B91" s="472"/>
      <c r="C91" s="472"/>
      <c r="D91" s="491"/>
      <c r="E91" s="492"/>
      <c r="F91" s="491"/>
      <c r="G91" s="492"/>
      <c r="H91" s="491"/>
      <c r="I91" s="492"/>
      <c r="J91" s="472"/>
      <c r="K91" s="472"/>
      <c r="AA91" s="104"/>
      <c r="AN91" s="105"/>
      <c r="AO91" s="106"/>
    </row>
    <row r="96" spans="2:41" s="128" customFormat="1">
      <c r="G96" s="129"/>
      <c r="H96" s="129"/>
      <c r="I96" s="129"/>
      <c r="J96" s="129"/>
      <c r="K96" s="129"/>
      <c r="L96" s="129"/>
      <c r="M96" s="129"/>
      <c r="N96" s="129"/>
      <c r="O96" s="129"/>
      <c r="P96" s="129"/>
      <c r="Q96" s="129"/>
      <c r="R96" s="129"/>
      <c r="S96" s="129"/>
      <c r="AA96" s="2"/>
      <c r="AN96" s="130"/>
      <c r="AO96" s="131"/>
    </row>
    <row r="97" spans="1:41" s="128" customFormat="1">
      <c r="G97" s="129"/>
      <c r="H97" s="129"/>
      <c r="I97" s="129"/>
      <c r="J97" s="129"/>
      <c r="K97" s="129"/>
      <c r="L97" s="129"/>
      <c r="M97" s="129"/>
      <c r="N97" s="129"/>
      <c r="O97" s="129"/>
      <c r="P97" s="129"/>
      <c r="Q97" s="129"/>
      <c r="R97" s="129"/>
      <c r="S97" s="129"/>
      <c r="AA97" s="2"/>
      <c r="AN97" s="130"/>
      <c r="AO97" s="131"/>
    </row>
    <row r="99" spans="1:41">
      <c r="B99" s="79" t="s">
        <v>172</v>
      </c>
    </row>
    <row r="100" spans="1:41">
      <c r="B100" s="518" t="s">
        <v>173</v>
      </c>
      <c r="C100" s="474"/>
      <c r="D100" s="474"/>
      <c r="E100" s="474"/>
      <c r="F100" s="474"/>
      <c r="G100" s="474"/>
      <c r="H100" s="474"/>
      <c r="I100" s="474"/>
      <c r="J100" s="474"/>
      <c r="K100" s="474"/>
      <c r="L100" s="474"/>
      <c r="M100" s="474"/>
      <c r="N100" s="474"/>
      <c r="O100" s="474"/>
      <c r="P100" s="474"/>
      <c r="Q100" s="475"/>
      <c r="T100" s="34"/>
      <c r="U100" s="34"/>
    </row>
    <row r="101" spans="1:41">
      <c r="B101" s="518" t="s">
        <v>174</v>
      </c>
      <c r="C101" s="474"/>
      <c r="D101" s="474"/>
      <c r="E101" s="474"/>
      <c r="F101" s="474"/>
      <c r="G101" s="474"/>
      <c r="H101" s="474"/>
      <c r="I101" s="474"/>
      <c r="J101" s="474"/>
      <c r="K101" s="474"/>
      <c r="L101" s="474"/>
      <c r="M101" s="474"/>
      <c r="N101" s="474"/>
      <c r="O101" s="474"/>
      <c r="P101" s="474"/>
      <c r="Q101" s="475"/>
      <c r="T101" s="34"/>
      <c r="U101" s="34"/>
    </row>
    <row r="102" spans="1:41" s="103" customFormat="1">
      <c r="B102" s="498" t="s">
        <v>175</v>
      </c>
      <c r="C102" s="474"/>
      <c r="D102" s="474"/>
      <c r="E102" s="474"/>
      <c r="F102" s="474"/>
      <c r="G102" s="474"/>
      <c r="H102" s="474"/>
      <c r="I102" s="474"/>
      <c r="J102" s="474"/>
      <c r="K102" s="474"/>
      <c r="L102" s="474"/>
      <c r="M102" s="474"/>
      <c r="N102" s="474"/>
      <c r="O102" s="474"/>
      <c r="P102" s="474"/>
      <c r="Q102" s="475"/>
      <c r="R102" s="77"/>
      <c r="S102" s="77"/>
      <c r="T102" s="77"/>
      <c r="U102" s="77"/>
      <c r="AA102" s="104"/>
      <c r="AN102" s="105"/>
      <c r="AO102" s="106"/>
    </row>
    <row r="103" spans="1:41" s="103" customFormat="1" ht="31.5" customHeight="1">
      <c r="B103" s="498" t="s">
        <v>176</v>
      </c>
      <c r="C103" s="474"/>
      <c r="D103" s="474"/>
      <c r="E103" s="474"/>
      <c r="F103" s="474"/>
      <c r="G103" s="474"/>
      <c r="H103" s="474"/>
      <c r="I103" s="474"/>
      <c r="J103" s="474"/>
      <c r="K103" s="474"/>
      <c r="L103" s="474"/>
      <c r="M103" s="474"/>
      <c r="N103" s="474"/>
      <c r="O103" s="474"/>
      <c r="P103" s="474"/>
      <c r="Q103" s="475"/>
      <c r="R103" s="77"/>
      <c r="S103" s="77"/>
      <c r="T103" s="77"/>
      <c r="U103" s="77"/>
      <c r="AA103" s="104"/>
      <c r="AN103" s="105"/>
      <c r="AO103" s="106"/>
    </row>
    <row r="104" spans="1:41" s="103" customFormat="1" ht="31.5" customHeight="1">
      <c r="B104" s="498" t="s">
        <v>177</v>
      </c>
      <c r="C104" s="474"/>
      <c r="D104" s="474"/>
      <c r="E104" s="474"/>
      <c r="F104" s="474"/>
      <c r="G104" s="474"/>
      <c r="H104" s="474"/>
      <c r="I104" s="474"/>
      <c r="J104" s="474"/>
      <c r="K104" s="474"/>
      <c r="L104" s="474"/>
      <c r="M104" s="474"/>
      <c r="N104" s="474"/>
      <c r="O104" s="474"/>
      <c r="P104" s="474"/>
      <c r="Q104" s="475"/>
      <c r="R104" s="77"/>
      <c r="S104" s="77"/>
      <c r="T104" s="77"/>
      <c r="U104" s="77"/>
      <c r="AA104" s="104"/>
      <c r="AN104" s="105"/>
      <c r="AO104" s="106"/>
    </row>
    <row r="105" spans="1:41" s="103" customFormat="1" ht="31.5" customHeight="1">
      <c r="B105" s="498" t="s">
        <v>178</v>
      </c>
      <c r="C105" s="474"/>
      <c r="D105" s="474"/>
      <c r="E105" s="474"/>
      <c r="F105" s="474"/>
      <c r="G105" s="474"/>
      <c r="H105" s="474"/>
      <c r="I105" s="474"/>
      <c r="J105" s="474"/>
      <c r="K105" s="474"/>
      <c r="L105" s="474"/>
      <c r="M105" s="474"/>
      <c r="N105" s="474"/>
      <c r="O105" s="474"/>
      <c r="P105" s="474"/>
      <c r="Q105" s="475"/>
      <c r="R105" s="77"/>
      <c r="S105" s="77"/>
      <c r="T105" s="77"/>
      <c r="U105" s="77"/>
      <c r="AA105" s="104"/>
      <c r="AN105" s="105"/>
      <c r="AO105" s="106"/>
    </row>
    <row r="106" spans="1:41" s="103" customFormat="1" ht="31.5" customHeight="1">
      <c r="B106" s="515" t="s">
        <v>179</v>
      </c>
      <c r="C106" s="474"/>
      <c r="D106" s="474"/>
      <c r="E106" s="474"/>
      <c r="F106" s="474"/>
      <c r="G106" s="474"/>
      <c r="H106" s="474"/>
      <c r="I106" s="474"/>
      <c r="J106" s="474"/>
      <c r="K106" s="474"/>
      <c r="L106" s="474"/>
      <c r="M106" s="474"/>
      <c r="N106" s="474"/>
      <c r="O106" s="474"/>
      <c r="P106" s="474"/>
      <c r="Q106" s="475"/>
      <c r="R106" s="77"/>
      <c r="S106" s="77"/>
      <c r="T106" s="77"/>
      <c r="U106" s="77"/>
      <c r="AA106" s="104"/>
      <c r="AN106" s="105"/>
      <c r="AO106" s="106"/>
    </row>
    <row r="107" spans="1:41" ht="31.5" customHeight="1">
      <c r="B107" s="500" t="s">
        <v>180</v>
      </c>
      <c r="C107" s="474"/>
      <c r="D107" s="474"/>
      <c r="E107" s="474"/>
      <c r="F107" s="474"/>
      <c r="G107" s="474"/>
      <c r="H107" s="474"/>
      <c r="I107" s="474"/>
      <c r="J107" s="474"/>
      <c r="K107" s="474"/>
      <c r="L107" s="474"/>
      <c r="M107" s="474"/>
      <c r="N107" s="474"/>
      <c r="O107" s="474"/>
      <c r="P107" s="474"/>
      <c r="Q107" s="475"/>
      <c r="T107" s="34"/>
      <c r="U107" s="34"/>
    </row>
    <row r="108" spans="1:41" ht="24.75" customHeight="1">
      <c r="B108" s="97"/>
      <c r="C108" s="224"/>
      <c r="D108" s="224"/>
      <c r="E108" s="225"/>
      <c r="F108" s="225"/>
      <c r="G108" s="74"/>
      <c r="H108" s="494"/>
      <c r="I108" s="495"/>
      <c r="J108" s="495"/>
      <c r="K108" s="495"/>
      <c r="L108" s="75"/>
      <c r="M108" s="74"/>
      <c r="Z108" s="2"/>
      <c r="AA108" s="121"/>
    </row>
    <row r="109" spans="1:41" ht="24.75" customHeight="1">
      <c r="F109" s="132"/>
      <c r="J109" s="97"/>
      <c r="K109" s="95"/>
      <c r="L109" s="95"/>
      <c r="M109" s="75"/>
      <c r="N109" s="74"/>
    </row>
    <row r="110" spans="1:41" ht="24.75" customHeight="1" thickBot="1">
      <c r="G110" s="127"/>
      <c r="H110" s="127"/>
      <c r="J110" s="94"/>
      <c r="K110" s="100"/>
      <c r="L110" s="100"/>
    </row>
    <row r="111" spans="1:41" ht="57.75" customHeight="1" thickBot="1">
      <c r="B111" s="551" t="s">
        <v>181</v>
      </c>
      <c r="C111" s="537"/>
      <c r="D111" s="538"/>
      <c r="E111" s="133"/>
      <c r="J111" s="94"/>
      <c r="K111" s="100"/>
      <c r="L111" s="100"/>
    </row>
    <row r="112" spans="1:41" s="103" customFormat="1" ht="75" customHeight="1">
      <c r="A112" s="134"/>
      <c r="B112" s="471" t="s">
        <v>146</v>
      </c>
      <c r="C112" s="471"/>
      <c r="D112" s="135" t="s">
        <v>182</v>
      </c>
      <c r="E112" s="136" t="s">
        <v>183</v>
      </c>
      <c r="F112" s="136" t="s">
        <v>184</v>
      </c>
      <c r="G112" s="136" t="s">
        <v>185</v>
      </c>
      <c r="H112" s="136" t="s">
        <v>186</v>
      </c>
      <c r="I112" s="136" t="s">
        <v>187</v>
      </c>
      <c r="J112" s="77"/>
      <c r="K112" s="516" t="s">
        <v>188</v>
      </c>
      <c r="L112" s="137"/>
      <c r="M112" s="516" t="s">
        <v>189</v>
      </c>
      <c r="N112" s="138"/>
      <c r="O112" s="40" t="s">
        <v>190</v>
      </c>
      <c r="P112" s="75"/>
      <c r="Q112" s="75"/>
      <c r="R112" s="75"/>
      <c r="S112" s="81"/>
      <c r="T112" s="75"/>
      <c r="U112" s="75"/>
      <c r="V112" s="139"/>
      <c r="W112" s="139"/>
      <c r="X112" s="139"/>
      <c r="Y112" s="139"/>
      <c r="Z112" s="139"/>
      <c r="AA112" s="140"/>
      <c r="AN112" s="105"/>
      <c r="AO112" s="106"/>
    </row>
    <row r="113" spans="1:41" s="103" customFormat="1" ht="52.5" customHeight="1">
      <c r="A113" s="134"/>
      <c r="B113" s="472"/>
      <c r="C113" s="472"/>
      <c r="D113" s="136" t="s">
        <v>191</v>
      </c>
      <c r="E113" s="136" t="s">
        <v>192</v>
      </c>
      <c r="F113" s="136" t="s">
        <v>193</v>
      </c>
      <c r="G113" s="136" t="s">
        <v>191</v>
      </c>
      <c r="H113" s="136" t="s">
        <v>192</v>
      </c>
      <c r="I113" s="136" t="s">
        <v>193</v>
      </c>
      <c r="J113" s="77"/>
      <c r="K113" s="472"/>
      <c r="L113" s="137"/>
      <c r="M113" s="472"/>
      <c r="N113" s="138"/>
      <c r="O113" s="227" t="s">
        <v>194</v>
      </c>
      <c r="P113" s="81"/>
      <c r="Q113" s="81"/>
      <c r="R113" s="62"/>
      <c r="S113" s="81"/>
      <c r="T113" s="81"/>
      <c r="U113" s="81"/>
      <c r="V113" s="139"/>
      <c r="W113" s="139"/>
      <c r="X113" s="139"/>
      <c r="Y113" s="139"/>
      <c r="Z113" s="139"/>
      <c r="AA113" s="140"/>
      <c r="AN113" s="105"/>
      <c r="AO113" s="106"/>
    </row>
    <row r="114" spans="1:41" s="103" customFormat="1" ht="61.5" customHeight="1">
      <c r="B114" s="553"/>
      <c r="C114" s="93"/>
      <c r="D114" s="143">
        <v>0.36356796750854609</v>
      </c>
      <c r="E114" s="143">
        <v>0.8839999999999999</v>
      </c>
      <c r="F114" s="143">
        <v>0.65500000000000003</v>
      </c>
      <c r="G114" s="143">
        <v>0.36356796750854609</v>
      </c>
      <c r="H114" s="143">
        <v>0.8839999999999999</v>
      </c>
      <c r="I114" s="143">
        <v>0.65500000000000003</v>
      </c>
      <c r="J114" s="77"/>
      <c r="K114" s="533" t="s">
        <v>195</v>
      </c>
      <c r="L114" s="226"/>
      <c r="M114" s="533" t="s">
        <v>196</v>
      </c>
      <c r="N114" s="138"/>
      <c r="O114" s="227" t="s">
        <v>197</v>
      </c>
      <c r="P114" s="100"/>
      <c r="Q114" s="101"/>
      <c r="R114" s="34"/>
      <c r="S114" s="97"/>
      <c r="T114" s="95"/>
      <c r="U114" s="100"/>
      <c r="V114" s="139"/>
      <c r="W114" s="139"/>
      <c r="X114" s="139"/>
      <c r="Y114" s="139"/>
      <c r="Z114" s="139"/>
      <c r="AA114" s="140"/>
      <c r="AN114" s="105"/>
      <c r="AO114" s="106"/>
    </row>
    <row r="115" spans="1:41" s="103" customFormat="1" ht="61.5" customHeight="1">
      <c r="B115" s="472"/>
      <c r="C115" s="93"/>
      <c r="D115" s="229" t="s">
        <v>198</v>
      </c>
      <c r="E115" s="229" t="s">
        <v>199</v>
      </c>
      <c r="F115" s="229" t="s">
        <v>200</v>
      </c>
      <c r="G115" s="229" t="s">
        <v>198</v>
      </c>
      <c r="H115" s="229" t="s">
        <v>199</v>
      </c>
      <c r="I115" s="229" t="s">
        <v>200</v>
      </c>
      <c r="J115" s="77"/>
      <c r="K115" s="472"/>
      <c r="L115" s="226"/>
      <c r="M115" s="472"/>
      <c r="N115" s="138"/>
      <c r="O115" s="227" t="s">
        <v>201</v>
      </c>
      <c r="P115" s="100"/>
      <c r="Q115" s="101"/>
      <c r="R115" s="148"/>
      <c r="S115" s="97"/>
      <c r="T115" s="95"/>
      <c r="U115" s="100"/>
      <c r="V115" s="139"/>
      <c r="W115" s="139"/>
      <c r="X115" s="139"/>
      <c r="Y115" s="139"/>
      <c r="Z115" s="139"/>
      <c r="AA115" s="140"/>
      <c r="AN115" s="105"/>
      <c r="AO115" s="106"/>
    </row>
    <row r="116" spans="1:41" s="103" customFormat="1" ht="27.75" customHeight="1">
      <c r="B116" s="476" t="s">
        <v>30</v>
      </c>
      <c r="C116" s="481"/>
      <c r="D116" s="508">
        <v>0.4</v>
      </c>
      <c r="E116" s="479">
        <v>0.35</v>
      </c>
      <c r="F116" s="479">
        <v>0.25</v>
      </c>
      <c r="G116" s="479">
        <v>0.4</v>
      </c>
      <c r="H116" s="479">
        <v>0.35</v>
      </c>
      <c r="I116" s="479">
        <v>0.25</v>
      </c>
      <c r="J116" s="476" t="s">
        <v>30</v>
      </c>
      <c r="K116" s="493">
        <v>0.36491848765027279</v>
      </c>
      <c r="L116" s="146"/>
      <c r="M116" s="493">
        <v>0.34276612799324718</v>
      </c>
      <c r="N116" s="149"/>
      <c r="O116" s="227" t="s">
        <v>202</v>
      </c>
      <c r="P116" s="100"/>
      <c r="Q116" s="100"/>
      <c r="R116" s="34"/>
      <c r="S116" s="97"/>
      <c r="T116" s="100"/>
      <c r="U116" s="101"/>
      <c r="V116" s="139"/>
      <c r="W116" s="139"/>
      <c r="X116" s="139"/>
      <c r="Y116" s="139"/>
      <c r="Z116" s="139"/>
      <c r="AA116" s="140"/>
      <c r="AN116" s="105"/>
      <c r="AO116" s="106"/>
    </row>
    <row r="117" spans="1:41" s="103" customFormat="1" ht="27.75" customHeight="1">
      <c r="B117" s="472"/>
      <c r="C117" s="472"/>
      <c r="D117" s="472"/>
      <c r="E117" s="472"/>
      <c r="F117" s="472"/>
      <c r="G117" s="472"/>
      <c r="H117" s="472"/>
      <c r="I117" s="472"/>
      <c r="J117" s="472"/>
      <c r="K117" s="472"/>
      <c r="L117" s="146"/>
      <c r="M117" s="472"/>
      <c r="N117" s="150"/>
      <c r="O117" s="227" t="s">
        <v>203</v>
      </c>
      <c r="P117" s="98"/>
      <c r="Q117" s="151"/>
      <c r="R117" s="34"/>
      <c r="S117" s="147"/>
      <c r="T117" s="100"/>
      <c r="U117" s="101"/>
      <c r="V117" s="139"/>
      <c r="W117" s="139"/>
      <c r="X117" s="139"/>
      <c r="Y117" s="139"/>
      <c r="Z117" s="139"/>
      <c r="AA117" s="140"/>
      <c r="AN117" s="105"/>
      <c r="AO117" s="106"/>
    </row>
    <row r="118" spans="1:41" s="152" customFormat="1" ht="27.75" customHeight="1">
      <c r="B118" s="485" t="s">
        <v>33</v>
      </c>
      <c r="C118" s="483"/>
      <c r="D118" s="486">
        <v>0.5</v>
      </c>
      <c r="E118" s="486">
        <v>0.4</v>
      </c>
      <c r="F118" s="486">
        <v>0.1</v>
      </c>
      <c r="G118" s="478">
        <v>0.5</v>
      </c>
      <c r="H118" s="478">
        <v>0.1</v>
      </c>
      <c r="I118" s="478">
        <v>0.4</v>
      </c>
      <c r="J118" s="485" t="s">
        <v>33</v>
      </c>
      <c r="K118" s="493">
        <v>0.33042581583680503</v>
      </c>
      <c r="L118" s="146"/>
      <c r="M118" s="493">
        <v>0.30562476531478688</v>
      </c>
      <c r="N118" s="149"/>
      <c r="O118" s="228" t="s">
        <v>204</v>
      </c>
      <c r="P118" s="95"/>
      <c r="Q118" s="100"/>
      <c r="R118" s="34"/>
      <c r="V118" s="139"/>
      <c r="W118" s="139"/>
      <c r="X118" s="139"/>
      <c r="Y118" s="139"/>
      <c r="Z118" s="139"/>
      <c r="AA118" s="140"/>
      <c r="AN118" s="153"/>
      <c r="AO118" s="154"/>
    </row>
    <row r="119" spans="1:41" s="152" customFormat="1" ht="27.75" customHeight="1">
      <c r="B119" s="472"/>
      <c r="C119" s="472"/>
      <c r="D119" s="472"/>
      <c r="E119" s="472"/>
      <c r="F119" s="472"/>
      <c r="G119" s="472"/>
      <c r="H119" s="472"/>
      <c r="I119" s="472"/>
      <c r="J119" s="472"/>
      <c r="K119" s="472"/>
      <c r="L119" s="146"/>
      <c r="M119" s="472"/>
      <c r="N119" s="155"/>
      <c r="O119" s="228"/>
      <c r="P119" s="95"/>
      <c r="Q119" s="100"/>
      <c r="R119" s="34"/>
      <c r="V119" s="139"/>
      <c r="W119" s="139"/>
      <c r="X119" s="139"/>
      <c r="Y119" s="139"/>
      <c r="Z119" s="139"/>
      <c r="AA119" s="140"/>
      <c r="AN119" s="153"/>
      <c r="AO119" s="154"/>
    </row>
    <row r="120" spans="1:41" ht="27.75" customHeight="1">
      <c r="B120" s="476" t="s">
        <v>37</v>
      </c>
      <c r="C120" s="481"/>
      <c r="D120" s="479">
        <v>0.3</v>
      </c>
      <c r="E120" s="479">
        <v>0.4</v>
      </c>
      <c r="F120" s="479">
        <v>0.3</v>
      </c>
      <c r="G120" s="482">
        <v>0.3</v>
      </c>
      <c r="H120" s="482">
        <v>0.4</v>
      </c>
      <c r="I120" s="482">
        <v>0.3</v>
      </c>
      <c r="J120" s="476" t="s">
        <v>37</v>
      </c>
      <c r="K120" s="493">
        <v>0.4329637067282639</v>
      </c>
      <c r="L120" s="146"/>
      <c r="M120" s="493">
        <v>0.40062954798844752</v>
      </c>
      <c r="N120" s="149"/>
      <c r="O120" s="228"/>
      <c r="P120" s="95"/>
      <c r="Q120" s="100"/>
      <c r="S120" s="97"/>
      <c r="T120" s="95"/>
      <c r="U120" s="156"/>
      <c r="V120" s="139"/>
      <c r="W120" s="139"/>
      <c r="X120" s="139"/>
      <c r="Y120" s="139"/>
      <c r="Z120" s="139"/>
      <c r="AA120" s="140"/>
    </row>
    <row r="121" spans="1:41" ht="27.75" customHeight="1">
      <c r="B121" s="472"/>
      <c r="C121" s="472"/>
      <c r="D121" s="472"/>
      <c r="E121" s="472"/>
      <c r="F121" s="472"/>
      <c r="G121" s="472"/>
      <c r="H121" s="472"/>
      <c r="I121" s="472"/>
      <c r="J121" s="472"/>
      <c r="K121" s="472"/>
      <c r="L121" s="146"/>
      <c r="M121" s="472"/>
      <c r="N121" s="155"/>
      <c r="O121" s="87" t="s">
        <v>205</v>
      </c>
      <c r="P121" s="95"/>
      <c r="Q121" s="95"/>
      <c r="R121" s="139"/>
      <c r="S121" s="132"/>
      <c r="T121" s="95"/>
      <c r="U121" s="156"/>
      <c r="V121" s="139"/>
      <c r="W121" s="139"/>
      <c r="X121" s="139"/>
      <c r="Y121" s="139"/>
      <c r="Z121" s="139"/>
      <c r="AA121" s="140"/>
    </row>
    <row r="122" spans="1:41" ht="27.75" customHeight="1">
      <c r="B122" s="485" t="s">
        <v>44</v>
      </c>
      <c r="C122" s="483"/>
      <c r="D122" s="486">
        <v>0.35</v>
      </c>
      <c r="E122" s="486">
        <v>0.3</v>
      </c>
      <c r="F122" s="486">
        <v>0.35</v>
      </c>
      <c r="G122" s="478">
        <v>0.35</v>
      </c>
      <c r="H122" s="478">
        <v>0.35</v>
      </c>
      <c r="I122" s="478">
        <v>0.3</v>
      </c>
      <c r="J122" s="485" t="s">
        <v>44</v>
      </c>
      <c r="K122" s="493">
        <v>0.4455091141642647</v>
      </c>
      <c r="L122" s="146"/>
      <c r="M122" s="493">
        <v>0.40441461502487391</v>
      </c>
      <c r="N122" s="149"/>
      <c r="O122" s="102" t="s">
        <v>206</v>
      </c>
      <c r="P122" s="95"/>
      <c r="Q122" s="156"/>
      <c r="R122" s="139"/>
      <c r="S122" s="97"/>
      <c r="T122" s="95"/>
      <c r="U122" s="156"/>
      <c r="V122" s="139"/>
      <c r="W122" s="139"/>
      <c r="X122" s="139"/>
      <c r="Y122" s="139"/>
      <c r="Z122" s="139"/>
      <c r="AA122" s="140"/>
    </row>
    <row r="123" spans="1:41" ht="27.75" customHeight="1">
      <c r="B123" s="472"/>
      <c r="C123" s="472"/>
      <c r="D123" s="472"/>
      <c r="E123" s="472"/>
      <c r="F123" s="472"/>
      <c r="G123" s="472"/>
      <c r="H123" s="472"/>
      <c r="I123" s="472"/>
      <c r="J123" s="472"/>
      <c r="K123" s="472"/>
      <c r="L123" s="146"/>
      <c r="M123" s="472"/>
      <c r="N123" s="155"/>
      <c r="O123" s="102" t="s">
        <v>207</v>
      </c>
      <c r="P123" s="157"/>
      <c r="Q123" s="157"/>
      <c r="R123" s="139"/>
      <c r="S123" s="97"/>
      <c r="T123" s="95"/>
      <c r="U123" s="156"/>
      <c r="V123" s="139"/>
      <c r="W123" s="139"/>
      <c r="X123" s="139"/>
      <c r="Y123" s="139"/>
      <c r="Z123" s="139"/>
      <c r="AA123" s="140"/>
    </row>
    <row r="124" spans="1:41" ht="27.75" customHeight="1">
      <c r="B124" s="476" t="s">
        <v>50</v>
      </c>
      <c r="C124" s="481"/>
      <c r="D124" s="479">
        <v>0.4</v>
      </c>
      <c r="E124" s="479">
        <v>0.3</v>
      </c>
      <c r="F124" s="479">
        <v>0.3</v>
      </c>
      <c r="G124" s="482">
        <v>0.4</v>
      </c>
      <c r="H124" s="482">
        <v>0.3</v>
      </c>
      <c r="I124" s="482">
        <v>0.3</v>
      </c>
      <c r="J124" s="476" t="s">
        <v>50</v>
      </c>
      <c r="K124" s="493">
        <v>0.39356461519066799</v>
      </c>
      <c r="L124" s="146"/>
      <c r="M124" s="493">
        <v>0.35971020192165021</v>
      </c>
      <c r="N124" s="149"/>
      <c r="O124" s="102" t="s">
        <v>208</v>
      </c>
      <c r="P124" s="100"/>
      <c r="Q124" s="100"/>
      <c r="R124" s="139"/>
      <c r="S124" s="97"/>
      <c r="T124" s="95"/>
      <c r="U124" s="156"/>
      <c r="V124" s="139"/>
      <c r="W124" s="139"/>
      <c r="X124" s="139"/>
      <c r="Y124" s="139"/>
      <c r="Z124" s="139"/>
      <c r="AA124" s="140"/>
    </row>
    <row r="125" spans="1:41" ht="27.75" customHeight="1">
      <c r="B125" s="472"/>
      <c r="C125" s="472"/>
      <c r="D125" s="472"/>
      <c r="E125" s="472"/>
      <c r="F125" s="472"/>
      <c r="G125" s="472"/>
      <c r="H125" s="472"/>
      <c r="I125" s="472"/>
      <c r="J125" s="472"/>
      <c r="K125" s="472"/>
      <c r="L125" s="146"/>
      <c r="M125" s="472"/>
      <c r="N125" s="155"/>
      <c r="O125" s="102" t="s">
        <v>209</v>
      </c>
      <c r="P125" s="100"/>
      <c r="Q125" s="100"/>
      <c r="R125" s="139"/>
      <c r="S125" s="97"/>
      <c r="T125" s="95"/>
      <c r="U125" s="156"/>
      <c r="V125" s="139"/>
      <c r="W125" s="139"/>
      <c r="X125" s="139"/>
      <c r="Y125" s="139"/>
      <c r="Z125" s="139"/>
      <c r="AA125" s="140"/>
    </row>
    <row r="126" spans="1:41" ht="27.75" customHeight="1">
      <c r="B126" s="488" t="s">
        <v>54</v>
      </c>
      <c r="C126" s="483"/>
      <c r="D126" s="486">
        <v>0.45</v>
      </c>
      <c r="E126" s="486">
        <v>0.35</v>
      </c>
      <c r="F126" s="486">
        <v>0.2</v>
      </c>
      <c r="G126" s="478">
        <v>0.45</v>
      </c>
      <c r="H126" s="478">
        <v>0.2</v>
      </c>
      <c r="I126" s="478">
        <v>0.35</v>
      </c>
      <c r="J126" s="488" t="s">
        <v>54</v>
      </c>
      <c r="K126" s="493">
        <v>0.34590066155167298</v>
      </c>
      <c r="L126" s="146"/>
      <c r="M126" s="493">
        <v>0.31798758492790652</v>
      </c>
      <c r="N126" s="149"/>
      <c r="O126" s="139"/>
      <c r="P126" s="139"/>
      <c r="Q126" s="139"/>
      <c r="R126" s="139"/>
      <c r="S126" s="158"/>
      <c r="T126" s="159"/>
      <c r="V126" s="139"/>
      <c r="W126" s="139"/>
      <c r="X126" s="139"/>
      <c r="Y126" s="139"/>
      <c r="Z126" s="139"/>
      <c r="AA126" s="140"/>
    </row>
    <row r="127" spans="1:41" ht="27.75" customHeight="1">
      <c r="B127" s="472"/>
      <c r="C127" s="472"/>
      <c r="D127" s="472"/>
      <c r="E127" s="472"/>
      <c r="F127" s="472"/>
      <c r="G127" s="472"/>
      <c r="H127" s="472"/>
      <c r="I127" s="472"/>
      <c r="J127" s="472"/>
      <c r="K127" s="472"/>
      <c r="L127" s="146"/>
      <c r="M127" s="472"/>
      <c r="N127" s="155"/>
      <c r="O127" s="127"/>
      <c r="P127" s="139"/>
      <c r="Q127" s="139"/>
      <c r="R127" s="139"/>
      <c r="S127" s="23"/>
      <c r="T127" s="23"/>
      <c r="U127" s="23"/>
      <c r="V127" s="139"/>
      <c r="W127" s="139"/>
      <c r="X127" s="139"/>
      <c r="Y127" s="139"/>
      <c r="Z127" s="139"/>
      <c r="AA127" s="140"/>
    </row>
    <row r="128" spans="1:41" s="103" customFormat="1" ht="27.75" customHeight="1">
      <c r="B128" s="476" t="s">
        <v>58</v>
      </c>
      <c r="C128" s="481"/>
      <c r="D128" s="479">
        <v>0.3</v>
      </c>
      <c r="E128" s="479">
        <v>0.35</v>
      </c>
      <c r="F128" s="479">
        <v>0.35</v>
      </c>
      <c r="G128" s="482">
        <v>0.3</v>
      </c>
      <c r="H128" s="482">
        <v>0.35</v>
      </c>
      <c r="I128" s="482">
        <v>0.35</v>
      </c>
      <c r="J128" s="476" t="s">
        <v>58</v>
      </c>
      <c r="K128" s="493">
        <v>0.45509286561254442</v>
      </c>
      <c r="L128" s="146"/>
      <c r="M128" s="493">
        <v>0.40975681882855258</v>
      </c>
      <c r="N128" s="149"/>
      <c r="O128" s="160"/>
      <c r="P128" s="139"/>
      <c r="Q128" s="139"/>
      <c r="R128" s="139"/>
      <c r="S128" s="75"/>
      <c r="T128" s="75"/>
      <c r="U128" s="75"/>
      <c r="V128" s="139"/>
      <c r="W128" s="139"/>
      <c r="X128" s="139"/>
      <c r="Y128" s="139"/>
      <c r="Z128" s="139"/>
      <c r="AA128" s="140"/>
      <c r="AN128" s="105"/>
      <c r="AO128" s="106"/>
    </row>
    <row r="129" spans="2:41" s="103" customFormat="1" ht="41.25" customHeight="1">
      <c r="B129" s="472"/>
      <c r="C129" s="472"/>
      <c r="D129" s="472"/>
      <c r="E129" s="472"/>
      <c r="F129" s="472"/>
      <c r="G129" s="472"/>
      <c r="H129" s="472"/>
      <c r="I129" s="472"/>
      <c r="J129" s="472"/>
      <c r="K129" s="472"/>
      <c r="L129" s="146"/>
      <c r="M129" s="472"/>
      <c r="N129" s="155"/>
      <c r="O129" s="161"/>
      <c r="P129" s="139"/>
      <c r="Q129" s="139"/>
      <c r="R129" s="139"/>
      <c r="S129" s="75"/>
      <c r="T129" s="75"/>
      <c r="U129" s="75"/>
      <c r="V129" s="139"/>
      <c r="W129" s="139"/>
      <c r="X129" s="139"/>
      <c r="Y129" s="139"/>
      <c r="Z129" s="139"/>
      <c r="AA129" s="140"/>
      <c r="AN129" s="105"/>
      <c r="AO129" s="106"/>
    </row>
    <row r="130" spans="2:41" s="103" customFormat="1" ht="17.25" customHeight="1">
      <c r="B130" s="107"/>
      <c r="C130" s="162"/>
      <c r="D130" s="163"/>
      <c r="E130" s="163"/>
      <c r="F130" s="163"/>
      <c r="G130" s="163"/>
      <c r="H130" s="163"/>
      <c r="I130" s="163"/>
      <c r="J130" s="107"/>
      <c r="K130" s="164"/>
      <c r="L130" s="146"/>
      <c r="M130" s="164"/>
      <c r="N130" s="155"/>
      <c r="O130" s="161"/>
      <c r="P130" s="139"/>
      <c r="Q130" s="139"/>
      <c r="R130" s="139"/>
      <c r="S130" s="75"/>
      <c r="T130" s="75"/>
      <c r="U130" s="75"/>
      <c r="V130" s="139"/>
      <c r="W130" s="139"/>
      <c r="X130" s="139"/>
      <c r="Y130" s="139"/>
      <c r="Z130" s="139"/>
      <c r="AA130" s="140"/>
      <c r="AN130" s="105"/>
      <c r="AO130" s="106"/>
    </row>
    <row r="131" spans="2:41" s="103" customFormat="1" ht="17.25" customHeight="1">
      <c r="B131" s="107"/>
      <c r="C131" s="162"/>
      <c r="D131" s="163"/>
      <c r="E131" s="163"/>
      <c r="F131" s="163"/>
      <c r="G131" s="163"/>
      <c r="H131" s="163"/>
      <c r="I131" s="163"/>
      <c r="J131" s="107"/>
      <c r="K131" s="164"/>
      <c r="L131" s="146"/>
      <c r="M131" s="164"/>
      <c r="N131" s="155"/>
      <c r="O131" s="161"/>
      <c r="P131" s="139"/>
      <c r="Q131" s="139"/>
      <c r="R131" s="139"/>
      <c r="S131" s="75"/>
      <c r="T131" s="75"/>
      <c r="U131" s="75"/>
      <c r="V131" s="139"/>
      <c r="W131" s="139"/>
      <c r="X131" s="139"/>
      <c r="Y131" s="139"/>
      <c r="Z131" s="139"/>
      <c r="AA131" s="140"/>
      <c r="AN131" s="105"/>
      <c r="AO131" s="106"/>
    </row>
    <row r="132" spans="2:41" s="103" customFormat="1" ht="17.25" customHeight="1">
      <c r="B132" s="107"/>
      <c r="C132" s="162"/>
      <c r="D132" s="163"/>
      <c r="E132" s="163"/>
      <c r="F132" s="163"/>
      <c r="G132" s="163"/>
      <c r="H132" s="163"/>
      <c r="I132" s="163"/>
      <c r="J132" s="107"/>
      <c r="K132" s="164"/>
      <c r="L132" s="146"/>
      <c r="M132" s="164"/>
      <c r="N132" s="155"/>
      <c r="R132" s="139"/>
      <c r="S132" s="75"/>
      <c r="T132" s="75"/>
      <c r="U132" s="75"/>
      <c r="V132" s="139"/>
      <c r="W132" s="139"/>
      <c r="X132" s="139"/>
      <c r="Y132" s="139"/>
      <c r="Z132" s="139"/>
      <c r="AA132" s="140"/>
      <c r="AN132" s="105"/>
      <c r="AO132" s="106"/>
    </row>
    <row r="133" spans="2:41" s="171" customFormat="1" ht="28.5" customHeight="1">
      <c r="B133" s="165"/>
      <c r="C133" s="166"/>
      <c r="D133" s="167"/>
      <c r="E133" s="167"/>
      <c r="F133" s="167"/>
      <c r="G133" s="167"/>
      <c r="H133" s="167"/>
      <c r="I133" s="167"/>
      <c r="J133" s="165"/>
      <c r="K133" s="168"/>
      <c r="L133" s="169"/>
      <c r="M133" s="168"/>
      <c r="N133" s="170"/>
      <c r="U133" s="172"/>
      <c r="V133" s="173"/>
      <c r="W133" s="173"/>
      <c r="X133" s="173"/>
      <c r="Y133" s="173"/>
      <c r="Z133" s="173"/>
      <c r="AA133" s="174"/>
      <c r="AN133" s="175"/>
      <c r="AO133" s="176"/>
    </row>
    <row r="134" spans="2:41" s="103" customFormat="1" ht="17.25" customHeight="1">
      <c r="B134" s="107"/>
      <c r="C134" s="162"/>
      <c r="D134" s="163"/>
      <c r="E134" s="163"/>
      <c r="F134" s="163"/>
      <c r="G134" s="163"/>
      <c r="H134" s="163"/>
      <c r="I134" s="163"/>
      <c r="J134" s="107"/>
      <c r="K134" s="164"/>
      <c r="L134" s="146"/>
      <c r="M134" s="164"/>
      <c r="N134" s="155"/>
      <c r="R134" s="139"/>
      <c r="S134" s="75"/>
      <c r="T134" s="75"/>
      <c r="U134" s="75"/>
      <c r="V134" s="139"/>
      <c r="W134" s="139"/>
      <c r="X134" s="139"/>
      <c r="Y134" s="139"/>
      <c r="Z134" s="139"/>
      <c r="AA134" s="140"/>
      <c r="AN134" s="105"/>
      <c r="AO134" s="106"/>
    </row>
    <row r="135" spans="2:41" s="103" customFormat="1" ht="17.25" customHeight="1">
      <c r="B135" s="107"/>
      <c r="C135" s="162"/>
      <c r="D135" s="163"/>
      <c r="E135" s="163"/>
      <c r="F135" s="163"/>
      <c r="G135" s="163"/>
      <c r="H135" s="163"/>
      <c r="I135" s="163"/>
      <c r="J135" s="107"/>
      <c r="K135" s="164"/>
      <c r="L135" s="146"/>
      <c r="M135" s="164"/>
      <c r="N135" s="155"/>
      <c r="O135" s="94"/>
      <c r="P135" s="100"/>
      <c r="Q135" s="100"/>
      <c r="R135" s="139"/>
      <c r="S135" s="75"/>
      <c r="T135" s="75"/>
      <c r="U135" s="75"/>
      <c r="V135" s="139"/>
      <c r="W135" s="139"/>
      <c r="X135" s="139"/>
      <c r="Y135" s="139"/>
      <c r="Z135" s="139"/>
      <c r="AA135" s="140"/>
      <c r="AN135" s="105"/>
      <c r="AO135" s="106"/>
    </row>
    <row r="136" spans="2:41" s="103" customFormat="1" ht="17.25" customHeight="1">
      <c r="B136" s="79" t="s">
        <v>210</v>
      </c>
      <c r="C136" s="163"/>
      <c r="D136" s="163"/>
      <c r="E136" s="163"/>
      <c r="F136" s="163"/>
      <c r="G136" s="163"/>
      <c r="H136" s="163"/>
      <c r="I136" s="107"/>
      <c r="J136" s="164"/>
      <c r="K136" s="146"/>
      <c r="L136" s="164"/>
      <c r="M136" s="155"/>
      <c r="N136" s="34"/>
      <c r="O136" s="34"/>
      <c r="P136" s="34"/>
      <c r="Q136" s="139"/>
      <c r="R136" s="75"/>
      <c r="S136" s="75"/>
      <c r="T136" s="75"/>
      <c r="U136" s="139"/>
      <c r="V136" s="139"/>
      <c r="W136" s="139"/>
      <c r="X136" s="139"/>
      <c r="Y136" s="139"/>
      <c r="Z136" s="140"/>
      <c r="AA136" s="121"/>
      <c r="AN136" s="105"/>
      <c r="AO136" s="106"/>
    </row>
    <row r="137" spans="2:41">
      <c r="B137" s="81"/>
      <c r="C137" s="81"/>
      <c r="D137" s="81"/>
      <c r="E137" s="81"/>
      <c r="F137" s="81"/>
      <c r="N137" s="177"/>
      <c r="O137" s="177"/>
      <c r="P137" s="178"/>
      <c r="AA137" s="121"/>
    </row>
    <row r="138" spans="2:41" ht="27.75" customHeight="1">
      <c r="B138" s="97"/>
      <c r="C138" s="221"/>
      <c r="D138" s="35"/>
      <c r="E138" s="224"/>
      <c r="F138" s="231"/>
      <c r="G138" s="74"/>
      <c r="H138" s="494"/>
      <c r="I138" s="495"/>
      <c r="J138" s="495"/>
      <c r="K138" s="495"/>
      <c r="N138" s="30"/>
      <c r="O138" s="30"/>
      <c r="AA138" s="121"/>
    </row>
    <row r="139" spans="2:41" ht="27.75" customHeight="1">
      <c r="B139" s="179"/>
      <c r="C139" s="221"/>
      <c r="D139" s="221"/>
      <c r="E139" s="221"/>
      <c r="F139" s="221"/>
      <c r="G139" s="232"/>
      <c r="H139" s="494"/>
      <c r="I139" s="495"/>
      <c r="J139" s="495"/>
      <c r="K139" s="495"/>
      <c r="AA139" s="121"/>
    </row>
    <row r="140" spans="2:41" ht="27.75" customHeight="1">
      <c r="B140" s="94"/>
      <c r="C140" s="35"/>
      <c r="D140" s="35"/>
      <c r="E140" s="231"/>
      <c r="F140" s="231"/>
      <c r="G140" s="74"/>
      <c r="H140" s="494"/>
      <c r="I140" s="495"/>
      <c r="J140" s="495"/>
      <c r="K140" s="495"/>
      <c r="AA140" s="121"/>
    </row>
    <row r="141" spans="2:41" ht="27.75" customHeight="1">
      <c r="B141" s="97"/>
      <c r="C141" s="35"/>
      <c r="D141" s="35"/>
      <c r="E141" s="231"/>
      <c r="F141" s="231"/>
      <c r="G141" s="74"/>
      <c r="H141" s="494"/>
      <c r="I141" s="495"/>
      <c r="J141" s="495"/>
      <c r="K141" s="495"/>
      <c r="AA141" s="121"/>
    </row>
    <row r="142" spans="2:41" ht="27.75" customHeight="1">
      <c r="B142" s="97"/>
      <c r="C142" s="221"/>
      <c r="D142" s="221"/>
      <c r="E142" s="224"/>
      <c r="F142" s="224"/>
      <c r="G142" s="74"/>
      <c r="H142" s="494"/>
      <c r="I142" s="495"/>
      <c r="J142" s="495"/>
      <c r="K142" s="495"/>
      <c r="AA142" s="121"/>
    </row>
    <row r="143" spans="2:41" ht="27.75" customHeight="1">
      <c r="B143" s="97"/>
      <c r="C143" s="221"/>
      <c r="D143" s="35"/>
      <c r="E143" s="224"/>
      <c r="F143" s="233"/>
      <c r="G143" s="74"/>
      <c r="H143" s="494"/>
      <c r="I143" s="495"/>
      <c r="J143" s="495"/>
      <c r="K143" s="495"/>
      <c r="AA143" s="121"/>
    </row>
    <row r="144" spans="2:41" ht="24" customHeight="1" thickBot="1">
      <c r="O144" s="100"/>
      <c r="P144" s="101"/>
    </row>
    <row r="145" spans="1:41" ht="57.75" customHeight="1" thickBot="1">
      <c r="B145" s="566" t="s">
        <v>211</v>
      </c>
      <c r="C145" s="537"/>
      <c r="D145" s="538"/>
      <c r="E145" s="133"/>
      <c r="F145" s="13" t="s">
        <v>212</v>
      </c>
      <c r="G145" s="222" t="s">
        <v>213</v>
      </c>
      <c r="H145" s="13" t="s">
        <v>214</v>
      </c>
      <c r="I145" s="222" t="s">
        <v>215</v>
      </c>
      <c r="O145" s="100"/>
      <c r="P145" s="101"/>
      <c r="Q145" s="148"/>
    </row>
    <row r="146" spans="1:41" s="103" customFormat="1" ht="75" customHeight="1">
      <c r="A146" s="134"/>
      <c r="B146" s="471" t="s">
        <v>146</v>
      </c>
      <c r="C146" s="135"/>
      <c r="D146" s="135" t="s">
        <v>182</v>
      </c>
      <c r="E146" s="136" t="s">
        <v>183</v>
      </c>
      <c r="F146" s="136" t="s">
        <v>184</v>
      </c>
      <c r="G146" s="135" t="s">
        <v>185</v>
      </c>
      <c r="H146" s="136" t="s">
        <v>186</v>
      </c>
      <c r="I146" s="136" t="s">
        <v>187</v>
      </c>
      <c r="J146" s="77"/>
      <c r="K146" s="516" t="s">
        <v>216</v>
      </c>
      <c r="L146" s="137"/>
      <c r="M146" s="516" t="s">
        <v>217</v>
      </c>
      <c r="N146" s="138"/>
      <c r="O146" s="81"/>
      <c r="P146" s="100"/>
      <c r="Q146" s="100"/>
      <c r="R146" s="34"/>
      <c r="S146" s="81"/>
      <c r="T146" s="75"/>
      <c r="U146" s="75"/>
      <c r="V146" s="139"/>
      <c r="W146" s="139"/>
      <c r="X146" s="139"/>
      <c r="Y146" s="139"/>
      <c r="Z146" s="139"/>
      <c r="AA146" s="140"/>
      <c r="AN146" s="105"/>
      <c r="AO146" s="106"/>
    </row>
    <row r="147" spans="1:41" s="103" customFormat="1" ht="52.5" customHeight="1">
      <c r="A147" s="134"/>
      <c r="B147" s="472"/>
      <c r="C147" s="136"/>
      <c r="D147" s="136" t="s">
        <v>192</v>
      </c>
      <c r="E147" s="136" t="s">
        <v>193</v>
      </c>
      <c r="F147" s="81" t="s">
        <v>218</v>
      </c>
      <c r="G147" s="136" t="s">
        <v>192</v>
      </c>
      <c r="H147" s="136" t="s">
        <v>193</v>
      </c>
      <c r="I147" s="81" t="s">
        <v>218</v>
      </c>
      <c r="J147" s="77"/>
      <c r="K147" s="472"/>
      <c r="L147" s="137"/>
      <c r="M147" s="472"/>
      <c r="N147" s="138"/>
      <c r="O147" s="81"/>
      <c r="P147" s="98"/>
      <c r="Q147" s="151"/>
      <c r="R147" s="34"/>
      <c r="S147" s="81"/>
      <c r="T147" s="81"/>
      <c r="U147" s="81"/>
      <c r="V147" s="139"/>
      <c r="W147" s="139"/>
      <c r="X147" s="139"/>
      <c r="Y147" s="139"/>
      <c r="Z147" s="139"/>
      <c r="AA147" s="140"/>
      <c r="AN147" s="105"/>
      <c r="AO147" s="106"/>
    </row>
    <row r="148" spans="1:41" s="103" customFormat="1" ht="90.75" customHeight="1">
      <c r="B148" s="553"/>
      <c r="C148" s="143"/>
      <c r="D148" s="143">
        <v>0.8839999999999999</v>
      </c>
      <c r="E148" s="143">
        <v>0.65500000000000003</v>
      </c>
      <c r="F148" s="143">
        <v>0.74003645833333342</v>
      </c>
      <c r="G148" s="143">
        <v>0.8839999999999999</v>
      </c>
      <c r="H148" s="143">
        <v>0.65500000000000003</v>
      </c>
      <c r="I148" s="143">
        <v>0.74003645833333342</v>
      </c>
      <c r="J148" s="77"/>
      <c r="K148" s="484" t="s">
        <v>219</v>
      </c>
      <c r="L148" s="146"/>
      <c r="M148" s="484" t="s">
        <v>220</v>
      </c>
      <c r="N148" s="138"/>
      <c r="O148" s="97"/>
      <c r="P148" s="95"/>
      <c r="Q148" s="100"/>
      <c r="R148" s="34"/>
      <c r="S148" s="97"/>
      <c r="T148" s="95"/>
      <c r="U148" s="100"/>
      <c r="V148" s="139"/>
      <c r="W148" s="139"/>
      <c r="X148" s="139"/>
      <c r="Y148" s="139"/>
      <c r="Z148" s="139"/>
      <c r="AA148" s="140"/>
      <c r="AN148" s="105"/>
      <c r="AO148" s="106"/>
    </row>
    <row r="149" spans="1:41" s="103" customFormat="1" ht="90.75" customHeight="1">
      <c r="B149" s="472"/>
      <c r="C149" s="229"/>
      <c r="D149" s="229" t="s">
        <v>199</v>
      </c>
      <c r="E149" s="229" t="s">
        <v>200</v>
      </c>
      <c r="F149" s="229" t="s">
        <v>221</v>
      </c>
      <c r="G149" s="229" t="s">
        <v>199</v>
      </c>
      <c r="H149" s="229" t="s">
        <v>200</v>
      </c>
      <c r="I149" s="229" t="s">
        <v>221</v>
      </c>
      <c r="J149" s="77"/>
      <c r="K149" s="472"/>
      <c r="L149" s="146"/>
      <c r="M149" s="472"/>
      <c r="N149" s="138"/>
      <c r="O149" s="147"/>
      <c r="P149" s="95"/>
      <c r="Q149" s="100"/>
      <c r="R149" s="34"/>
      <c r="S149" s="97"/>
      <c r="T149" s="95"/>
      <c r="U149" s="100"/>
      <c r="V149" s="139"/>
      <c r="W149" s="139"/>
      <c r="X149" s="139"/>
      <c r="Y149" s="139"/>
      <c r="Z149" s="139"/>
      <c r="AA149" s="140"/>
      <c r="AN149" s="105"/>
      <c r="AO149" s="106"/>
    </row>
    <row r="150" spans="1:41" s="103" customFormat="1" ht="27.75" customHeight="1">
      <c r="B150" s="476" t="s">
        <v>30</v>
      </c>
      <c r="C150" s="508"/>
      <c r="D150" s="508">
        <v>0.4</v>
      </c>
      <c r="E150" s="479">
        <v>0.4</v>
      </c>
      <c r="F150" s="479">
        <v>0.2</v>
      </c>
      <c r="G150" s="508">
        <v>0.4</v>
      </c>
      <c r="H150" s="479">
        <v>0.3</v>
      </c>
      <c r="I150" s="479">
        <v>0.3</v>
      </c>
      <c r="J150" s="476" t="s">
        <v>30</v>
      </c>
      <c r="K150" s="493">
        <v>0.45002090157621849</v>
      </c>
      <c r="L150" s="146"/>
      <c r="M150" s="493">
        <v>0.50741635458455092</v>
      </c>
      <c r="N150" s="149"/>
      <c r="O150" s="97"/>
      <c r="P150" s="81"/>
      <c r="S150" s="97"/>
      <c r="T150" s="100"/>
      <c r="U150" s="101"/>
      <c r="V150" s="139"/>
      <c r="W150" s="139"/>
      <c r="X150" s="139"/>
      <c r="Y150" s="139"/>
      <c r="Z150" s="139"/>
      <c r="AA150" s="140"/>
      <c r="AN150" s="105"/>
      <c r="AO150" s="106"/>
    </row>
    <row r="151" spans="1:41" s="103" customFormat="1" ht="27.75" customHeight="1">
      <c r="B151" s="472"/>
      <c r="C151" s="472"/>
      <c r="D151" s="472"/>
      <c r="E151" s="472"/>
      <c r="F151" s="472"/>
      <c r="G151" s="472"/>
      <c r="H151" s="472"/>
      <c r="I151" s="472"/>
      <c r="J151" s="472"/>
      <c r="K151" s="472"/>
      <c r="L151" s="146"/>
      <c r="M151" s="472"/>
      <c r="N151" s="150"/>
      <c r="O151" s="97"/>
      <c r="P151" s="97"/>
      <c r="S151" s="147"/>
      <c r="T151" s="100"/>
      <c r="U151" s="101"/>
      <c r="V151" s="139"/>
      <c r="W151" s="139"/>
      <c r="X151" s="139"/>
      <c r="Y151" s="139"/>
      <c r="Z151" s="139"/>
      <c r="AA151" s="140"/>
      <c r="AN151" s="105"/>
      <c r="AO151" s="106"/>
    </row>
    <row r="152" spans="1:41" s="152" customFormat="1" ht="27.75" customHeight="1">
      <c r="B152" s="485" t="s">
        <v>33</v>
      </c>
      <c r="C152" s="486"/>
      <c r="D152" s="486">
        <v>0.6</v>
      </c>
      <c r="E152" s="486">
        <v>0.3</v>
      </c>
      <c r="F152" s="486">
        <v>0.1</v>
      </c>
      <c r="G152" s="486">
        <v>0.5</v>
      </c>
      <c r="H152" s="486">
        <v>0.4</v>
      </c>
      <c r="I152" s="486">
        <v>0.1</v>
      </c>
      <c r="J152" s="485" t="s">
        <v>33</v>
      </c>
      <c r="K152" s="493">
        <v>0.47651003543754511</v>
      </c>
      <c r="L152" s="146"/>
      <c r="M152" s="493">
        <v>0.53571433142161973</v>
      </c>
      <c r="N152" s="149"/>
      <c r="O152" s="97"/>
      <c r="P152" s="179"/>
      <c r="V152" s="139"/>
      <c r="W152" s="139"/>
      <c r="X152" s="139"/>
      <c r="Y152" s="139"/>
      <c r="Z152" s="139"/>
      <c r="AA152" s="140"/>
      <c r="AN152" s="153"/>
      <c r="AO152" s="154"/>
    </row>
    <row r="153" spans="1:41" s="152" customFormat="1" ht="27.75" customHeight="1">
      <c r="B153" s="472"/>
      <c r="C153" s="472"/>
      <c r="D153" s="472"/>
      <c r="E153" s="472"/>
      <c r="F153" s="472"/>
      <c r="G153" s="472"/>
      <c r="H153" s="472"/>
      <c r="I153" s="472"/>
      <c r="J153" s="472"/>
      <c r="K153" s="472"/>
      <c r="L153" s="146"/>
      <c r="M153" s="472"/>
      <c r="N153" s="155"/>
      <c r="O153" s="97"/>
      <c r="P153" s="94"/>
      <c r="V153" s="139"/>
      <c r="W153" s="139"/>
      <c r="X153" s="139"/>
      <c r="Y153" s="139"/>
      <c r="Z153" s="139"/>
      <c r="AA153" s="140"/>
      <c r="AN153" s="153"/>
      <c r="AO153" s="154"/>
    </row>
    <row r="154" spans="1:41" ht="27.75" customHeight="1">
      <c r="B154" s="476" t="s">
        <v>37</v>
      </c>
      <c r="C154" s="479"/>
      <c r="D154" s="479">
        <v>0.3</v>
      </c>
      <c r="E154" s="479">
        <v>0.3</v>
      </c>
      <c r="F154" s="479">
        <v>0.4</v>
      </c>
      <c r="G154" s="479">
        <v>0.3</v>
      </c>
      <c r="H154" s="479">
        <v>0.4</v>
      </c>
      <c r="I154" s="479">
        <v>0.3</v>
      </c>
      <c r="J154" s="476" t="s">
        <v>37</v>
      </c>
      <c r="K154" s="493">
        <v>0.43759452673113802</v>
      </c>
      <c r="L154" s="146"/>
      <c r="M154" s="493">
        <v>0.48161906651556963</v>
      </c>
      <c r="N154" s="149"/>
      <c r="O154" s="97"/>
      <c r="P154" s="97"/>
      <c r="S154" s="97"/>
      <c r="T154" s="95"/>
      <c r="U154" s="156"/>
      <c r="V154" s="139"/>
      <c r="W154" s="139"/>
      <c r="X154" s="139"/>
      <c r="Y154" s="139"/>
      <c r="Z154" s="139"/>
      <c r="AA154" s="140"/>
    </row>
    <row r="155" spans="1:41" ht="27.75" customHeight="1">
      <c r="B155" s="472"/>
      <c r="C155" s="472"/>
      <c r="D155" s="472"/>
      <c r="E155" s="472"/>
      <c r="F155" s="472"/>
      <c r="G155" s="472"/>
      <c r="H155" s="472"/>
      <c r="I155" s="472"/>
      <c r="J155" s="472"/>
      <c r="K155" s="472"/>
      <c r="L155" s="146"/>
      <c r="M155" s="472"/>
      <c r="N155" s="155"/>
      <c r="O155" s="97"/>
      <c r="P155" s="97"/>
      <c r="S155" s="132"/>
      <c r="T155" s="95"/>
      <c r="U155" s="156"/>
      <c r="V155" s="139"/>
      <c r="W155" s="139"/>
      <c r="X155" s="139"/>
      <c r="Y155" s="139"/>
      <c r="Z155" s="139"/>
      <c r="AA155" s="140"/>
    </row>
    <row r="156" spans="1:41" ht="27.75" customHeight="1">
      <c r="B156" s="485" t="s">
        <v>44</v>
      </c>
      <c r="C156" s="486"/>
      <c r="D156" s="486">
        <v>0.35</v>
      </c>
      <c r="E156" s="486">
        <v>0.35</v>
      </c>
      <c r="F156" s="486">
        <v>0.3</v>
      </c>
      <c r="G156" s="486">
        <v>0.2</v>
      </c>
      <c r="H156" s="486">
        <v>0.5</v>
      </c>
      <c r="I156" s="486">
        <v>0.3</v>
      </c>
      <c r="J156" s="485" t="s">
        <v>44</v>
      </c>
      <c r="K156" s="493">
        <v>0.44378898681644208</v>
      </c>
      <c r="L156" s="146"/>
      <c r="M156" s="493">
        <v>0.45484098086445007</v>
      </c>
      <c r="N156" s="149"/>
      <c r="O156" s="97"/>
      <c r="P156" s="97"/>
      <c r="S156" s="97"/>
      <c r="T156" s="95"/>
      <c r="U156" s="156"/>
      <c r="V156" s="139"/>
      <c r="W156" s="139"/>
      <c r="X156" s="139"/>
      <c r="Y156" s="139"/>
      <c r="Z156" s="139"/>
      <c r="AA156" s="140"/>
    </row>
    <row r="157" spans="1:41" ht="27.75" customHeight="1">
      <c r="B157" s="472"/>
      <c r="C157" s="472"/>
      <c r="D157" s="472"/>
      <c r="E157" s="472"/>
      <c r="F157" s="472"/>
      <c r="G157" s="472"/>
      <c r="H157" s="472"/>
      <c r="I157" s="472"/>
      <c r="J157" s="472"/>
      <c r="K157" s="472"/>
      <c r="L157" s="146"/>
      <c r="M157" s="472"/>
      <c r="N157" s="155"/>
      <c r="O157" s="97"/>
      <c r="P157" s="139"/>
      <c r="Q157" s="139"/>
      <c r="R157" s="139"/>
      <c r="S157" s="97"/>
      <c r="T157" s="95"/>
      <c r="U157" s="156"/>
      <c r="V157" s="139"/>
      <c r="W157" s="139"/>
      <c r="X157" s="139"/>
      <c r="Y157" s="139"/>
      <c r="Z157" s="139"/>
      <c r="AA157" s="140"/>
    </row>
    <row r="158" spans="1:41" ht="27.75" customHeight="1">
      <c r="B158" s="476" t="s">
        <v>50</v>
      </c>
      <c r="C158" s="479"/>
      <c r="D158" s="479">
        <v>0.45</v>
      </c>
      <c r="E158" s="479">
        <v>0.45</v>
      </c>
      <c r="F158" s="479">
        <v>0.1</v>
      </c>
      <c r="G158" s="479">
        <v>0.4</v>
      </c>
      <c r="H158" s="479">
        <v>0.2</v>
      </c>
      <c r="I158" s="479">
        <v>0.4</v>
      </c>
      <c r="J158" s="476" t="s">
        <v>50</v>
      </c>
      <c r="K158" s="493">
        <v>0.45628908270558732</v>
      </c>
      <c r="L158" s="146"/>
      <c r="M158" s="493">
        <v>0.506048349586111</v>
      </c>
      <c r="N158" s="149"/>
      <c r="O158" s="94"/>
      <c r="P158" s="139"/>
      <c r="Q158" s="139"/>
      <c r="R158" s="139"/>
      <c r="S158" s="97"/>
      <c r="T158" s="95"/>
      <c r="U158" s="156"/>
      <c r="V158" s="139"/>
      <c r="W158" s="139"/>
      <c r="X158" s="139"/>
      <c r="Y158" s="139"/>
      <c r="Z158" s="139"/>
      <c r="AA158" s="140"/>
    </row>
    <row r="159" spans="1:41" ht="27.75" customHeight="1">
      <c r="B159" s="472"/>
      <c r="C159" s="472"/>
      <c r="D159" s="472"/>
      <c r="E159" s="472"/>
      <c r="F159" s="472"/>
      <c r="G159" s="472"/>
      <c r="H159" s="472"/>
      <c r="I159" s="472"/>
      <c r="J159" s="472"/>
      <c r="K159" s="472"/>
      <c r="L159" s="146"/>
      <c r="M159" s="472"/>
      <c r="N159" s="155"/>
      <c r="O159" s="94"/>
      <c r="P159" s="139"/>
      <c r="Q159" s="139"/>
      <c r="R159" s="139"/>
      <c r="S159" s="97"/>
      <c r="T159" s="95"/>
      <c r="U159" s="156"/>
      <c r="V159" s="139"/>
      <c r="W159" s="139"/>
      <c r="X159" s="139"/>
      <c r="Y159" s="139"/>
      <c r="Z159" s="139"/>
      <c r="AA159" s="140"/>
    </row>
    <row r="160" spans="1:41" ht="27.75" customHeight="1">
      <c r="B160" s="488" t="s">
        <v>54</v>
      </c>
      <c r="C160" s="486"/>
      <c r="D160" s="486">
        <v>0.5</v>
      </c>
      <c r="E160" s="486">
        <v>0.4</v>
      </c>
      <c r="F160" s="486">
        <v>0.1</v>
      </c>
      <c r="G160" s="486">
        <v>0.3</v>
      </c>
      <c r="H160" s="486">
        <v>0.3</v>
      </c>
      <c r="I160" s="486">
        <v>0.4</v>
      </c>
      <c r="J160" s="488" t="s">
        <v>54</v>
      </c>
      <c r="K160" s="493">
        <v>0.46301774736061002</v>
      </c>
      <c r="L160" s="146"/>
      <c r="M160" s="493">
        <v>0.48070022104629712</v>
      </c>
      <c r="N160" s="149"/>
      <c r="O160" s="139"/>
      <c r="S160" s="158"/>
      <c r="T160" s="159"/>
      <c r="V160" s="139"/>
      <c r="W160" s="139"/>
      <c r="X160" s="139"/>
      <c r="Y160" s="139"/>
      <c r="Z160" s="139"/>
      <c r="AA160" s="140"/>
    </row>
    <row r="161" spans="1:41" ht="27.75" customHeight="1">
      <c r="B161" s="472"/>
      <c r="C161" s="472"/>
      <c r="D161" s="472"/>
      <c r="E161" s="472"/>
      <c r="F161" s="472"/>
      <c r="G161" s="472"/>
      <c r="H161" s="472"/>
      <c r="I161" s="472"/>
      <c r="J161" s="472"/>
      <c r="K161" s="472"/>
      <c r="L161" s="146"/>
      <c r="M161" s="472"/>
      <c r="N161" s="155"/>
      <c r="O161" s="127"/>
      <c r="S161" s="23"/>
      <c r="T161" s="23"/>
      <c r="U161" s="23"/>
      <c r="V161" s="139"/>
      <c r="W161" s="139"/>
      <c r="X161" s="139"/>
      <c r="Y161" s="139"/>
      <c r="Z161" s="139"/>
      <c r="AA161" s="140"/>
    </row>
    <row r="162" spans="1:41" s="103" customFormat="1" ht="27.75" customHeight="1">
      <c r="B162" s="476" t="s">
        <v>58</v>
      </c>
      <c r="C162" s="479"/>
      <c r="D162" s="479">
        <v>0.3</v>
      </c>
      <c r="E162" s="479">
        <v>0.3</v>
      </c>
      <c r="F162" s="479">
        <v>0.4</v>
      </c>
      <c r="G162" s="479">
        <v>0.25</v>
      </c>
      <c r="H162" s="479">
        <v>0.35</v>
      </c>
      <c r="I162" s="479">
        <v>3.4</v>
      </c>
      <c r="J162" s="476" t="s">
        <v>58</v>
      </c>
      <c r="K162" s="493">
        <v>0.43759452673113802</v>
      </c>
      <c r="L162" s="146"/>
      <c r="M162" s="493">
        <v>0.46767434456156248</v>
      </c>
      <c r="N162" s="149"/>
      <c r="O162" s="160"/>
      <c r="P162" s="34"/>
      <c r="Q162" s="34"/>
      <c r="R162" s="34"/>
      <c r="S162" s="75"/>
      <c r="T162" s="75"/>
      <c r="U162" s="75"/>
      <c r="V162" s="139"/>
      <c r="W162" s="139"/>
      <c r="X162" s="139"/>
      <c r="Y162" s="139"/>
      <c r="Z162" s="139"/>
      <c r="AA162" s="140"/>
      <c r="AN162" s="105"/>
      <c r="AO162" s="106"/>
    </row>
    <row r="163" spans="1:41" s="103" customFormat="1" ht="41.25" customHeight="1">
      <c r="B163" s="472"/>
      <c r="C163" s="472"/>
      <c r="D163" s="472"/>
      <c r="E163" s="472"/>
      <c r="F163" s="472"/>
      <c r="G163" s="472"/>
      <c r="H163" s="472"/>
      <c r="I163" s="472"/>
      <c r="J163" s="472"/>
      <c r="K163" s="472"/>
      <c r="L163" s="146"/>
      <c r="M163" s="472"/>
      <c r="N163" s="155"/>
      <c r="O163" s="161"/>
      <c r="P163" s="34"/>
      <c r="Q163" s="34"/>
      <c r="R163" s="34"/>
      <c r="S163" s="75"/>
      <c r="T163" s="75"/>
      <c r="U163" s="75"/>
      <c r="V163" s="139"/>
      <c r="W163" s="139"/>
      <c r="X163" s="139"/>
      <c r="Y163" s="139"/>
      <c r="Z163" s="139"/>
      <c r="AA163" s="140"/>
      <c r="AN163" s="105"/>
      <c r="AO163" s="106"/>
    </row>
    <row r="164" spans="1:41">
      <c r="T164" s="34"/>
    </row>
    <row r="165" spans="1:41">
      <c r="T165" s="34"/>
    </row>
    <row r="166" spans="1:41">
      <c r="K166" s="155"/>
      <c r="L166" s="155"/>
      <c r="M166" s="155"/>
      <c r="T166" s="34"/>
    </row>
    <row r="167" spans="1:41">
      <c r="K167" s="155"/>
      <c r="L167" s="155"/>
      <c r="M167" s="155"/>
      <c r="T167" s="34"/>
    </row>
    <row r="168" spans="1:41">
      <c r="K168" s="155"/>
      <c r="L168" s="155"/>
      <c r="M168" s="155"/>
      <c r="T168" s="34"/>
    </row>
    <row r="169" spans="1:41">
      <c r="K169" s="155"/>
      <c r="L169" s="155"/>
      <c r="M169" s="155"/>
      <c r="T169" s="34"/>
    </row>
    <row r="170" spans="1:41" s="152" customFormat="1" ht="37.5" customHeight="1">
      <c r="A170" s="180" t="s">
        <v>222</v>
      </c>
      <c r="I170" s="103"/>
      <c r="J170" s="103"/>
      <c r="K170" s="103"/>
      <c r="L170" s="181"/>
      <c r="M170" s="181"/>
      <c r="N170" s="181"/>
      <c r="O170" s="181"/>
      <c r="P170" s="182"/>
      <c r="R170" s="76"/>
      <c r="AA170" s="2"/>
      <c r="AN170" s="153"/>
      <c r="AO170" s="154"/>
    </row>
    <row r="171" spans="1:41" s="152" customFormat="1" ht="48.75" customHeight="1">
      <c r="A171" s="509" t="s">
        <v>60</v>
      </c>
      <c r="B171" s="475"/>
      <c r="C171" s="509" t="s">
        <v>61</v>
      </c>
      <c r="D171" s="475"/>
      <c r="E171" s="509" t="s">
        <v>62</v>
      </c>
      <c r="F171" s="475"/>
      <c r="G171" s="509" t="s">
        <v>223</v>
      </c>
      <c r="H171" s="475"/>
      <c r="I171" s="509" t="s">
        <v>224</v>
      </c>
      <c r="J171" s="475"/>
      <c r="K171" s="509" t="s">
        <v>225</v>
      </c>
      <c r="L171" s="475"/>
      <c r="M171" s="509" t="s">
        <v>226</v>
      </c>
      <c r="N171" s="475"/>
      <c r="O171" s="509" t="s">
        <v>227</v>
      </c>
      <c r="P171" s="475"/>
      <c r="R171" s="23"/>
      <c r="S171" s="23"/>
      <c r="T171" s="23"/>
      <c r="U171" s="23"/>
      <c r="V171" s="23"/>
      <c r="W171" s="23"/>
      <c r="X171" s="23"/>
      <c r="Y171" s="23"/>
      <c r="Z171" s="23"/>
      <c r="AA171" s="183"/>
      <c r="AN171" s="153"/>
      <c r="AO171" s="154"/>
    </row>
    <row r="172" spans="1:41" s="152" customFormat="1" ht="38.25" customHeight="1">
      <c r="A172" s="509" t="s">
        <v>68</v>
      </c>
      <c r="B172" s="475"/>
      <c r="C172" s="529">
        <v>0.36556589780535748</v>
      </c>
      <c r="D172" s="475"/>
      <c r="E172" s="529">
        <v>0.27086613468609638</v>
      </c>
      <c r="F172" s="475"/>
      <c r="G172" s="529">
        <v>0.36356796750854609</v>
      </c>
      <c r="H172" s="475"/>
      <c r="I172" s="499"/>
      <c r="J172" s="475"/>
      <c r="K172" s="499"/>
      <c r="L172" s="475"/>
      <c r="M172" s="499"/>
      <c r="N172" s="475"/>
      <c r="O172" s="499">
        <v>1</v>
      </c>
      <c r="P172" s="475"/>
      <c r="R172" s="74"/>
      <c r="S172" s="184"/>
      <c r="T172" s="184"/>
      <c r="U172" s="184"/>
      <c r="V172" s="75"/>
      <c r="W172" s="75"/>
      <c r="X172" s="75"/>
      <c r="Y172" s="75"/>
      <c r="Z172" s="75"/>
      <c r="AA172" s="174"/>
      <c r="AN172" s="153"/>
      <c r="AO172" s="154"/>
    </row>
    <row r="173" spans="1:41" ht="48.75" customHeight="1">
      <c r="A173" s="541" t="s">
        <v>72</v>
      </c>
      <c r="B173" s="475"/>
      <c r="C173" s="555">
        <v>0.5724098454493417</v>
      </c>
      <c r="D173" s="475"/>
      <c r="E173" s="570">
        <v>0.4275901545506583</v>
      </c>
      <c r="F173" s="475"/>
      <c r="G173" s="509"/>
      <c r="H173" s="475"/>
      <c r="I173" s="509"/>
      <c r="J173" s="475"/>
      <c r="K173" s="509"/>
      <c r="L173" s="475"/>
      <c r="M173" s="509"/>
      <c r="N173" s="475"/>
      <c r="O173" s="499">
        <v>1</v>
      </c>
      <c r="P173" s="475"/>
      <c r="R173" s="74"/>
      <c r="S173" s="184"/>
      <c r="T173" s="184"/>
      <c r="U173" s="75"/>
      <c r="V173" s="75"/>
      <c r="W173" s="75"/>
      <c r="X173" s="75"/>
      <c r="Y173" s="75"/>
      <c r="Z173" s="75"/>
      <c r="AA173" s="174"/>
    </row>
    <row r="174" spans="1:41" ht="48.75" customHeight="1">
      <c r="A174" s="541" t="s">
        <v>228</v>
      </c>
      <c r="B174" s="475"/>
      <c r="C174" s="509"/>
      <c r="D174" s="475"/>
      <c r="E174" s="509"/>
      <c r="F174" s="475"/>
      <c r="G174" s="509"/>
      <c r="H174" s="475"/>
      <c r="I174" s="529">
        <v>0.36661850593191009</v>
      </c>
      <c r="J174" s="475"/>
      <c r="K174" s="555">
        <v>0.63338149406808975</v>
      </c>
      <c r="L174" s="475"/>
      <c r="M174" s="556">
        <v>0</v>
      </c>
      <c r="N174" s="475"/>
      <c r="O174" s="499">
        <v>0.99999999999999989</v>
      </c>
      <c r="P174" s="475"/>
      <c r="R174" s="74"/>
      <c r="S174" s="75"/>
      <c r="T174" s="75"/>
      <c r="U174" s="75"/>
      <c r="V174" s="184"/>
      <c r="W174" s="184"/>
      <c r="X174" s="184"/>
      <c r="Y174" s="184"/>
      <c r="Z174" s="184"/>
      <c r="AA174" s="185"/>
    </row>
    <row r="175" spans="1:41" ht="27" customHeight="1">
      <c r="R175" s="12"/>
      <c r="S175" s="12"/>
      <c r="T175" s="12"/>
      <c r="U175" s="12"/>
      <c r="V175" s="12"/>
      <c r="W175" s="12"/>
      <c r="X175" s="12"/>
      <c r="Y175" s="12"/>
      <c r="Z175" s="12"/>
      <c r="AA175" s="186"/>
    </row>
    <row r="176" spans="1:41" ht="52.5" customHeight="1">
      <c r="E176" s="13" t="s">
        <v>212</v>
      </c>
      <c r="F176" s="222">
        <v>0.33654828851044138</v>
      </c>
      <c r="G176" s="13" t="s">
        <v>214</v>
      </c>
      <c r="H176" s="222">
        <v>0.4685670753762996</v>
      </c>
      <c r="R176" s="187"/>
      <c r="S176" s="187"/>
      <c r="T176" s="187"/>
      <c r="U176" s="187"/>
      <c r="V176" s="187"/>
      <c r="W176" s="187"/>
      <c r="X176" s="187"/>
      <c r="Y176" s="187"/>
      <c r="Z176" s="187"/>
      <c r="AA176" s="188"/>
    </row>
    <row r="177" spans="1:41" ht="27" customHeight="1">
      <c r="A177" s="546" t="s">
        <v>157</v>
      </c>
      <c r="B177" s="474"/>
      <c r="C177" s="475"/>
      <c r="D177" s="546" t="s">
        <v>229</v>
      </c>
      <c r="E177" s="474"/>
      <c r="F177" s="474"/>
      <c r="G177" s="475"/>
      <c r="H177" s="546" t="s">
        <v>230</v>
      </c>
      <c r="I177" s="474"/>
      <c r="J177" s="474"/>
      <c r="K177" s="474"/>
      <c r="L177" s="474"/>
      <c r="M177" s="474"/>
      <c r="N177" s="474"/>
      <c r="O177" s="474"/>
      <c r="P177" s="475"/>
      <c r="Q177" s="189"/>
      <c r="R177" s="190"/>
      <c r="S177" s="190"/>
      <c r="T177" s="190"/>
      <c r="U177" s="190"/>
      <c r="V177" s="190"/>
      <c r="W177" s="190"/>
      <c r="X177" s="190"/>
      <c r="Y177" s="190"/>
      <c r="Z177" s="190"/>
      <c r="AA177" s="191"/>
    </row>
    <row r="178" spans="1:41" ht="53.25" customHeight="1">
      <c r="A178" s="542">
        <v>1</v>
      </c>
      <c r="B178" s="474"/>
      <c r="C178" s="475"/>
      <c r="D178" s="473" t="s">
        <v>231</v>
      </c>
      <c r="E178" s="474"/>
      <c r="F178" s="474"/>
      <c r="G178" s="475"/>
      <c r="H178" s="526" t="s">
        <v>232</v>
      </c>
      <c r="I178" s="474"/>
      <c r="J178" s="474"/>
      <c r="K178" s="474"/>
      <c r="L178" s="474"/>
      <c r="M178" s="474"/>
      <c r="N178" s="474"/>
      <c r="O178" s="474"/>
      <c r="P178" s="475"/>
      <c r="Q178" s="189"/>
      <c r="R178" s="190"/>
      <c r="S178" s="190"/>
      <c r="T178" s="190"/>
      <c r="U178" s="190"/>
      <c r="V178" s="190"/>
      <c r="W178" s="190"/>
      <c r="X178" s="190"/>
      <c r="Y178" s="190"/>
      <c r="Z178" s="190"/>
      <c r="AA178" s="191"/>
    </row>
    <row r="179" spans="1:41" s="103" customFormat="1" ht="42.75" customHeight="1">
      <c r="A179" s="514">
        <v>0.7679999999999999</v>
      </c>
      <c r="B179" s="474"/>
      <c r="C179" s="475"/>
      <c r="D179" s="473" t="s">
        <v>233</v>
      </c>
      <c r="E179" s="474"/>
      <c r="F179" s="474"/>
      <c r="G179" s="475"/>
      <c r="H179" s="487" t="s">
        <v>234</v>
      </c>
      <c r="I179" s="474"/>
      <c r="J179" s="474"/>
      <c r="K179" s="474"/>
      <c r="L179" s="474"/>
      <c r="M179" s="474"/>
      <c r="N179" s="474"/>
      <c r="O179" s="474"/>
      <c r="P179" s="475"/>
      <c r="Q179" s="189"/>
      <c r="R179" s="190"/>
      <c r="S179" s="190"/>
      <c r="T179" s="190"/>
      <c r="U179" s="190"/>
      <c r="V179" s="190"/>
      <c r="W179" s="190"/>
      <c r="X179" s="190"/>
      <c r="Y179" s="190"/>
      <c r="Z179" s="190"/>
      <c r="AA179" s="191"/>
      <c r="AN179" s="105"/>
      <c r="AO179" s="106"/>
    </row>
    <row r="180" spans="1:41" s="103" customFormat="1" ht="41.25" customHeight="1">
      <c r="A180" s="542">
        <v>0.74700000000000011</v>
      </c>
      <c r="B180" s="474"/>
      <c r="C180" s="475"/>
      <c r="D180" s="473" t="s">
        <v>235</v>
      </c>
      <c r="E180" s="474"/>
      <c r="F180" s="474"/>
      <c r="G180" s="475"/>
      <c r="H180" s="526" t="s">
        <v>236</v>
      </c>
      <c r="I180" s="474"/>
      <c r="J180" s="474"/>
      <c r="K180" s="474"/>
      <c r="L180" s="474"/>
      <c r="M180" s="474"/>
      <c r="N180" s="474"/>
      <c r="O180" s="474"/>
      <c r="P180" s="475"/>
      <c r="Q180" s="189"/>
      <c r="R180" s="190"/>
      <c r="S180" s="190"/>
      <c r="T180" s="190"/>
      <c r="U180" s="190"/>
      <c r="V180" s="190"/>
      <c r="W180" s="190"/>
      <c r="X180" s="190"/>
      <c r="Y180" s="190"/>
      <c r="Z180" s="190"/>
      <c r="AA180" s="191"/>
      <c r="AN180" s="105"/>
      <c r="AO180" s="106"/>
    </row>
    <row r="181" spans="1:41" s="103" customFormat="1" ht="41.25" customHeight="1">
      <c r="A181" s="514">
        <v>0.56300000000000006</v>
      </c>
      <c r="B181" s="474"/>
      <c r="C181" s="475"/>
      <c r="D181" s="473" t="s">
        <v>237</v>
      </c>
      <c r="E181" s="474"/>
      <c r="F181" s="474"/>
      <c r="G181" s="475"/>
      <c r="H181" s="487" t="s">
        <v>238</v>
      </c>
      <c r="I181" s="474"/>
      <c r="J181" s="474"/>
      <c r="K181" s="474"/>
      <c r="L181" s="474"/>
      <c r="M181" s="474"/>
      <c r="N181" s="474"/>
      <c r="O181" s="474"/>
      <c r="P181" s="475"/>
      <c r="Q181" s="192"/>
      <c r="R181" s="190"/>
      <c r="S181" s="190"/>
      <c r="T181" s="190"/>
      <c r="U181" s="190"/>
      <c r="V181" s="190"/>
      <c r="W181" s="190"/>
      <c r="X181" s="190"/>
      <c r="Y181" s="190"/>
      <c r="Z181" s="190"/>
      <c r="AA181" s="191"/>
      <c r="AN181" s="105"/>
      <c r="AO181" s="106"/>
    </row>
    <row r="182" spans="1:41" s="103" customFormat="1" ht="41.25" customHeight="1">
      <c r="A182" s="532">
        <v>0.8839999999999999</v>
      </c>
      <c r="B182" s="474"/>
      <c r="C182" s="475"/>
      <c r="D182" s="473" t="s">
        <v>239</v>
      </c>
      <c r="E182" s="474"/>
      <c r="F182" s="474"/>
      <c r="G182" s="475"/>
      <c r="H182" s="487" t="s">
        <v>240</v>
      </c>
      <c r="I182" s="474"/>
      <c r="J182" s="474"/>
      <c r="K182" s="474"/>
      <c r="L182" s="474"/>
      <c r="M182" s="474"/>
      <c r="N182" s="474"/>
      <c r="O182" s="474"/>
      <c r="P182" s="475"/>
      <c r="Q182" s="192"/>
      <c r="R182" s="190"/>
      <c r="S182" s="190"/>
      <c r="T182" s="190"/>
      <c r="U182" s="190"/>
      <c r="V182" s="190"/>
      <c r="W182" s="190"/>
      <c r="X182" s="190"/>
      <c r="Y182" s="190"/>
      <c r="Z182" s="190"/>
      <c r="AA182" s="191"/>
      <c r="AN182" s="105"/>
      <c r="AO182" s="106"/>
    </row>
    <row r="183" spans="1:41" s="103" customFormat="1" ht="41.25" customHeight="1">
      <c r="A183" s="531">
        <v>0.65500000000000003</v>
      </c>
      <c r="B183" s="474"/>
      <c r="C183" s="475"/>
      <c r="D183" s="473" t="s">
        <v>241</v>
      </c>
      <c r="E183" s="474"/>
      <c r="F183" s="474"/>
      <c r="G183" s="475"/>
      <c r="H183" s="487" t="s">
        <v>242</v>
      </c>
      <c r="I183" s="474"/>
      <c r="J183" s="474"/>
      <c r="K183" s="474"/>
      <c r="L183" s="474"/>
      <c r="M183" s="474"/>
      <c r="N183" s="474"/>
      <c r="O183" s="474"/>
      <c r="P183" s="475"/>
      <c r="Q183" s="192"/>
      <c r="R183" s="190"/>
      <c r="S183" s="190"/>
      <c r="T183" s="190"/>
      <c r="U183" s="190"/>
      <c r="V183" s="190"/>
      <c r="W183" s="190"/>
      <c r="X183" s="190"/>
      <c r="Y183" s="190"/>
      <c r="Z183" s="190"/>
      <c r="AA183" s="191"/>
      <c r="AN183" s="105"/>
      <c r="AO183" s="106"/>
    </row>
    <row r="184" spans="1:41" s="103" customFormat="1" ht="41.25" customHeight="1">
      <c r="A184" s="528">
        <v>0.74700000000000011</v>
      </c>
      <c r="B184" s="474"/>
      <c r="C184" s="475"/>
      <c r="D184" s="473" t="s">
        <v>243</v>
      </c>
      <c r="E184" s="474"/>
      <c r="F184" s="474"/>
      <c r="G184" s="475"/>
      <c r="H184" s="487" t="s">
        <v>244</v>
      </c>
      <c r="I184" s="474"/>
      <c r="J184" s="474"/>
      <c r="K184" s="474"/>
      <c r="L184" s="474"/>
      <c r="M184" s="474"/>
      <c r="N184" s="474"/>
      <c r="O184" s="474"/>
      <c r="P184" s="475"/>
      <c r="Q184" s="192"/>
      <c r="R184" s="190"/>
      <c r="S184" s="190"/>
      <c r="T184" s="190"/>
      <c r="U184" s="190"/>
      <c r="V184" s="190"/>
      <c r="W184" s="190"/>
      <c r="X184" s="190"/>
      <c r="Y184" s="190"/>
      <c r="Z184" s="190"/>
      <c r="AA184" s="191"/>
      <c r="AN184" s="105"/>
      <c r="AO184" s="106"/>
    </row>
    <row r="185" spans="1:41" s="103" customFormat="1" ht="41.25" customHeight="1">
      <c r="A185" s="528">
        <v>0.73307291666666685</v>
      </c>
      <c r="B185" s="474"/>
      <c r="C185" s="475"/>
      <c r="D185" s="473" t="s">
        <v>245</v>
      </c>
      <c r="E185" s="474"/>
      <c r="F185" s="474"/>
      <c r="G185" s="475"/>
      <c r="H185" s="487" t="s">
        <v>246</v>
      </c>
      <c r="I185" s="474"/>
      <c r="J185" s="474"/>
      <c r="K185" s="474"/>
      <c r="L185" s="474"/>
      <c r="M185" s="474"/>
      <c r="N185" s="474"/>
      <c r="O185" s="474"/>
      <c r="P185" s="475"/>
      <c r="Q185" s="192"/>
      <c r="R185" s="190"/>
      <c r="S185" s="190"/>
      <c r="T185" s="190"/>
      <c r="U185" s="190"/>
      <c r="V185" s="190"/>
      <c r="W185" s="190"/>
      <c r="X185" s="190"/>
      <c r="Y185" s="190"/>
      <c r="Z185" s="190"/>
      <c r="AA185" s="191"/>
      <c r="AN185" s="105"/>
      <c r="AO185" s="106"/>
    </row>
    <row r="186" spans="1:41" s="103" customFormat="1" ht="41.25" customHeight="1">
      <c r="A186" s="528">
        <v>0.74003645833333342</v>
      </c>
      <c r="B186" s="474"/>
      <c r="C186" s="475"/>
      <c r="D186" s="473" t="s">
        <v>247</v>
      </c>
      <c r="E186" s="474"/>
      <c r="F186" s="474"/>
      <c r="G186" s="475"/>
      <c r="H186" s="487" t="s">
        <v>248</v>
      </c>
      <c r="I186" s="474"/>
      <c r="J186" s="474"/>
      <c r="K186" s="474"/>
      <c r="L186" s="474"/>
      <c r="M186" s="474"/>
      <c r="N186" s="474"/>
      <c r="O186" s="474"/>
      <c r="P186" s="475"/>
      <c r="Q186" s="192"/>
      <c r="R186" s="190"/>
      <c r="S186" s="190"/>
      <c r="T186" s="190"/>
      <c r="U186" s="190"/>
      <c r="V186" s="190"/>
      <c r="W186" s="190"/>
      <c r="X186" s="190"/>
      <c r="Y186" s="190"/>
      <c r="Z186" s="190"/>
      <c r="AA186" s="191"/>
      <c r="AN186" s="105"/>
      <c r="AO186" s="106"/>
    </row>
    <row r="187" spans="1:41" s="103" customFormat="1" ht="41.25" customHeight="1">
      <c r="A187" s="528">
        <v>0.98135597947344944</v>
      </c>
      <c r="B187" s="474"/>
      <c r="C187" s="475"/>
      <c r="D187" s="473" t="s">
        <v>249</v>
      </c>
      <c r="E187" s="474"/>
      <c r="F187" s="474"/>
      <c r="G187" s="475"/>
      <c r="H187" s="487" t="s">
        <v>250</v>
      </c>
      <c r="I187" s="474"/>
      <c r="J187" s="474"/>
      <c r="K187" s="474"/>
      <c r="L187" s="474"/>
      <c r="M187" s="474"/>
      <c r="N187" s="474"/>
      <c r="O187" s="474"/>
      <c r="P187" s="475"/>
      <c r="Q187" s="192"/>
      <c r="R187" s="190"/>
      <c r="S187" s="190"/>
      <c r="T187" s="190"/>
      <c r="U187" s="190"/>
      <c r="V187" s="190"/>
      <c r="W187" s="190"/>
      <c r="X187" s="190"/>
      <c r="Y187" s="190"/>
      <c r="Z187" s="190"/>
      <c r="AA187" s="191"/>
      <c r="AN187" s="105"/>
      <c r="AO187" s="106"/>
    </row>
    <row r="188" spans="1:41" s="103" customFormat="1" ht="41.25" customHeight="1">
      <c r="A188" s="528">
        <v>0.74095022624434403</v>
      </c>
      <c r="B188" s="474"/>
      <c r="C188" s="475"/>
      <c r="D188" s="473" t="s">
        <v>251</v>
      </c>
      <c r="E188" s="474"/>
      <c r="F188" s="474"/>
      <c r="G188" s="475"/>
      <c r="H188" s="487" t="s">
        <v>252</v>
      </c>
      <c r="I188" s="474"/>
      <c r="J188" s="474"/>
      <c r="K188" s="474"/>
      <c r="L188" s="474"/>
      <c r="M188" s="474"/>
      <c r="N188" s="474"/>
      <c r="O188" s="474"/>
      <c r="P188" s="475"/>
      <c r="Q188" s="192"/>
      <c r="R188" s="190"/>
      <c r="S188" s="190"/>
      <c r="T188" s="190"/>
      <c r="U188" s="190"/>
      <c r="V188" s="190"/>
      <c r="W188" s="190"/>
      <c r="X188" s="190"/>
      <c r="Y188" s="190"/>
      <c r="Z188" s="190"/>
      <c r="AA188" s="191"/>
      <c r="AN188" s="105"/>
      <c r="AO188" s="106"/>
    </row>
    <row r="189" spans="1:41" s="103" customFormat="1" ht="41.25" customHeight="1">
      <c r="A189" s="549">
        <v>0.36356796750854609</v>
      </c>
      <c r="B189" s="474"/>
      <c r="C189" s="475"/>
      <c r="D189" s="473" t="s">
        <v>253</v>
      </c>
      <c r="E189" s="474"/>
      <c r="F189" s="474"/>
      <c r="G189" s="475"/>
      <c r="H189" s="487" t="s">
        <v>254</v>
      </c>
      <c r="I189" s="474"/>
      <c r="J189" s="474"/>
      <c r="K189" s="474"/>
      <c r="L189" s="474"/>
      <c r="M189" s="474"/>
      <c r="N189" s="474"/>
      <c r="O189" s="474"/>
      <c r="P189" s="475"/>
      <c r="Q189" s="192"/>
      <c r="R189" s="190"/>
      <c r="S189" s="190"/>
      <c r="T189" s="193"/>
      <c r="U189" s="193"/>
      <c r="V189" s="193"/>
      <c r="W189" s="193"/>
      <c r="X189" s="193"/>
      <c r="Y189" s="193"/>
      <c r="Z189" s="193"/>
      <c r="AA189" s="194"/>
      <c r="AN189" s="105"/>
      <c r="AO189" s="106"/>
    </row>
    <row r="190" spans="1:41" s="103" customFormat="1" ht="45" customHeight="1">
      <c r="A190" s="530">
        <v>0.36556589780535748</v>
      </c>
      <c r="B190" s="474"/>
      <c r="C190" s="475"/>
      <c r="D190" s="487" t="s">
        <v>255</v>
      </c>
      <c r="E190" s="474"/>
      <c r="F190" s="474"/>
      <c r="G190" s="475"/>
      <c r="H190" s="473" t="s">
        <v>256</v>
      </c>
      <c r="I190" s="474"/>
      <c r="J190" s="474"/>
      <c r="K190" s="474"/>
      <c r="L190" s="474"/>
      <c r="M190" s="474"/>
      <c r="N190" s="474"/>
      <c r="O190" s="474"/>
      <c r="P190" s="475"/>
      <c r="Q190" s="189"/>
      <c r="R190" s="190"/>
      <c r="S190" s="190"/>
      <c r="T190" s="190"/>
      <c r="U190" s="190"/>
      <c r="V190" s="190"/>
      <c r="W190" s="190"/>
      <c r="X190" s="190"/>
      <c r="Y190" s="190"/>
      <c r="Z190" s="190"/>
      <c r="AA190" s="191"/>
      <c r="AN190" s="105"/>
      <c r="AO190" s="106"/>
    </row>
    <row r="191" spans="1:41" s="103" customFormat="1" ht="41.25" customHeight="1">
      <c r="A191" s="530">
        <v>0.27086613468609638</v>
      </c>
      <c r="B191" s="474"/>
      <c r="C191" s="475"/>
      <c r="D191" s="487" t="s">
        <v>257</v>
      </c>
      <c r="E191" s="474"/>
      <c r="F191" s="474"/>
      <c r="G191" s="475"/>
      <c r="H191" s="487" t="s">
        <v>258</v>
      </c>
      <c r="I191" s="474"/>
      <c r="J191" s="474"/>
      <c r="K191" s="474"/>
      <c r="L191" s="474"/>
      <c r="M191" s="474"/>
      <c r="N191" s="474"/>
      <c r="O191" s="474"/>
      <c r="P191" s="475"/>
      <c r="Q191" s="192"/>
      <c r="R191" s="190"/>
      <c r="S191" s="190"/>
      <c r="T191" s="190"/>
      <c r="U191" s="190"/>
      <c r="V191" s="190"/>
      <c r="W191" s="190"/>
      <c r="X191" s="190"/>
      <c r="Y191" s="190"/>
      <c r="Z191" s="190"/>
      <c r="AA191" s="191"/>
      <c r="AN191" s="105"/>
      <c r="AO191" s="106"/>
    </row>
    <row r="192" spans="1:41" s="103" customFormat="1" ht="41.25" customHeight="1">
      <c r="A192" s="530">
        <v>0.5724098454493417</v>
      </c>
      <c r="B192" s="474"/>
      <c r="C192" s="475"/>
      <c r="D192" s="473" t="s">
        <v>259</v>
      </c>
      <c r="E192" s="474"/>
      <c r="F192" s="474"/>
      <c r="G192" s="475"/>
      <c r="H192" s="473" t="s">
        <v>260</v>
      </c>
      <c r="I192" s="474"/>
      <c r="J192" s="474"/>
      <c r="K192" s="474"/>
      <c r="L192" s="474"/>
      <c r="M192" s="474"/>
      <c r="N192" s="474"/>
      <c r="O192" s="474"/>
      <c r="P192" s="475"/>
      <c r="Q192" s="192"/>
      <c r="R192" s="190"/>
      <c r="S192" s="190"/>
      <c r="T192" s="190"/>
      <c r="U192" s="190"/>
      <c r="V192" s="190"/>
      <c r="W192" s="190"/>
      <c r="X192" s="190"/>
      <c r="Y192" s="190"/>
      <c r="Z192" s="190"/>
      <c r="AA192" s="191"/>
      <c r="AN192" s="105"/>
      <c r="AO192" s="106"/>
    </row>
    <row r="193" spans="1:41" s="103" customFormat="1" ht="41.25" customHeight="1">
      <c r="A193" s="530">
        <v>0.4275901545506583</v>
      </c>
      <c r="B193" s="474"/>
      <c r="C193" s="475"/>
      <c r="D193" s="473" t="s">
        <v>261</v>
      </c>
      <c r="E193" s="474"/>
      <c r="F193" s="474"/>
      <c r="G193" s="475"/>
      <c r="H193" s="473" t="s">
        <v>262</v>
      </c>
      <c r="I193" s="474"/>
      <c r="J193" s="474"/>
      <c r="K193" s="474"/>
      <c r="L193" s="474"/>
      <c r="M193" s="474"/>
      <c r="N193" s="474"/>
      <c r="O193" s="474"/>
      <c r="P193" s="475"/>
      <c r="Q193" s="192"/>
      <c r="R193" s="190"/>
      <c r="S193" s="190"/>
      <c r="T193" s="190"/>
      <c r="U193" s="190"/>
      <c r="V193" s="190"/>
      <c r="W193" s="190"/>
      <c r="X193" s="190"/>
      <c r="Y193" s="190"/>
      <c r="Z193" s="190"/>
      <c r="AA193" s="191"/>
      <c r="AN193" s="105"/>
      <c r="AO193" s="106"/>
    </row>
    <row r="194" spans="1:41" s="103" customFormat="1" ht="41.25" customHeight="1">
      <c r="A194" s="569">
        <v>0.43238399999999999</v>
      </c>
      <c r="B194" s="474"/>
      <c r="C194" s="475"/>
      <c r="D194" s="539" t="s">
        <v>263</v>
      </c>
      <c r="E194" s="474"/>
      <c r="F194" s="474"/>
      <c r="G194" s="475"/>
      <c r="H194" s="473" t="s">
        <v>264</v>
      </c>
      <c r="I194" s="474"/>
      <c r="J194" s="474"/>
      <c r="K194" s="474"/>
      <c r="L194" s="474"/>
      <c r="M194" s="474"/>
      <c r="N194" s="474"/>
      <c r="O194" s="474"/>
      <c r="P194" s="475"/>
      <c r="Q194" s="192"/>
      <c r="R194" s="190"/>
      <c r="S194" s="190"/>
      <c r="T194" s="190"/>
      <c r="U194" s="190"/>
      <c r="V194" s="190"/>
      <c r="W194" s="190"/>
      <c r="X194" s="190"/>
      <c r="Y194" s="190"/>
      <c r="Z194" s="190"/>
      <c r="AA194" s="191"/>
      <c r="AN194" s="105"/>
      <c r="AO194" s="106"/>
    </row>
    <row r="195" spans="1:41" s="103" customFormat="1" ht="41.25" customHeight="1">
      <c r="A195" s="540">
        <v>0.74700000000000011</v>
      </c>
      <c r="B195" s="474"/>
      <c r="C195" s="475"/>
      <c r="D195" s="539" t="s">
        <v>265</v>
      </c>
      <c r="E195" s="474"/>
      <c r="F195" s="474"/>
      <c r="G195" s="475"/>
      <c r="H195" s="473" t="s">
        <v>266</v>
      </c>
      <c r="I195" s="474"/>
      <c r="J195" s="474"/>
      <c r="K195" s="474"/>
      <c r="L195" s="474"/>
      <c r="M195" s="474"/>
      <c r="N195" s="474"/>
      <c r="O195" s="474"/>
      <c r="P195" s="475"/>
      <c r="Q195" s="192"/>
      <c r="R195" s="190"/>
      <c r="S195" s="190"/>
      <c r="T195" s="190"/>
      <c r="U195" s="190"/>
      <c r="V195" s="190"/>
      <c r="W195" s="190"/>
      <c r="X195" s="190"/>
      <c r="Y195" s="190"/>
      <c r="Z195" s="190"/>
      <c r="AA195" s="191"/>
      <c r="AN195" s="105"/>
      <c r="AO195" s="106"/>
    </row>
    <row r="196" spans="1:41" s="103" customFormat="1" ht="41.25" customHeight="1">
      <c r="A196" s="530">
        <v>0.36661850593191009</v>
      </c>
      <c r="B196" s="474"/>
      <c r="C196" s="475"/>
      <c r="D196" s="473" t="s">
        <v>16</v>
      </c>
      <c r="E196" s="474"/>
      <c r="F196" s="474"/>
      <c r="G196" s="475"/>
      <c r="H196" s="473" t="s">
        <v>267</v>
      </c>
      <c r="I196" s="474"/>
      <c r="J196" s="474"/>
      <c r="K196" s="474"/>
      <c r="L196" s="474"/>
      <c r="M196" s="474"/>
      <c r="N196" s="474"/>
      <c r="O196" s="474"/>
      <c r="P196" s="475"/>
      <c r="Q196" s="192"/>
      <c r="R196" s="190"/>
      <c r="S196" s="190"/>
      <c r="T196" s="190"/>
      <c r="U196" s="190"/>
      <c r="V196" s="190"/>
      <c r="W196" s="190"/>
      <c r="X196" s="190"/>
      <c r="Y196" s="190"/>
      <c r="Z196" s="190"/>
      <c r="AA196" s="191"/>
      <c r="AN196" s="105"/>
      <c r="AO196" s="106"/>
    </row>
    <row r="197" spans="1:41" s="103" customFormat="1" ht="41.25" customHeight="1">
      <c r="A197" s="530">
        <v>0.63338149406808975</v>
      </c>
      <c r="B197" s="474"/>
      <c r="C197" s="475"/>
      <c r="D197" s="473" t="s">
        <v>268</v>
      </c>
      <c r="E197" s="474"/>
      <c r="F197" s="474"/>
      <c r="G197" s="475"/>
      <c r="H197" s="473" t="s">
        <v>269</v>
      </c>
      <c r="I197" s="474"/>
      <c r="J197" s="474"/>
      <c r="K197" s="474"/>
      <c r="L197" s="474"/>
      <c r="M197" s="474"/>
      <c r="N197" s="474"/>
      <c r="O197" s="474"/>
      <c r="P197" s="475"/>
      <c r="Q197" s="192"/>
      <c r="R197" s="190"/>
      <c r="S197" s="190"/>
      <c r="T197" s="190"/>
      <c r="U197" s="190"/>
      <c r="V197" s="190"/>
      <c r="W197" s="190"/>
      <c r="X197" s="190"/>
      <c r="Y197" s="190"/>
      <c r="Z197" s="190"/>
      <c r="AA197" s="191"/>
      <c r="AN197" s="105"/>
      <c r="AO197" s="106"/>
    </row>
    <row r="198" spans="1:41" s="103" customFormat="1" ht="41.25" customHeight="1">
      <c r="A198" s="527">
        <v>0</v>
      </c>
      <c r="B198" s="474"/>
      <c r="C198" s="475"/>
      <c r="D198" s="473" t="s">
        <v>51</v>
      </c>
      <c r="E198" s="474"/>
      <c r="F198" s="474"/>
      <c r="G198" s="475"/>
      <c r="H198" s="473" t="s">
        <v>270</v>
      </c>
      <c r="I198" s="474"/>
      <c r="J198" s="474"/>
      <c r="K198" s="474"/>
      <c r="L198" s="474"/>
      <c r="M198" s="474"/>
      <c r="N198" s="474"/>
      <c r="O198" s="474"/>
      <c r="P198" s="475"/>
      <c r="Q198" s="192"/>
      <c r="R198" s="190"/>
      <c r="S198" s="190"/>
      <c r="T198" s="190"/>
      <c r="U198" s="190"/>
      <c r="V198" s="190"/>
      <c r="W198" s="190"/>
      <c r="X198" s="190"/>
      <c r="Y198" s="190"/>
      <c r="Z198" s="190"/>
      <c r="AA198" s="191"/>
      <c r="AN198" s="105"/>
      <c r="AO198" s="106"/>
    </row>
    <row r="199" spans="1:41" s="103" customFormat="1" ht="41.25" customHeight="1">
      <c r="A199" s="195"/>
      <c r="B199" s="196"/>
      <c r="C199" s="196"/>
      <c r="D199" s="68"/>
      <c r="E199" s="68"/>
      <c r="F199" s="68"/>
      <c r="G199" s="68"/>
      <c r="H199" s="68"/>
      <c r="I199" s="68"/>
      <c r="J199" s="68"/>
      <c r="K199" s="68"/>
      <c r="L199" s="68"/>
      <c r="M199" s="68"/>
      <c r="N199" s="68"/>
      <c r="O199" s="68"/>
      <c r="P199" s="68"/>
      <c r="Q199" s="197"/>
      <c r="R199" s="197"/>
      <c r="S199" s="197"/>
      <c r="T199" s="197"/>
      <c r="U199" s="197"/>
      <c r="V199" s="197"/>
      <c r="W199" s="197"/>
      <c r="X199" s="197"/>
      <c r="Y199" s="197"/>
      <c r="Z199" s="197"/>
      <c r="AA199" s="198"/>
      <c r="AN199" s="105"/>
      <c r="AO199" s="106"/>
    </row>
    <row r="200" spans="1:41" s="103" customFormat="1" ht="41.25" customHeight="1">
      <c r="A200" s="567"/>
      <c r="B200" s="474"/>
      <c r="C200" s="475"/>
      <c r="D200" s="473"/>
      <c r="E200" s="474"/>
      <c r="F200" s="474"/>
      <c r="G200" s="475"/>
      <c r="I200" s="199"/>
      <c r="AA200" s="104"/>
      <c r="AN200" s="105"/>
      <c r="AO200" s="106"/>
    </row>
    <row r="201" spans="1:41">
      <c r="A201" s="58" t="s">
        <v>271</v>
      </c>
      <c r="B201" s="103"/>
      <c r="C201" s="103"/>
      <c r="E201" s="103"/>
      <c r="F201" s="103"/>
      <c r="G201" s="103"/>
      <c r="H201" s="103"/>
      <c r="I201" s="199"/>
      <c r="J201" s="103"/>
      <c r="K201" s="103"/>
      <c r="L201" s="103"/>
      <c r="M201" s="103"/>
      <c r="N201" s="103"/>
      <c r="O201" s="103"/>
      <c r="P201" s="103"/>
      <c r="Q201" s="103"/>
      <c r="R201" s="103"/>
    </row>
    <row r="202" spans="1:41">
      <c r="A202" s="103" t="s">
        <v>272</v>
      </c>
      <c r="B202" s="103"/>
      <c r="C202" s="103"/>
      <c r="E202" s="103"/>
      <c r="F202" s="103"/>
      <c r="G202" s="103"/>
      <c r="H202" s="103"/>
      <c r="I202" s="199"/>
      <c r="J202" s="103"/>
      <c r="K202" s="103"/>
      <c r="L202" s="103"/>
      <c r="M202" s="103"/>
      <c r="N202" s="103"/>
      <c r="O202" s="103"/>
      <c r="P202" s="103"/>
      <c r="Q202" s="103"/>
      <c r="R202" s="103"/>
    </row>
    <row r="203" spans="1:41">
      <c r="A203" t="s">
        <v>273</v>
      </c>
      <c r="F203" s="103"/>
      <c r="G203" s="103"/>
      <c r="H203" s="103"/>
      <c r="I203" s="103"/>
      <c r="J203" s="103"/>
      <c r="K203" s="103"/>
      <c r="L203" s="103"/>
      <c r="M203" s="103"/>
      <c r="N203" s="78"/>
      <c r="O203" s="103"/>
      <c r="P203" s="103"/>
      <c r="Q203" s="103"/>
      <c r="R203" s="103"/>
      <c r="S203" s="103"/>
      <c r="T203" s="103"/>
      <c r="U203" s="103"/>
      <c r="V203" s="103"/>
      <c r="W203" s="103"/>
      <c r="X203" s="103"/>
      <c r="Y203" s="103"/>
      <c r="Z203" s="103"/>
      <c r="AA203" s="104"/>
    </row>
    <row r="204" spans="1:41">
      <c r="A204" s="200" t="s">
        <v>274</v>
      </c>
    </row>
    <row r="206" spans="1:41" s="2" customFormat="1">
      <c r="G206" s="201"/>
      <c r="H206" s="201"/>
      <c r="I206" s="201"/>
      <c r="J206" s="201"/>
      <c r="K206" s="201"/>
      <c r="L206" s="201"/>
      <c r="M206" s="201"/>
      <c r="N206" s="201"/>
      <c r="O206" s="201"/>
      <c r="P206" s="201"/>
      <c r="Q206" s="201"/>
      <c r="R206" s="201"/>
      <c r="S206" s="201"/>
      <c r="AN206" s="202"/>
      <c r="AO206" s="203"/>
    </row>
    <row r="208" spans="1:41" ht="24" customHeight="1" thickBot="1"/>
    <row r="209" spans="1:41" ht="57.75" customHeight="1" thickBot="1">
      <c r="B209" s="536" t="s">
        <v>275</v>
      </c>
      <c r="C209" s="537"/>
      <c r="D209" s="538"/>
      <c r="E209" s="133"/>
      <c r="J209" s="94"/>
      <c r="K209" s="100"/>
      <c r="L209" s="100"/>
    </row>
    <row r="210" spans="1:41" s="103" customFormat="1" ht="43.5" customHeight="1">
      <c r="A210" s="134"/>
      <c r="B210" s="471" t="s">
        <v>146</v>
      </c>
      <c r="C210" s="560" t="s">
        <v>276</v>
      </c>
      <c r="D210" s="135" t="s">
        <v>277</v>
      </c>
      <c r="E210" s="136" t="s">
        <v>278</v>
      </c>
      <c r="F210" s="136"/>
      <c r="G210" s="136"/>
      <c r="H210" s="136"/>
      <c r="I210" s="136"/>
      <c r="J210" s="77"/>
      <c r="K210" s="516" t="s">
        <v>279</v>
      </c>
      <c r="L210" s="137"/>
      <c r="M210" s="516"/>
      <c r="N210" s="138"/>
      <c r="O210" s="81"/>
      <c r="P210" s="75"/>
      <c r="Q210" s="75"/>
      <c r="R210" s="75"/>
      <c r="S210" s="81"/>
      <c r="T210" s="75"/>
      <c r="U210" s="75"/>
      <c r="V210" s="139"/>
      <c r="W210" s="139"/>
      <c r="X210" s="139"/>
      <c r="Y210" s="139"/>
      <c r="Z210" s="139"/>
      <c r="AA210" s="140"/>
      <c r="AN210" s="105"/>
      <c r="AO210" s="106"/>
    </row>
    <row r="211" spans="1:41" s="103" customFormat="1" ht="63" customHeight="1">
      <c r="A211" s="134"/>
      <c r="B211" s="472"/>
      <c r="C211" s="472"/>
      <c r="D211" s="204" t="s">
        <v>232</v>
      </c>
      <c r="E211" s="204" t="s">
        <v>236</v>
      </c>
      <c r="F211" s="204"/>
      <c r="G211" s="136"/>
      <c r="H211" s="136"/>
      <c r="I211" s="136"/>
      <c r="J211" s="77"/>
      <c r="K211" s="472"/>
      <c r="L211" s="137"/>
      <c r="M211" s="472"/>
      <c r="N211" s="138"/>
      <c r="O211" s="81"/>
      <c r="P211" s="81"/>
      <c r="Q211" s="81"/>
      <c r="R211" s="62"/>
      <c r="S211" s="81"/>
      <c r="T211" s="81"/>
      <c r="U211" s="81"/>
      <c r="V211" s="139"/>
      <c r="W211" s="139"/>
      <c r="X211" s="139"/>
      <c r="Y211" s="139"/>
      <c r="Z211" s="139"/>
      <c r="AA211" s="140"/>
      <c r="AN211" s="105"/>
      <c r="AO211" s="106"/>
    </row>
    <row r="212" spans="1:41" s="103" customFormat="1" ht="81.75" customHeight="1">
      <c r="B212" s="142"/>
      <c r="C212" s="205" t="s">
        <v>280</v>
      </c>
      <c r="D212" s="206">
        <v>1</v>
      </c>
      <c r="E212" s="206">
        <v>0.74700000000000011</v>
      </c>
      <c r="F212" s="206"/>
      <c r="G212" s="127"/>
      <c r="H212" s="144"/>
      <c r="I212" s="145"/>
      <c r="J212" s="77"/>
      <c r="K212" s="207" t="s">
        <v>281</v>
      </c>
      <c r="L212" s="208"/>
      <c r="M212" s="207"/>
      <c r="N212" s="138"/>
      <c r="O212" s="97"/>
      <c r="P212" s="100"/>
      <c r="Q212" s="101"/>
      <c r="R212" s="34"/>
      <c r="S212" s="97"/>
      <c r="T212" s="95"/>
      <c r="U212" s="100"/>
      <c r="V212" s="139"/>
      <c r="W212" s="139"/>
      <c r="X212" s="139"/>
      <c r="Y212" s="139"/>
      <c r="Z212" s="139"/>
      <c r="AA212" s="140"/>
      <c r="AN212" s="105"/>
      <c r="AO212" s="106"/>
    </row>
    <row r="213" spans="1:41" s="103" customFormat="1" ht="27.75" customHeight="1">
      <c r="B213" s="476" t="s">
        <v>30</v>
      </c>
      <c r="C213" s="481"/>
      <c r="D213" s="508">
        <v>0.6</v>
      </c>
      <c r="E213" s="479">
        <v>0.4</v>
      </c>
      <c r="F213" s="479"/>
      <c r="G213" s="479"/>
      <c r="H213" s="479"/>
      <c r="I213" s="479"/>
      <c r="J213" s="476" t="s">
        <v>30</v>
      </c>
      <c r="K213" s="480">
        <v>0.66755674232309736</v>
      </c>
      <c r="L213" s="146"/>
      <c r="M213" s="480"/>
      <c r="N213" s="149"/>
      <c r="O213" s="97"/>
      <c r="P213" s="100"/>
      <c r="Q213" s="100"/>
      <c r="R213" s="34"/>
      <c r="S213" s="97"/>
      <c r="T213" s="100"/>
      <c r="U213" s="101"/>
      <c r="V213" s="139"/>
      <c r="W213" s="139"/>
      <c r="X213" s="139"/>
      <c r="Y213" s="139"/>
      <c r="Z213" s="139"/>
      <c r="AA213" s="140"/>
      <c r="AN213" s="105"/>
      <c r="AO213" s="106"/>
    </row>
    <row r="214" spans="1:41" s="103" customFormat="1" ht="27.75" customHeight="1">
      <c r="B214" s="472"/>
      <c r="C214" s="472"/>
      <c r="D214" s="472"/>
      <c r="E214" s="472"/>
      <c r="F214" s="472"/>
      <c r="G214" s="472"/>
      <c r="H214" s="472"/>
      <c r="I214" s="472"/>
      <c r="J214" s="472"/>
      <c r="K214" s="472"/>
      <c r="L214" s="146"/>
      <c r="M214" s="472"/>
      <c r="N214" s="150"/>
      <c r="O214" s="97"/>
      <c r="P214" s="98"/>
      <c r="Q214" s="151"/>
      <c r="R214" s="34"/>
      <c r="S214" s="147"/>
      <c r="T214" s="100"/>
      <c r="U214" s="101"/>
      <c r="V214" s="139"/>
      <c r="W214" s="139"/>
      <c r="X214" s="139"/>
      <c r="Y214" s="139"/>
      <c r="Z214" s="139"/>
      <c r="AA214" s="140"/>
      <c r="AN214" s="105"/>
      <c r="AO214" s="106"/>
    </row>
    <row r="215" spans="1:41" s="152" customFormat="1" ht="27.75" customHeight="1">
      <c r="B215" s="485" t="s">
        <v>33</v>
      </c>
      <c r="C215" s="483"/>
      <c r="D215" s="486">
        <v>0.7</v>
      </c>
      <c r="E215" s="486">
        <v>0.3</v>
      </c>
      <c r="F215" s="486"/>
      <c r="G215" s="478"/>
      <c r="H215" s="478"/>
      <c r="I215" s="478"/>
      <c r="J215" s="485" t="s">
        <v>33</v>
      </c>
      <c r="K215" s="480">
        <v>0.75749377772968296</v>
      </c>
      <c r="L215" s="146"/>
      <c r="M215" s="484"/>
      <c r="N215" s="149"/>
      <c r="O215" s="97"/>
      <c r="P215" s="95"/>
      <c r="Q215" s="100"/>
      <c r="R215" s="34"/>
      <c r="V215" s="139"/>
      <c r="W215" s="139"/>
      <c r="X215" s="139"/>
      <c r="Y215" s="139"/>
      <c r="Z215" s="139"/>
      <c r="AA215" s="140"/>
      <c r="AN215" s="153"/>
      <c r="AO215" s="154"/>
    </row>
    <row r="216" spans="1:41" s="152" customFormat="1" ht="27.75" customHeight="1">
      <c r="B216" s="472"/>
      <c r="C216" s="472"/>
      <c r="D216" s="472"/>
      <c r="E216" s="472"/>
      <c r="F216" s="472"/>
      <c r="G216" s="472"/>
      <c r="H216" s="472"/>
      <c r="I216" s="472"/>
      <c r="J216" s="472"/>
      <c r="K216" s="472"/>
      <c r="L216" s="146"/>
      <c r="M216" s="472"/>
      <c r="N216" s="155"/>
      <c r="O216" s="97"/>
      <c r="P216" s="95"/>
      <c r="Q216" s="100"/>
      <c r="R216" s="34"/>
      <c r="V216" s="139"/>
      <c r="W216" s="139"/>
      <c r="X216" s="139"/>
      <c r="Y216" s="139"/>
      <c r="Z216" s="139"/>
      <c r="AA216" s="140"/>
      <c r="AN216" s="153"/>
      <c r="AO216" s="154"/>
    </row>
    <row r="217" spans="1:41" ht="27.75" customHeight="1">
      <c r="B217" s="476" t="s">
        <v>37</v>
      </c>
      <c r="C217" s="481"/>
      <c r="D217" s="479">
        <v>0.5</v>
      </c>
      <c r="E217" s="479">
        <v>0.5</v>
      </c>
      <c r="F217" s="479"/>
      <c r="G217" s="482"/>
      <c r="H217" s="482"/>
      <c r="I217" s="482"/>
      <c r="J217" s="476" t="s">
        <v>37</v>
      </c>
      <c r="K217" s="480">
        <v>0.5724098454493417</v>
      </c>
      <c r="L217" s="146"/>
      <c r="M217" s="484"/>
      <c r="N217" s="149"/>
      <c r="O217" s="97"/>
      <c r="P217" s="95"/>
      <c r="Q217" s="100"/>
      <c r="S217" s="97"/>
      <c r="T217" s="95"/>
      <c r="U217" s="156"/>
      <c r="V217" s="139"/>
      <c r="W217" s="139"/>
      <c r="X217" s="139"/>
      <c r="Y217" s="139"/>
      <c r="Z217" s="139"/>
      <c r="AA217" s="140"/>
    </row>
    <row r="218" spans="1:41" ht="27.75" customHeight="1">
      <c r="B218" s="472"/>
      <c r="C218" s="472"/>
      <c r="D218" s="472"/>
      <c r="E218" s="472"/>
      <c r="F218" s="472"/>
      <c r="G218" s="472"/>
      <c r="H218" s="472"/>
      <c r="I218" s="472"/>
      <c r="J218" s="472"/>
      <c r="K218" s="472"/>
      <c r="L218" s="146"/>
      <c r="M218" s="472"/>
      <c r="N218" s="155"/>
      <c r="O218" s="97"/>
      <c r="P218" s="95"/>
      <c r="Q218" s="95"/>
      <c r="R218" s="139"/>
      <c r="S218" s="132"/>
      <c r="T218" s="95"/>
      <c r="U218" s="156"/>
      <c r="V218" s="139"/>
      <c r="W218" s="139"/>
      <c r="X218" s="139"/>
      <c r="Y218" s="139"/>
      <c r="Z218" s="139"/>
      <c r="AA218" s="140"/>
    </row>
    <row r="219" spans="1:41" ht="27.75" customHeight="1">
      <c r="B219" s="485" t="s">
        <v>44</v>
      </c>
      <c r="C219" s="483"/>
      <c r="D219" s="486">
        <v>0.4</v>
      </c>
      <c r="E219" s="486">
        <v>0.6</v>
      </c>
      <c r="F219" s="486"/>
      <c r="G219" s="478"/>
      <c r="H219" s="478"/>
      <c r="I219" s="478"/>
      <c r="J219" s="485" t="s">
        <v>44</v>
      </c>
      <c r="K219" s="480">
        <v>0.47158688988446118</v>
      </c>
      <c r="L219" s="146"/>
      <c r="M219" s="484"/>
      <c r="N219" s="149"/>
      <c r="O219" s="97"/>
      <c r="P219" s="95"/>
      <c r="Q219" s="156"/>
      <c r="R219" s="139"/>
      <c r="S219" s="97"/>
      <c r="T219" s="95"/>
      <c r="U219" s="156"/>
      <c r="V219" s="139"/>
      <c r="W219" s="139"/>
      <c r="X219" s="139"/>
      <c r="Y219" s="139"/>
      <c r="Z219" s="139"/>
      <c r="AA219" s="140"/>
    </row>
    <row r="220" spans="1:41" ht="27.75" customHeight="1">
      <c r="B220" s="472"/>
      <c r="C220" s="472"/>
      <c r="D220" s="472"/>
      <c r="E220" s="472"/>
      <c r="F220" s="472"/>
      <c r="G220" s="472"/>
      <c r="H220" s="472"/>
      <c r="I220" s="472"/>
      <c r="J220" s="472"/>
      <c r="K220" s="472"/>
      <c r="L220" s="146"/>
      <c r="M220" s="472"/>
      <c r="N220" s="155"/>
      <c r="O220" s="97"/>
      <c r="P220" s="157"/>
      <c r="Q220" s="157"/>
      <c r="R220" s="139"/>
      <c r="S220" s="97"/>
      <c r="T220" s="95"/>
      <c r="U220" s="156"/>
      <c r="V220" s="139"/>
      <c r="W220" s="139"/>
      <c r="X220" s="139"/>
      <c r="Y220" s="139"/>
      <c r="Z220" s="139"/>
      <c r="AA220" s="140"/>
    </row>
    <row r="221" spans="1:41" ht="27.75" customHeight="1">
      <c r="B221" s="476" t="s">
        <v>50</v>
      </c>
      <c r="C221" s="481"/>
      <c r="D221" s="479">
        <v>0.55000000000000004</v>
      </c>
      <c r="E221" s="479">
        <v>0.45</v>
      </c>
      <c r="F221" s="479"/>
      <c r="G221" s="482"/>
      <c r="H221" s="482"/>
      <c r="I221" s="482"/>
      <c r="J221" s="476" t="s">
        <v>50</v>
      </c>
      <c r="K221" s="480">
        <v>0.62066241606951422</v>
      </c>
      <c r="L221" s="146"/>
      <c r="M221" s="484"/>
      <c r="N221" s="149"/>
      <c r="O221" s="94"/>
      <c r="P221" s="100"/>
      <c r="Q221" s="100"/>
      <c r="R221" s="139"/>
      <c r="S221" s="97"/>
      <c r="T221" s="95"/>
      <c r="U221" s="156"/>
      <c r="V221" s="139"/>
      <c r="W221" s="139"/>
      <c r="X221" s="139"/>
      <c r="Y221" s="139"/>
      <c r="Z221" s="139"/>
      <c r="AA221" s="140"/>
    </row>
    <row r="222" spans="1:41" ht="27.75" customHeight="1">
      <c r="B222" s="472"/>
      <c r="C222" s="472"/>
      <c r="D222" s="472"/>
      <c r="E222" s="472"/>
      <c r="F222" s="472"/>
      <c r="G222" s="472"/>
      <c r="H222" s="472"/>
      <c r="I222" s="472"/>
      <c r="J222" s="472"/>
      <c r="K222" s="472"/>
      <c r="L222" s="146"/>
      <c r="M222" s="472"/>
      <c r="N222" s="155"/>
      <c r="O222" s="94"/>
      <c r="P222" s="100"/>
      <c r="Q222" s="100"/>
      <c r="R222" s="139"/>
      <c r="S222" s="97"/>
      <c r="T222" s="95"/>
      <c r="U222" s="156"/>
      <c r="V222" s="139"/>
      <c r="W222" s="139"/>
      <c r="X222" s="139"/>
      <c r="Y222" s="139"/>
      <c r="Z222" s="139"/>
      <c r="AA222" s="140"/>
    </row>
    <row r="223" spans="1:41" ht="27.75" customHeight="1">
      <c r="B223" s="488" t="s">
        <v>54</v>
      </c>
      <c r="C223" s="483"/>
      <c r="D223" s="486">
        <v>0.5</v>
      </c>
      <c r="E223" s="486">
        <v>0.5</v>
      </c>
      <c r="F223" s="486"/>
      <c r="G223" s="478"/>
      <c r="H223" s="478"/>
      <c r="I223" s="478"/>
      <c r="J223" s="488" t="s">
        <v>54</v>
      </c>
      <c r="K223" s="480">
        <v>0.5724098454493417</v>
      </c>
      <c r="L223" s="146"/>
      <c r="M223" s="484"/>
      <c r="N223" s="209"/>
      <c r="O223" s="139"/>
      <c r="P223" s="139"/>
      <c r="Q223" s="139"/>
      <c r="R223" s="139"/>
      <c r="S223" s="158"/>
      <c r="T223" s="159"/>
      <c r="V223" s="139"/>
      <c r="W223" s="139"/>
      <c r="X223" s="139"/>
      <c r="Y223" s="139"/>
      <c r="Z223" s="139"/>
      <c r="AA223" s="140"/>
    </row>
    <row r="224" spans="1:41" ht="27.75" customHeight="1">
      <c r="B224" s="472"/>
      <c r="C224" s="472"/>
      <c r="D224" s="472"/>
      <c r="E224" s="472"/>
      <c r="F224" s="472"/>
      <c r="G224" s="472"/>
      <c r="H224" s="472"/>
      <c r="I224" s="472"/>
      <c r="J224" s="472"/>
      <c r="K224" s="472"/>
      <c r="L224" s="146"/>
      <c r="M224" s="472"/>
      <c r="N224" s="155"/>
      <c r="O224" s="127"/>
      <c r="P224" s="139"/>
      <c r="Q224" s="139"/>
      <c r="R224" s="139"/>
      <c r="S224" s="23"/>
      <c r="T224" s="23"/>
      <c r="U224" s="23"/>
      <c r="V224" s="139"/>
      <c r="W224" s="139"/>
      <c r="X224" s="139"/>
      <c r="Y224" s="139"/>
      <c r="Z224" s="139"/>
      <c r="AA224" s="140"/>
    </row>
    <row r="225" spans="1:41" s="103" customFormat="1" ht="27.75" customHeight="1">
      <c r="B225" s="476" t="s">
        <v>58</v>
      </c>
      <c r="C225" s="481"/>
      <c r="D225" s="479">
        <v>0.45</v>
      </c>
      <c r="E225" s="479">
        <v>0.55000000000000004</v>
      </c>
      <c r="F225" s="479"/>
      <c r="G225" s="482"/>
      <c r="H225" s="482"/>
      <c r="I225" s="482"/>
      <c r="J225" s="476" t="s">
        <v>58</v>
      </c>
      <c r="K225" s="480">
        <v>0.5227391531625718</v>
      </c>
      <c r="L225" s="146"/>
      <c r="M225" s="484"/>
      <c r="N225" s="149"/>
      <c r="O225" s="160"/>
      <c r="P225" s="139"/>
      <c r="Q225" s="139"/>
      <c r="R225" s="139"/>
      <c r="S225" s="75"/>
      <c r="T225" s="75"/>
      <c r="U225" s="75"/>
      <c r="V225" s="139"/>
      <c r="W225" s="139"/>
      <c r="X225" s="139"/>
      <c r="Y225" s="139"/>
      <c r="Z225" s="139"/>
      <c r="AA225" s="140"/>
      <c r="AN225" s="105"/>
      <c r="AO225" s="106"/>
    </row>
    <row r="226" spans="1:41" s="103" customFormat="1" ht="41.25" customHeight="1">
      <c r="B226" s="472"/>
      <c r="C226" s="472"/>
      <c r="D226" s="472"/>
      <c r="E226" s="472"/>
      <c r="F226" s="472"/>
      <c r="G226" s="472"/>
      <c r="H226" s="472"/>
      <c r="I226" s="472"/>
      <c r="J226" s="472"/>
      <c r="K226" s="472"/>
      <c r="L226" s="146"/>
      <c r="M226" s="472"/>
      <c r="N226" s="155"/>
      <c r="O226" s="161"/>
      <c r="P226" s="139"/>
      <c r="Q226" s="139"/>
      <c r="R226" s="139"/>
      <c r="S226" s="75"/>
      <c r="T226" s="75"/>
      <c r="U226" s="75"/>
      <c r="V226" s="139"/>
      <c r="W226" s="139"/>
      <c r="X226" s="139"/>
      <c r="Y226" s="139"/>
      <c r="Z226" s="139"/>
      <c r="AA226" s="140"/>
      <c r="AN226" s="105"/>
      <c r="AO226" s="106"/>
    </row>
    <row r="228" spans="1:41" s="210" customFormat="1">
      <c r="G228" s="211"/>
      <c r="H228" s="211"/>
      <c r="I228" s="211"/>
      <c r="J228" s="211"/>
      <c r="K228" s="211"/>
      <c r="L228" s="211"/>
      <c r="M228" s="211"/>
      <c r="N228" s="211"/>
      <c r="O228" s="211"/>
      <c r="P228" s="211"/>
      <c r="Q228" s="211"/>
      <c r="R228" s="211"/>
      <c r="S228" s="211"/>
      <c r="AA228" s="2"/>
      <c r="AN228" s="212"/>
      <c r="AO228" s="213"/>
    </row>
    <row r="230" spans="1:41" ht="24" customHeight="1" thickBot="1"/>
    <row r="231" spans="1:41" ht="63" customHeight="1" thickBot="1">
      <c r="B231" s="568" t="s">
        <v>282</v>
      </c>
      <c r="C231" s="537"/>
      <c r="D231" s="538"/>
      <c r="E231" s="133"/>
      <c r="J231" s="94"/>
      <c r="K231" s="100"/>
      <c r="L231" s="100"/>
    </row>
    <row r="232" spans="1:41" s="103" customFormat="1" ht="43.5" customHeight="1">
      <c r="A232" s="134"/>
      <c r="B232" s="471" t="s">
        <v>146</v>
      </c>
      <c r="C232" s="560" t="s">
        <v>283</v>
      </c>
      <c r="D232" s="136" t="s">
        <v>278</v>
      </c>
      <c r="E232" s="135" t="s">
        <v>277</v>
      </c>
      <c r="F232" s="136"/>
      <c r="G232" s="136"/>
      <c r="H232" s="136"/>
      <c r="I232" s="136"/>
      <c r="J232" s="77"/>
      <c r="K232" s="516" t="s">
        <v>284</v>
      </c>
      <c r="L232" s="137"/>
      <c r="M232" s="516"/>
      <c r="N232" s="138"/>
      <c r="O232" s="81"/>
      <c r="P232" s="75"/>
      <c r="Q232" s="75"/>
      <c r="R232" s="75"/>
      <c r="S232" s="81"/>
      <c r="T232" s="75"/>
      <c r="U232" s="75"/>
      <c r="V232" s="139"/>
      <c r="W232" s="139"/>
      <c r="X232" s="139"/>
      <c r="Y232" s="139"/>
      <c r="Z232" s="139"/>
      <c r="AA232" s="140"/>
      <c r="AN232" s="105"/>
      <c r="AO232" s="106"/>
    </row>
    <row r="233" spans="1:41" s="103" customFormat="1" ht="63" customHeight="1">
      <c r="A233" s="134"/>
      <c r="B233" s="472"/>
      <c r="C233" s="472"/>
      <c r="D233" s="204" t="s">
        <v>236</v>
      </c>
      <c r="E233" s="204" t="s">
        <v>232</v>
      </c>
      <c r="F233" s="136"/>
      <c r="G233" s="136"/>
      <c r="H233" s="136"/>
      <c r="I233" s="136"/>
      <c r="J233" s="77"/>
      <c r="K233" s="472"/>
      <c r="L233" s="137"/>
      <c r="M233" s="472"/>
      <c r="N233" s="138"/>
      <c r="O233" s="81"/>
      <c r="P233" s="81"/>
      <c r="Q233" s="81"/>
      <c r="R233" s="62"/>
      <c r="S233" s="81"/>
      <c r="T233" s="81"/>
      <c r="U233" s="81"/>
      <c r="V233" s="139"/>
      <c r="W233" s="139"/>
      <c r="X233" s="139"/>
      <c r="Y233" s="139"/>
      <c r="Z233" s="139"/>
      <c r="AA233" s="140"/>
      <c r="AN233" s="105"/>
      <c r="AO233" s="106"/>
    </row>
    <row r="234" spans="1:41" s="103" customFormat="1" ht="61.5" customHeight="1">
      <c r="B234" s="142"/>
      <c r="C234" s="205" t="s">
        <v>285</v>
      </c>
      <c r="D234" s="206">
        <v>0.74700000000000011</v>
      </c>
      <c r="E234" s="206">
        <v>1</v>
      </c>
      <c r="F234" s="141"/>
      <c r="G234" s="141"/>
      <c r="H234" s="144"/>
      <c r="I234" s="214"/>
      <c r="J234" s="77"/>
      <c r="K234" s="207" t="s">
        <v>286</v>
      </c>
      <c r="L234" s="208"/>
      <c r="M234" s="207"/>
      <c r="N234" s="138"/>
      <c r="O234" s="97"/>
      <c r="P234" s="100"/>
      <c r="Q234" s="101"/>
      <c r="R234" s="34"/>
      <c r="S234" s="97"/>
      <c r="T234" s="95"/>
      <c r="U234" s="100"/>
      <c r="V234" s="139"/>
      <c r="W234" s="139"/>
      <c r="X234" s="139"/>
      <c r="Y234" s="139"/>
      <c r="Z234" s="139"/>
      <c r="AA234" s="140"/>
      <c r="AN234" s="105"/>
      <c r="AO234" s="106"/>
    </row>
    <row r="235" spans="1:41" s="103" customFormat="1" ht="27.75" customHeight="1">
      <c r="B235" s="476" t="s">
        <v>30</v>
      </c>
      <c r="C235" s="481"/>
      <c r="D235" s="479">
        <v>0.4</v>
      </c>
      <c r="E235" s="508">
        <v>0.6</v>
      </c>
      <c r="F235" s="479"/>
      <c r="G235" s="479"/>
      <c r="H235" s="479"/>
      <c r="I235" s="479"/>
      <c r="J235" s="476" t="s">
        <v>30</v>
      </c>
      <c r="K235" s="480">
        <v>0.33244325767690258</v>
      </c>
      <c r="L235" s="146"/>
      <c r="M235" s="480"/>
      <c r="N235" s="149"/>
      <c r="O235" s="97"/>
      <c r="P235" s="100"/>
      <c r="Q235" s="100"/>
      <c r="R235" s="34"/>
      <c r="S235" s="97"/>
      <c r="T235" s="100"/>
      <c r="U235" s="101"/>
      <c r="V235" s="139"/>
      <c r="W235" s="139"/>
      <c r="X235" s="139"/>
      <c r="Y235" s="139"/>
      <c r="Z235" s="139"/>
      <c r="AA235" s="140"/>
      <c r="AN235" s="105"/>
      <c r="AO235" s="106"/>
    </row>
    <row r="236" spans="1:41" s="103" customFormat="1" ht="27.75" customHeight="1">
      <c r="B236" s="472"/>
      <c r="C236" s="472"/>
      <c r="D236" s="472"/>
      <c r="E236" s="472"/>
      <c r="F236" s="472"/>
      <c r="G236" s="472"/>
      <c r="H236" s="472"/>
      <c r="I236" s="472"/>
      <c r="J236" s="472"/>
      <c r="K236" s="472"/>
      <c r="L236" s="146"/>
      <c r="M236" s="472"/>
      <c r="N236" s="150"/>
      <c r="O236" s="97"/>
      <c r="P236" s="98"/>
      <c r="Q236" s="151"/>
      <c r="R236" s="34"/>
      <c r="S236" s="147"/>
      <c r="T236" s="100"/>
      <c r="U236" s="101"/>
      <c r="V236" s="139"/>
      <c r="W236" s="139"/>
      <c r="X236" s="139"/>
      <c r="Y236" s="139"/>
      <c r="Z236" s="139"/>
      <c r="AA236" s="140"/>
      <c r="AN236" s="105"/>
      <c r="AO236" s="106"/>
    </row>
    <row r="237" spans="1:41" s="152" customFormat="1" ht="27.75" customHeight="1">
      <c r="B237" s="485" t="s">
        <v>33</v>
      </c>
      <c r="C237" s="483"/>
      <c r="D237" s="486">
        <v>0.3</v>
      </c>
      <c r="E237" s="486">
        <v>0.7</v>
      </c>
      <c r="F237" s="478"/>
      <c r="G237" s="478"/>
      <c r="H237" s="478"/>
      <c r="I237" s="478"/>
      <c r="J237" s="485" t="s">
        <v>33</v>
      </c>
      <c r="K237" s="480">
        <v>0.2425062222703171</v>
      </c>
      <c r="L237" s="146"/>
      <c r="M237" s="484"/>
      <c r="N237" s="149"/>
      <c r="O237" s="97"/>
      <c r="P237" s="95"/>
      <c r="Q237" s="100"/>
      <c r="R237" s="34"/>
      <c r="V237" s="139"/>
      <c r="W237" s="139"/>
      <c r="X237" s="139"/>
      <c r="Y237" s="139"/>
      <c r="Z237" s="139"/>
      <c r="AA237" s="140"/>
      <c r="AN237" s="153"/>
      <c r="AO237" s="154"/>
    </row>
    <row r="238" spans="1:41" s="152" customFormat="1" ht="27.75" customHeight="1">
      <c r="B238" s="472"/>
      <c r="C238" s="472"/>
      <c r="D238" s="472"/>
      <c r="E238" s="472"/>
      <c r="F238" s="472"/>
      <c r="G238" s="472"/>
      <c r="H238" s="472"/>
      <c r="I238" s="472"/>
      <c r="J238" s="472"/>
      <c r="K238" s="472"/>
      <c r="L238" s="146"/>
      <c r="M238" s="472"/>
      <c r="N238" s="155"/>
      <c r="O238" s="97"/>
      <c r="P238" s="95"/>
      <c r="Q238" s="100"/>
      <c r="R238" s="34"/>
      <c r="V238" s="139"/>
      <c r="W238" s="139"/>
      <c r="X238" s="139"/>
      <c r="Y238" s="139"/>
      <c r="Z238" s="139"/>
      <c r="AA238" s="140"/>
      <c r="AN238" s="153"/>
      <c r="AO238" s="154"/>
    </row>
    <row r="239" spans="1:41" ht="27.75" customHeight="1">
      <c r="B239" s="476" t="s">
        <v>37</v>
      </c>
      <c r="C239" s="481"/>
      <c r="D239" s="479">
        <v>0.45</v>
      </c>
      <c r="E239" s="479">
        <v>0.55000000000000004</v>
      </c>
      <c r="F239" s="482"/>
      <c r="G239" s="482"/>
      <c r="H239" s="482"/>
      <c r="I239" s="482"/>
      <c r="J239" s="476" t="s">
        <v>37</v>
      </c>
      <c r="K239" s="480">
        <v>0.37933758393048578</v>
      </c>
      <c r="L239" s="146"/>
      <c r="M239" s="484"/>
      <c r="N239" s="149"/>
      <c r="O239" s="97"/>
      <c r="P239" s="95"/>
      <c r="Q239" s="100"/>
      <c r="S239" s="97"/>
      <c r="T239" s="95"/>
      <c r="U239" s="156"/>
      <c r="V239" s="139"/>
      <c r="W239" s="139"/>
      <c r="X239" s="139"/>
      <c r="Y239" s="139"/>
      <c r="Z239" s="139"/>
      <c r="AA239" s="140"/>
    </row>
    <row r="240" spans="1:41" ht="27.75" customHeight="1">
      <c r="B240" s="472"/>
      <c r="C240" s="472"/>
      <c r="D240" s="472"/>
      <c r="E240" s="472"/>
      <c r="F240" s="472"/>
      <c r="G240" s="472"/>
      <c r="H240" s="472"/>
      <c r="I240" s="472"/>
      <c r="J240" s="472"/>
      <c r="K240" s="472"/>
      <c r="L240" s="146"/>
      <c r="M240" s="472"/>
      <c r="N240" s="155"/>
      <c r="O240" s="97"/>
      <c r="P240" s="95"/>
      <c r="Q240" s="95"/>
      <c r="R240" s="139"/>
      <c r="S240" s="132"/>
      <c r="T240" s="95"/>
      <c r="U240" s="156"/>
      <c r="V240" s="139"/>
      <c r="W240" s="139"/>
      <c r="X240" s="139"/>
      <c r="Y240" s="139"/>
      <c r="Z240" s="139"/>
      <c r="AA240" s="140"/>
    </row>
    <row r="241" spans="1:41" ht="27.75" customHeight="1">
      <c r="B241" s="485" t="s">
        <v>44</v>
      </c>
      <c r="C241" s="483"/>
      <c r="D241" s="486">
        <v>0.6</v>
      </c>
      <c r="E241" s="486">
        <v>0.4</v>
      </c>
      <c r="F241" s="478"/>
      <c r="G241" s="478"/>
      <c r="H241" s="478"/>
      <c r="I241" s="478"/>
      <c r="J241" s="485" t="s">
        <v>44</v>
      </c>
      <c r="K241" s="480">
        <v>0.52841311011553882</v>
      </c>
      <c r="L241" s="146"/>
      <c r="M241" s="484"/>
      <c r="N241" s="149"/>
      <c r="O241" s="97"/>
      <c r="P241" s="95"/>
      <c r="Q241" s="156"/>
      <c r="R241" s="139"/>
      <c r="S241" s="97"/>
      <c r="T241" s="95"/>
      <c r="U241" s="156"/>
      <c r="V241" s="139"/>
      <c r="W241" s="139"/>
      <c r="X241" s="139"/>
      <c r="Y241" s="139"/>
      <c r="Z241" s="139"/>
      <c r="AA241" s="140"/>
    </row>
    <row r="242" spans="1:41" ht="27.75" customHeight="1">
      <c r="B242" s="472"/>
      <c r="C242" s="472"/>
      <c r="D242" s="472"/>
      <c r="E242" s="472"/>
      <c r="F242" s="472"/>
      <c r="G242" s="472"/>
      <c r="H242" s="472"/>
      <c r="I242" s="472"/>
      <c r="J242" s="472"/>
      <c r="K242" s="472"/>
      <c r="L242" s="146"/>
      <c r="M242" s="472"/>
      <c r="N242" s="155"/>
      <c r="O242" s="97"/>
      <c r="P242" s="157"/>
      <c r="Q242" s="157"/>
      <c r="R242" s="139"/>
      <c r="S242" s="97"/>
      <c r="T242" s="95"/>
      <c r="U242" s="156"/>
      <c r="V242" s="139"/>
      <c r="W242" s="139"/>
      <c r="X242" s="139"/>
      <c r="Y242" s="139"/>
      <c r="Z242" s="139"/>
      <c r="AA242" s="140"/>
    </row>
    <row r="243" spans="1:41" ht="27.75" customHeight="1">
      <c r="B243" s="476" t="s">
        <v>50</v>
      </c>
      <c r="C243" s="481"/>
      <c r="D243" s="479">
        <v>0.5</v>
      </c>
      <c r="E243" s="479">
        <v>0.5</v>
      </c>
      <c r="F243" s="482"/>
      <c r="G243" s="482"/>
      <c r="H243" s="482"/>
      <c r="I243" s="482"/>
      <c r="J243" s="476" t="s">
        <v>50</v>
      </c>
      <c r="K243" s="480">
        <v>0.4275901545506583</v>
      </c>
      <c r="L243" s="146"/>
      <c r="M243" s="484"/>
      <c r="N243" s="149"/>
      <c r="O243" s="94"/>
      <c r="P243" s="100"/>
      <c r="Q243" s="100"/>
      <c r="R243" s="139"/>
      <c r="S243" s="97"/>
      <c r="T243" s="95"/>
      <c r="U243" s="156"/>
      <c r="V243" s="139"/>
      <c r="W243" s="139"/>
      <c r="X243" s="139"/>
      <c r="Y243" s="139"/>
      <c r="Z243" s="139"/>
      <c r="AA243" s="140"/>
    </row>
    <row r="244" spans="1:41" ht="27.75" customHeight="1">
      <c r="B244" s="472"/>
      <c r="C244" s="472"/>
      <c r="D244" s="472"/>
      <c r="E244" s="472"/>
      <c r="F244" s="472"/>
      <c r="G244" s="472"/>
      <c r="H244" s="472"/>
      <c r="I244" s="472"/>
      <c r="J244" s="472"/>
      <c r="K244" s="472"/>
      <c r="L244" s="146"/>
      <c r="M244" s="472"/>
      <c r="N244" s="155"/>
      <c r="O244" s="94"/>
      <c r="P244" s="100"/>
      <c r="Q244" s="100"/>
      <c r="R244" s="139"/>
      <c r="S244" s="97"/>
      <c r="T244" s="95"/>
      <c r="U244" s="156"/>
      <c r="V244" s="139"/>
      <c r="W244" s="139"/>
      <c r="X244" s="139"/>
      <c r="Y244" s="139"/>
      <c r="Z244" s="139"/>
      <c r="AA244" s="140"/>
    </row>
    <row r="245" spans="1:41" ht="27.75" customHeight="1">
      <c r="B245" s="488" t="s">
        <v>54</v>
      </c>
      <c r="C245" s="483"/>
      <c r="D245" s="486">
        <v>0.48</v>
      </c>
      <c r="E245" s="486">
        <v>0.52</v>
      </c>
      <c r="F245" s="478"/>
      <c r="G245" s="478"/>
      <c r="H245" s="478"/>
      <c r="I245" s="478"/>
      <c r="J245" s="488" t="s">
        <v>54</v>
      </c>
      <c r="K245" s="480">
        <v>0.40812238207976692</v>
      </c>
      <c r="L245" s="146"/>
      <c r="M245" s="484"/>
      <c r="N245" s="209"/>
      <c r="O245" s="139"/>
      <c r="P245" s="139"/>
      <c r="Q245" s="139"/>
      <c r="R245" s="139"/>
      <c r="S245" s="158"/>
      <c r="T245" s="159"/>
      <c r="V245" s="139"/>
      <c r="W245" s="139"/>
      <c r="X245" s="139"/>
      <c r="Y245" s="139"/>
      <c r="Z245" s="139"/>
      <c r="AA245" s="140"/>
    </row>
    <row r="246" spans="1:41" ht="27.75" customHeight="1">
      <c r="B246" s="472"/>
      <c r="C246" s="472"/>
      <c r="D246" s="472"/>
      <c r="E246" s="472"/>
      <c r="F246" s="472"/>
      <c r="G246" s="472"/>
      <c r="H246" s="472"/>
      <c r="I246" s="472"/>
      <c r="J246" s="472"/>
      <c r="K246" s="472"/>
      <c r="L246" s="146"/>
      <c r="M246" s="472"/>
      <c r="N246" s="155"/>
      <c r="O246" s="127"/>
      <c r="P246" s="139"/>
      <c r="Q246" s="139"/>
      <c r="R246" s="139"/>
      <c r="S246" s="23"/>
      <c r="T246" s="23"/>
      <c r="U246" s="23"/>
      <c r="V246" s="139"/>
      <c r="W246" s="139"/>
      <c r="X246" s="139"/>
      <c r="Y246" s="139"/>
      <c r="Z246" s="139"/>
      <c r="AA246" s="140"/>
    </row>
    <row r="247" spans="1:41" s="103" customFormat="1" ht="27.75" customHeight="1">
      <c r="B247" s="476" t="s">
        <v>58</v>
      </c>
      <c r="C247" s="481"/>
      <c r="D247" s="479">
        <v>0.65</v>
      </c>
      <c r="E247" s="479">
        <v>0.35</v>
      </c>
      <c r="F247" s="482"/>
      <c r="G247" s="482"/>
      <c r="H247" s="482"/>
      <c r="I247" s="482"/>
      <c r="J247" s="476" t="s">
        <v>58</v>
      </c>
      <c r="K247" s="480">
        <v>0.58111423613188928</v>
      </c>
      <c r="L247" s="146"/>
      <c r="M247" s="484"/>
      <c r="N247" s="149"/>
      <c r="O247" s="160"/>
      <c r="P247" s="139"/>
      <c r="Q247" s="139"/>
      <c r="R247" s="139"/>
      <c r="S247" s="75"/>
      <c r="T247" s="75"/>
      <c r="U247" s="75"/>
      <c r="V247" s="139"/>
      <c r="W247" s="139"/>
      <c r="X247" s="139"/>
      <c r="Y247" s="139"/>
      <c r="Z247" s="139"/>
      <c r="AA247" s="140"/>
      <c r="AN247" s="105"/>
      <c r="AO247" s="106"/>
    </row>
    <row r="248" spans="1:41" s="103" customFormat="1" ht="41.25" customHeight="1">
      <c r="B248" s="472"/>
      <c r="C248" s="472"/>
      <c r="D248" s="472"/>
      <c r="E248" s="472"/>
      <c r="F248" s="472"/>
      <c r="G248" s="472"/>
      <c r="H248" s="472"/>
      <c r="I248" s="472"/>
      <c r="J248" s="472"/>
      <c r="K248" s="472"/>
      <c r="L248" s="146"/>
      <c r="M248" s="472"/>
      <c r="N248" s="155"/>
      <c r="O248" s="161"/>
      <c r="P248" s="139"/>
      <c r="Q248" s="139"/>
      <c r="R248" s="139"/>
      <c r="S248" s="75"/>
      <c r="T248" s="75"/>
      <c r="U248" s="75"/>
      <c r="V248" s="139"/>
      <c r="W248" s="139"/>
      <c r="X248" s="139"/>
      <c r="Y248" s="139"/>
      <c r="Z248" s="139"/>
      <c r="AA248" s="140"/>
      <c r="AN248" s="105"/>
      <c r="AO248" s="106"/>
    </row>
    <row r="250" spans="1:41" s="215" customFormat="1">
      <c r="G250" s="216"/>
      <c r="H250" s="216"/>
      <c r="I250" s="216"/>
      <c r="J250" s="216"/>
      <c r="K250" s="216"/>
      <c r="L250" s="216"/>
      <c r="M250" s="216"/>
      <c r="N250" s="216"/>
      <c r="O250" s="216"/>
      <c r="P250" s="216"/>
      <c r="Q250" s="216"/>
      <c r="R250" s="216"/>
      <c r="S250" s="216"/>
      <c r="AA250" s="2"/>
      <c r="AN250" s="217"/>
      <c r="AO250" s="218"/>
    </row>
    <row r="252" spans="1:41" ht="24" customHeight="1" thickBot="1"/>
    <row r="253" spans="1:41" ht="66.75" customHeight="1" thickBot="1">
      <c r="B253" s="543" t="s">
        <v>287</v>
      </c>
      <c r="C253" s="537"/>
      <c r="D253" s="538"/>
      <c r="E253" s="133"/>
      <c r="J253" s="94"/>
      <c r="K253" s="100"/>
      <c r="L253" s="100"/>
    </row>
    <row r="254" spans="1:41" s="103" customFormat="1" ht="43.5" customHeight="1">
      <c r="A254" s="134"/>
      <c r="B254" s="471" t="s">
        <v>146</v>
      </c>
      <c r="C254" s="560" t="s">
        <v>276</v>
      </c>
      <c r="D254" s="135" t="s">
        <v>277</v>
      </c>
      <c r="E254" s="135" t="s">
        <v>278</v>
      </c>
      <c r="F254" s="136" t="s">
        <v>288</v>
      </c>
      <c r="G254" s="136" t="s">
        <v>289</v>
      </c>
      <c r="H254" s="136"/>
      <c r="I254" s="136"/>
      <c r="J254" s="77"/>
      <c r="K254" s="516" t="s">
        <v>290</v>
      </c>
      <c r="L254" s="137"/>
      <c r="M254" s="516" t="s">
        <v>291</v>
      </c>
      <c r="N254" s="138"/>
      <c r="O254" s="81"/>
      <c r="P254" s="75"/>
      <c r="Q254" s="75"/>
      <c r="R254" s="75"/>
      <c r="S254" s="81"/>
      <c r="T254" s="75"/>
      <c r="U254" s="75"/>
      <c r="V254" s="139"/>
      <c r="W254" s="139"/>
      <c r="X254" s="139"/>
      <c r="Y254" s="139"/>
      <c r="Z254" s="139"/>
      <c r="AA254" s="140"/>
      <c r="AN254" s="105"/>
      <c r="AO254" s="106"/>
    </row>
    <row r="255" spans="1:41" s="103" customFormat="1" ht="63" customHeight="1">
      <c r="A255" s="134"/>
      <c r="B255" s="472"/>
      <c r="C255" s="472"/>
      <c r="D255" s="204" t="s">
        <v>232</v>
      </c>
      <c r="E255" s="204" t="s">
        <v>236</v>
      </c>
      <c r="F255" s="204" t="s">
        <v>234</v>
      </c>
      <c r="G255" s="204" t="s">
        <v>238</v>
      </c>
      <c r="H255" s="136"/>
      <c r="I255" s="136"/>
      <c r="J255" s="77"/>
      <c r="K255" s="472"/>
      <c r="L255" s="137"/>
      <c r="M255" s="472"/>
      <c r="N255" s="138"/>
      <c r="O255" s="81"/>
      <c r="P255" s="81"/>
      <c r="Q255" s="81"/>
      <c r="R255" s="62"/>
      <c r="S255" s="81"/>
      <c r="T255" s="81"/>
      <c r="U255" s="81"/>
      <c r="V255" s="139"/>
      <c r="W255" s="139"/>
      <c r="X255" s="139"/>
      <c r="Y255" s="139"/>
      <c r="Z255" s="139"/>
      <c r="AA255" s="140"/>
      <c r="AN255" s="105"/>
      <c r="AO255" s="106"/>
    </row>
    <row r="256" spans="1:41" s="103" customFormat="1" ht="81.75" customHeight="1">
      <c r="B256" s="142"/>
      <c r="C256" s="205" t="s">
        <v>280</v>
      </c>
      <c r="D256" s="219">
        <v>1</v>
      </c>
      <c r="E256" s="219">
        <v>0.74700000000000011</v>
      </c>
      <c r="F256" s="220">
        <v>0.7679999999999999</v>
      </c>
      <c r="G256" s="220">
        <v>0.56300000000000006</v>
      </c>
      <c r="H256" s="145"/>
      <c r="I256" s="145"/>
      <c r="J256" s="77"/>
      <c r="K256" s="207" t="s">
        <v>292</v>
      </c>
      <c r="L256" s="208"/>
      <c r="M256" s="207" t="s">
        <v>293</v>
      </c>
      <c r="N256" s="138"/>
      <c r="O256" s="97"/>
      <c r="P256" s="100"/>
      <c r="Q256" s="101"/>
      <c r="R256" s="34"/>
      <c r="S256" s="97"/>
      <c r="T256" s="95"/>
      <c r="U256" s="100"/>
      <c r="V256" s="139"/>
      <c r="W256" s="139"/>
      <c r="X256" s="139"/>
      <c r="Y256" s="139"/>
      <c r="Z256" s="139"/>
      <c r="AA256" s="140"/>
      <c r="AN256" s="105"/>
      <c r="AO256" s="106"/>
    </row>
    <row r="257" spans="2:41" s="103" customFormat="1" ht="27.75" customHeight="1">
      <c r="B257" s="476" t="s">
        <v>30</v>
      </c>
      <c r="C257" s="481"/>
      <c r="D257" s="508">
        <v>0.4</v>
      </c>
      <c r="E257" s="479">
        <v>0.35</v>
      </c>
      <c r="F257" s="479">
        <v>0.15</v>
      </c>
      <c r="G257" s="479">
        <v>0.1</v>
      </c>
      <c r="I257" s="479"/>
      <c r="J257" s="476" t="s">
        <v>30</v>
      </c>
      <c r="K257" s="480">
        <v>0.94160432522138227</v>
      </c>
      <c r="L257" s="146"/>
      <c r="M257" s="480">
        <v>5.8395674778617727E-2</v>
      </c>
      <c r="N257" s="149"/>
      <c r="O257" s="97"/>
      <c r="P257" s="100"/>
      <c r="Q257" s="100"/>
      <c r="R257" s="34"/>
      <c r="S257" s="97"/>
      <c r="T257" s="100"/>
      <c r="U257" s="101"/>
      <c r="V257" s="139"/>
      <c r="W257" s="139"/>
      <c r="X257" s="139"/>
      <c r="Y257" s="139"/>
      <c r="Z257" s="139"/>
      <c r="AA257" s="140"/>
      <c r="AN257" s="105"/>
      <c r="AO257" s="106"/>
    </row>
    <row r="258" spans="2:41" s="103" customFormat="1" ht="27.75" customHeight="1">
      <c r="B258" s="472"/>
      <c r="C258" s="472"/>
      <c r="D258" s="472"/>
      <c r="E258" s="472"/>
      <c r="F258" s="472"/>
      <c r="G258" s="472"/>
      <c r="I258" s="472"/>
      <c r="J258" s="472"/>
      <c r="K258" s="472"/>
      <c r="L258" s="146"/>
      <c r="M258" s="472"/>
      <c r="N258" s="150"/>
      <c r="O258" s="97"/>
      <c r="P258" s="98"/>
      <c r="Q258" s="151"/>
      <c r="R258" s="34"/>
      <c r="S258" s="147"/>
      <c r="T258" s="100"/>
      <c r="U258" s="101"/>
      <c r="V258" s="139"/>
      <c r="W258" s="139"/>
      <c r="X258" s="139"/>
      <c r="Y258" s="139"/>
      <c r="Z258" s="139"/>
      <c r="AA258" s="140"/>
      <c r="AN258" s="105"/>
      <c r="AO258" s="106"/>
    </row>
    <row r="259" spans="2:41" s="152" customFormat="1" ht="27.75" customHeight="1">
      <c r="B259" s="485" t="s">
        <v>33</v>
      </c>
      <c r="C259" s="483"/>
      <c r="D259" s="486">
        <v>0.5</v>
      </c>
      <c r="E259" s="486">
        <v>0.2</v>
      </c>
      <c r="F259" s="486">
        <v>0.2</v>
      </c>
      <c r="G259" s="478">
        <v>0.1</v>
      </c>
      <c r="I259" s="478"/>
      <c r="J259" s="485" t="s">
        <v>33</v>
      </c>
      <c r="K259" s="480">
        <v>0.8962457023398851</v>
      </c>
      <c r="L259" s="146"/>
      <c r="M259" s="480">
        <v>0.1037542976601149</v>
      </c>
      <c r="N259" s="149"/>
      <c r="O259" s="97"/>
      <c r="P259" s="95"/>
      <c r="Q259" s="100"/>
      <c r="R259" s="34"/>
      <c r="V259" s="139"/>
      <c r="W259" s="139"/>
      <c r="X259" s="139"/>
      <c r="Y259" s="139"/>
      <c r="Z259" s="139"/>
      <c r="AA259" s="140"/>
      <c r="AN259" s="153"/>
      <c r="AO259" s="154"/>
    </row>
    <row r="260" spans="2:41" s="152" customFormat="1" ht="27.75" customHeight="1">
      <c r="B260" s="472"/>
      <c r="C260" s="472"/>
      <c r="D260" s="472"/>
      <c r="E260" s="472"/>
      <c r="F260" s="472"/>
      <c r="G260" s="472"/>
      <c r="I260" s="472"/>
      <c r="J260" s="472"/>
      <c r="K260" s="472"/>
      <c r="L260" s="146"/>
      <c r="M260" s="472"/>
      <c r="N260" s="155"/>
      <c r="O260" s="97"/>
      <c r="P260" s="95"/>
      <c r="Q260" s="100"/>
      <c r="R260" s="34"/>
      <c r="V260" s="139"/>
      <c r="W260" s="139"/>
      <c r="X260" s="139"/>
      <c r="Y260" s="139"/>
      <c r="Z260" s="139"/>
      <c r="AA260" s="140"/>
      <c r="AN260" s="153"/>
      <c r="AO260" s="154"/>
    </row>
    <row r="261" spans="2:41" ht="27.75" customHeight="1">
      <c r="B261" s="476" t="s">
        <v>37</v>
      </c>
      <c r="C261" s="481"/>
      <c r="D261" s="479">
        <v>0.35</v>
      </c>
      <c r="E261" s="479">
        <v>0.3</v>
      </c>
      <c r="F261" s="479">
        <v>0.2</v>
      </c>
      <c r="G261" s="482">
        <v>0.15</v>
      </c>
      <c r="I261" s="482"/>
      <c r="J261" s="476" t="s">
        <v>37</v>
      </c>
      <c r="K261" s="480">
        <v>0.85808977302713196</v>
      </c>
      <c r="L261" s="146"/>
      <c r="M261" s="480">
        <v>0.14191022697286801</v>
      </c>
      <c r="N261" s="149"/>
      <c r="O261" s="97"/>
      <c r="P261" s="95"/>
      <c r="Q261" s="100"/>
      <c r="S261" s="97"/>
      <c r="T261" s="95"/>
      <c r="U261" s="156"/>
      <c r="V261" s="139"/>
      <c r="W261" s="139"/>
      <c r="X261" s="139"/>
      <c r="Y261" s="139"/>
      <c r="Z261" s="139"/>
      <c r="AA261" s="140"/>
    </row>
    <row r="262" spans="2:41" ht="27.75" customHeight="1">
      <c r="B262" s="472"/>
      <c r="C262" s="472"/>
      <c r="D262" s="472"/>
      <c r="E262" s="472"/>
      <c r="F262" s="472"/>
      <c r="G262" s="472"/>
      <c r="I262" s="472"/>
      <c r="J262" s="472"/>
      <c r="K262" s="472"/>
      <c r="L262" s="146"/>
      <c r="M262" s="472"/>
      <c r="N262" s="155"/>
      <c r="O262" s="97"/>
      <c r="P262" s="95"/>
      <c r="Q262" s="95"/>
      <c r="R262" s="139"/>
      <c r="S262" s="132"/>
      <c r="T262" s="95"/>
      <c r="U262" s="156"/>
      <c r="V262" s="139"/>
      <c r="W262" s="139"/>
      <c r="X262" s="139"/>
      <c r="Y262" s="139"/>
      <c r="Z262" s="139"/>
      <c r="AA262" s="140"/>
    </row>
    <row r="263" spans="2:41" ht="27.75" customHeight="1">
      <c r="B263" s="485" t="s">
        <v>44</v>
      </c>
      <c r="C263" s="483"/>
      <c r="D263" s="486">
        <v>0.25</v>
      </c>
      <c r="E263" s="486">
        <v>0.2</v>
      </c>
      <c r="F263" s="486">
        <v>0.3</v>
      </c>
      <c r="G263" s="478">
        <v>0.25</v>
      </c>
      <c r="I263" s="478"/>
      <c r="J263" s="485" t="s">
        <v>44</v>
      </c>
      <c r="K263" s="480">
        <v>0.53526285920652128</v>
      </c>
      <c r="L263" s="146"/>
      <c r="M263" s="480">
        <v>0.46473714079347872</v>
      </c>
      <c r="N263" s="149"/>
      <c r="O263" s="97"/>
      <c r="P263" s="95"/>
      <c r="Q263" s="156"/>
      <c r="R263" s="139"/>
      <c r="S263" s="97"/>
      <c r="T263" s="95"/>
      <c r="U263" s="156"/>
      <c r="V263" s="139"/>
      <c r="W263" s="139"/>
      <c r="X263" s="139"/>
      <c r="Y263" s="139"/>
      <c r="Z263" s="139"/>
      <c r="AA263" s="140"/>
    </row>
    <row r="264" spans="2:41" ht="27.75" customHeight="1">
      <c r="B264" s="472"/>
      <c r="C264" s="472"/>
      <c r="D264" s="472"/>
      <c r="E264" s="472"/>
      <c r="F264" s="472"/>
      <c r="G264" s="472"/>
      <c r="I264" s="472"/>
      <c r="J264" s="472"/>
      <c r="K264" s="472"/>
      <c r="L264" s="146"/>
      <c r="M264" s="472"/>
      <c r="N264" s="155"/>
      <c r="O264" s="97"/>
      <c r="P264" s="157"/>
      <c r="Q264" s="157"/>
      <c r="R264" s="139"/>
      <c r="S264" s="97"/>
      <c r="T264" s="95"/>
      <c r="U264" s="156"/>
      <c r="V264" s="139"/>
      <c r="W264" s="139"/>
      <c r="X264" s="139"/>
      <c r="Y264" s="139"/>
      <c r="Z264" s="139"/>
      <c r="AA264" s="140"/>
    </row>
    <row r="265" spans="2:41" ht="27.75" customHeight="1">
      <c r="B265" s="476" t="s">
        <v>50</v>
      </c>
      <c r="C265" s="481"/>
      <c r="D265" s="479">
        <v>0.4</v>
      </c>
      <c r="E265" s="479">
        <v>0.3</v>
      </c>
      <c r="F265" s="479">
        <v>0.2</v>
      </c>
      <c r="G265" s="482">
        <v>0.1</v>
      </c>
      <c r="I265" s="482"/>
      <c r="J265" s="476" t="s">
        <v>50</v>
      </c>
      <c r="K265" s="480">
        <v>0.91201664338806243</v>
      </c>
      <c r="L265" s="146"/>
      <c r="M265" s="480">
        <v>8.7983356611937569E-2</v>
      </c>
      <c r="N265" s="149"/>
      <c r="O265" s="94"/>
      <c r="P265" s="100"/>
      <c r="Q265" s="100"/>
      <c r="R265" s="139"/>
      <c r="S265" s="97"/>
      <c r="T265" s="95"/>
      <c r="U265" s="156"/>
      <c r="V265" s="139"/>
      <c r="W265" s="139"/>
      <c r="X265" s="139"/>
      <c r="Y265" s="139"/>
      <c r="Z265" s="139"/>
      <c r="AA265" s="140"/>
    </row>
    <row r="266" spans="2:41" ht="27.75" customHeight="1">
      <c r="B266" s="472"/>
      <c r="C266" s="472"/>
      <c r="D266" s="472"/>
      <c r="E266" s="472"/>
      <c r="F266" s="472"/>
      <c r="G266" s="472"/>
      <c r="I266" s="472"/>
      <c r="J266" s="472"/>
      <c r="K266" s="472"/>
      <c r="L266" s="146"/>
      <c r="M266" s="472"/>
      <c r="N266" s="155"/>
      <c r="O266" s="94"/>
      <c r="P266" s="100"/>
      <c r="Q266" s="100"/>
      <c r="R266" s="139"/>
      <c r="S266" s="97"/>
      <c r="T266" s="95"/>
      <c r="U266" s="156"/>
      <c r="V266" s="139"/>
      <c r="W266" s="139"/>
      <c r="X266" s="139"/>
      <c r="Y266" s="139"/>
      <c r="Z266" s="139"/>
      <c r="AA266" s="140"/>
    </row>
    <row r="267" spans="2:41" ht="27.75" customHeight="1">
      <c r="B267" s="488" t="s">
        <v>54</v>
      </c>
      <c r="C267" s="483"/>
      <c r="D267" s="486">
        <v>0.45</v>
      </c>
      <c r="E267" s="486">
        <v>0.3</v>
      </c>
      <c r="F267" s="486">
        <v>0.15</v>
      </c>
      <c r="G267" s="478">
        <v>0.1</v>
      </c>
      <c r="I267" s="478"/>
      <c r="J267" s="488" t="s">
        <v>54</v>
      </c>
      <c r="K267" s="480">
        <v>0.93957221583076456</v>
      </c>
      <c r="L267" s="146"/>
      <c r="M267" s="480">
        <v>6.0427784169235443E-2</v>
      </c>
      <c r="N267" s="209"/>
      <c r="O267" s="139"/>
      <c r="P267" s="139"/>
      <c r="Q267" s="139"/>
      <c r="R267" s="139"/>
      <c r="S267" s="158"/>
      <c r="T267" s="159"/>
      <c r="V267" s="139"/>
      <c r="W267" s="139"/>
      <c r="X267" s="139"/>
      <c r="Y267" s="139"/>
      <c r="Z267" s="139"/>
      <c r="AA267" s="140"/>
    </row>
    <row r="268" spans="2:41" ht="27.75" customHeight="1">
      <c r="B268" s="472"/>
      <c r="C268" s="472"/>
      <c r="D268" s="472"/>
      <c r="E268" s="472"/>
      <c r="F268" s="472"/>
      <c r="G268" s="472"/>
      <c r="I268" s="472"/>
      <c r="J268" s="472"/>
      <c r="K268" s="472"/>
      <c r="L268" s="146"/>
      <c r="M268" s="472"/>
      <c r="N268" s="155"/>
      <c r="O268" s="127"/>
      <c r="P268" s="139"/>
      <c r="Q268" s="139"/>
      <c r="R268" s="139"/>
      <c r="S268" s="23"/>
      <c r="T268" s="23"/>
      <c r="U268" s="23"/>
      <c r="V268" s="139"/>
      <c r="W268" s="139"/>
      <c r="X268" s="139"/>
      <c r="Y268" s="139"/>
      <c r="Z268" s="139"/>
      <c r="AA268" s="140"/>
    </row>
    <row r="269" spans="2:41" s="103" customFormat="1" ht="27.75" customHeight="1">
      <c r="B269" s="476" t="s">
        <v>58</v>
      </c>
      <c r="C269" s="481"/>
      <c r="D269" s="479">
        <v>0.2</v>
      </c>
      <c r="E269" s="479">
        <v>0.15</v>
      </c>
      <c r="F269" s="479">
        <v>0.35</v>
      </c>
      <c r="G269" s="482">
        <v>0.3</v>
      </c>
      <c r="I269" s="482"/>
      <c r="J269" s="476" t="s">
        <v>58</v>
      </c>
      <c r="K269" s="480">
        <v>0.33048067019887251</v>
      </c>
      <c r="L269" s="146"/>
      <c r="M269" s="480">
        <v>0.66951932980112749</v>
      </c>
      <c r="N269" s="149"/>
      <c r="O269" s="160"/>
      <c r="P269" s="139"/>
      <c r="Q269" s="139"/>
      <c r="R269" s="139"/>
      <c r="S269" s="75"/>
      <c r="T269" s="75"/>
      <c r="U269" s="75"/>
      <c r="V269" s="139"/>
      <c r="W269" s="139"/>
      <c r="X269" s="139"/>
      <c r="Y269" s="139"/>
      <c r="Z269" s="139"/>
      <c r="AA269" s="140"/>
      <c r="AN269" s="105"/>
      <c r="AO269" s="106"/>
    </row>
    <row r="270" spans="2:41" s="103" customFormat="1" ht="41.25" customHeight="1">
      <c r="B270" s="472"/>
      <c r="C270" s="472"/>
      <c r="D270" s="472"/>
      <c r="E270" s="472"/>
      <c r="F270" s="472"/>
      <c r="G270" s="472"/>
      <c r="I270" s="472"/>
      <c r="J270" s="472"/>
      <c r="K270" s="472"/>
      <c r="L270" s="146"/>
      <c r="M270" s="472"/>
      <c r="N270" s="155"/>
      <c r="O270" s="161"/>
      <c r="P270" s="139"/>
      <c r="Q270" s="139"/>
      <c r="R270" s="139"/>
      <c r="S270" s="75"/>
      <c r="T270" s="75"/>
      <c r="U270" s="75"/>
      <c r="V270" s="139"/>
      <c r="W270" s="139"/>
      <c r="X270" s="139"/>
      <c r="Y270" s="139"/>
      <c r="Z270" s="139"/>
      <c r="AA270" s="140"/>
      <c r="AN270" s="105"/>
      <c r="AO270" s="106"/>
    </row>
  </sheetData>
  <mergeCells count="704">
    <mergeCell ref="K261:K262"/>
    <mergeCell ref="G221:G222"/>
    <mergeCell ref="K245:K246"/>
    <mergeCell ref="D235:D236"/>
    <mergeCell ref="K116:K117"/>
    <mergeCell ref="M116:M117"/>
    <mergeCell ref="C254:C255"/>
    <mergeCell ref="J219:J220"/>
    <mergeCell ref="E247:E248"/>
    <mergeCell ref="G247:G248"/>
    <mergeCell ref="M235:M236"/>
    <mergeCell ref="D156:D157"/>
    <mergeCell ref="F150:F151"/>
    <mergeCell ref="M261:M262"/>
    <mergeCell ref="D45:E45"/>
    <mergeCell ref="C171:D171"/>
    <mergeCell ref="E171:F171"/>
    <mergeCell ref="A194:C194"/>
    <mergeCell ref="J55:J56"/>
    <mergeCell ref="A181:C181"/>
    <mergeCell ref="C173:D173"/>
    <mergeCell ref="E173:F173"/>
    <mergeCell ref="C213:C214"/>
    <mergeCell ref="F122:F123"/>
    <mergeCell ref="E154:E155"/>
    <mergeCell ref="F120:F121"/>
    <mergeCell ref="H120:H121"/>
    <mergeCell ref="H184:P184"/>
    <mergeCell ref="K53:K54"/>
    <mergeCell ref="I172:J172"/>
    <mergeCell ref="K118:K119"/>
    <mergeCell ref="D80:E81"/>
    <mergeCell ref="M118:M119"/>
    <mergeCell ref="K172:L172"/>
    <mergeCell ref="K55:K56"/>
    <mergeCell ref="D193:G193"/>
    <mergeCell ref="H71:K71"/>
    <mergeCell ref="K173:L173"/>
    <mergeCell ref="J74:J75"/>
    <mergeCell ref="G243:G244"/>
    <mergeCell ref="I213:I214"/>
    <mergeCell ref="I243:I244"/>
    <mergeCell ref="D154:D155"/>
    <mergeCell ref="I215:I216"/>
    <mergeCell ref="C267:C268"/>
    <mergeCell ref="E267:E268"/>
    <mergeCell ref="F265:F266"/>
    <mergeCell ref="C257:C258"/>
    <mergeCell ref="I221:I222"/>
    <mergeCell ref="D225:D226"/>
    <mergeCell ref="E257:E258"/>
    <mergeCell ref="J124:J125"/>
    <mergeCell ref="C210:C211"/>
    <mergeCell ref="B231:D231"/>
    <mergeCell ref="E235:E236"/>
    <mergeCell ref="B263:B264"/>
    <mergeCell ref="B152:B153"/>
    <mergeCell ref="C172:D172"/>
    <mergeCell ref="A192:C192"/>
    <mergeCell ref="D188:G188"/>
    <mergeCell ref="D77:E77"/>
    <mergeCell ref="H223:H224"/>
    <mergeCell ref="D2:E2"/>
    <mergeCell ref="C47:C48"/>
    <mergeCell ref="F45:G45"/>
    <mergeCell ref="F49:G50"/>
    <mergeCell ref="A200:C200"/>
    <mergeCell ref="I219:I220"/>
    <mergeCell ref="C51:C52"/>
    <mergeCell ref="G154:G155"/>
    <mergeCell ref="F78:G79"/>
    <mergeCell ref="H78:I79"/>
    <mergeCell ref="F46:G46"/>
    <mergeCell ref="F53:G54"/>
    <mergeCell ref="H53:I54"/>
    <mergeCell ref="D198:G198"/>
    <mergeCell ref="C59:C60"/>
    <mergeCell ref="H187:P187"/>
    <mergeCell ref="M35:Q35"/>
    <mergeCell ref="A188:C188"/>
    <mergeCell ref="A190:C190"/>
    <mergeCell ref="D186:G186"/>
    <mergeCell ref="B162:B163"/>
    <mergeCell ref="H124:H125"/>
    <mergeCell ref="D162:D163"/>
    <mergeCell ref="G152:G153"/>
    <mergeCell ref="AH24:AQ72"/>
    <mergeCell ref="F80:G81"/>
    <mergeCell ref="B45:B46"/>
    <mergeCell ref="M76:N76"/>
    <mergeCell ref="F55:G56"/>
    <mergeCell ref="H55:I56"/>
    <mergeCell ref="C174:D174"/>
    <mergeCell ref="F257:F258"/>
    <mergeCell ref="E174:F174"/>
    <mergeCell ref="A197:C197"/>
    <mergeCell ref="D181:G181"/>
    <mergeCell ref="I124:I125"/>
    <mergeCell ref="K124:K125"/>
    <mergeCell ref="H192:P192"/>
    <mergeCell ref="K213:K214"/>
    <mergeCell ref="G237:G238"/>
    <mergeCell ref="G126:G127"/>
    <mergeCell ref="I237:I238"/>
    <mergeCell ref="B145:D145"/>
    <mergeCell ref="I126:I127"/>
    <mergeCell ref="K126:K127"/>
    <mergeCell ref="F154:F155"/>
    <mergeCell ref="K59:K60"/>
    <mergeCell ref="C84:C85"/>
    <mergeCell ref="B269:B270"/>
    <mergeCell ref="D84:E85"/>
    <mergeCell ref="F84:G85"/>
    <mergeCell ref="D3:E3"/>
    <mergeCell ref="D194:G194"/>
    <mergeCell ref="E269:E270"/>
    <mergeCell ref="B47:B48"/>
    <mergeCell ref="B267:B268"/>
    <mergeCell ref="I263:I264"/>
    <mergeCell ref="B100:Q100"/>
    <mergeCell ref="K267:K268"/>
    <mergeCell ref="K254:K255"/>
    <mergeCell ref="C232:C233"/>
    <mergeCell ref="H195:P195"/>
    <mergeCell ref="G265:G266"/>
    <mergeCell ref="I265:I266"/>
    <mergeCell ref="H189:P189"/>
    <mergeCell ref="M254:M255"/>
    <mergeCell ref="D152:D153"/>
    <mergeCell ref="F267:F268"/>
    <mergeCell ref="B90:B91"/>
    <mergeCell ref="E122:E123"/>
    <mergeCell ref="G122:G123"/>
    <mergeCell ref="B73:D73"/>
    <mergeCell ref="B59:B60"/>
    <mergeCell ref="I158:I159"/>
    <mergeCell ref="K158:K159"/>
    <mergeCell ref="B42:D42"/>
    <mergeCell ref="A193:C193"/>
    <mergeCell ref="B43:B44"/>
    <mergeCell ref="G160:G161"/>
    <mergeCell ref="F221:F222"/>
    <mergeCell ref="M210:M211"/>
    <mergeCell ref="D86:E87"/>
    <mergeCell ref="F86:G87"/>
    <mergeCell ref="H213:H214"/>
    <mergeCell ref="C217:C218"/>
    <mergeCell ref="E217:E218"/>
    <mergeCell ref="K74:K75"/>
    <mergeCell ref="K171:L171"/>
    <mergeCell ref="C154:C155"/>
    <mergeCell ref="M171:N171"/>
    <mergeCell ref="H215:H216"/>
    <mergeCell ref="J215:J216"/>
    <mergeCell ref="K76:K77"/>
    <mergeCell ref="K51:K52"/>
    <mergeCell ref="C156:C157"/>
    <mergeCell ref="M173:N173"/>
    <mergeCell ref="K269:K270"/>
    <mergeCell ref="M269:M270"/>
    <mergeCell ref="M36:Q36"/>
    <mergeCell ref="H197:P197"/>
    <mergeCell ref="D49:E50"/>
    <mergeCell ref="F74:G75"/>
    <mergeCell ref="H74:I75"/>
    <mergeCell ref="M122:M123"/>
    <mergeCell ref="H126:H127"/>
    <mergeCell ref="J126:J127"/>
    <mergeCell ref="J259:J260"/>
    <mergeCell ref="D200:G200"/>
    <mergeCell ref="K235:K236"/>
    <mergeCell ref="G158:G159"/>
    <mergeCell ref="J263:J264"/>
    <mergeCell ref="H39:J39"/>
    <mergeCell ref="E156:E157"/>
    <mergeCell ref="H194:P194"/>
    <mergeCell ref="G245:G246"/>
    <mergeCell ref="K174:L174"/>
    <mergeCell ref="G263:G264"/>
    <mergeCell ref="M174:N174"/>
    <mergeCell ref="J118:J119"/>
    <mergeCell ref="F156:F157"/>
    <mergeCell ref="H237:H238"/>
    <mergeCell ref="B247:B248"/>
    <mergeCell ref="B257:B258"/>
    <mergeCell ref="B102:Q102"/>
    <mergeCell ref="B237:B238"/>
    <mergeCell ref="B254:B255"/>
    <mergeCell ref="I152:I153"/>
    <mergeCell ref="M241:M242"/>
    <mergeCell ref="K243:K244"/>
    <mergeCell ref="M243:M244"/>
    <mergeCell ref="J247:J248"/>
    <mergeCell ref="J243:J244"/>
    <mergeCell ref="B126:B127"/>
    <mergeCell ref="J150:J151"/>
    <mergeCell ref="A178:C178"/>
    <mergeCell ref="C235:C236"/>
    <mergeCell ref="D183:G183"/>
    <mergeCell ref="D245:D246"/>
    <mergeCell ref="E239:E240"/>
    <mergeCell ref="H162:H163"/>
    <mergeCell ref="C116:C117"/>
    <mergeCell ref="J90:J91"/>
    <mergeCell ref="D217:D218"/>
    <mergeCell ref="B148:B149"/>
    <mergeCell ref="F217:F218"/>
    <mergeCell ref="B225:B226"/>
    <mergeCell ref="K232:K233"/>
    <mergeCell ref="K88:K89"/>
    <mergeCell ref="M232:M233"/>
    <mergeCell ref="M219:M220"/>
    <mergeCell ref="H183:P183"/>
    <mergeCell ref="M162:M163"/>
    <mergeCell ref="J152:J153"/>
    <mergeCell ref="H177:P177"/>
    <mergeCell ref="G217:G218"/>
    <mergeCell ref="E126:E127"/>
    <mergeCell ref="I217:I218"/>
    <mergeCell ref="I174:J174"/>
    <mergeCell ref="B223:B224"/>
    <mergeCell ref="H156:H157"/>
    <mergeCell ref="I150:I151"/>
    <mergeCell ref="J156:J157"/>
    <mergeCell ref="A191:C191"/>
    <mergeCell ref="J223:J224"/>
    <mergeCell ref="H150:H151"/>
    <mergeCell ref="M267:M268"/>
    <mergeCell ref="K90:K91"/>
    <mergeCell ref="A184:C184"/>
    <mergeCell ref="M217:M218"/>
    <mergeCell ref="J45:J46"/>
    <mergeCell ref="K82:K83"/>
    <mergeCell ref="C57:C58"/>
    <mergeCell ref="H158:H159"/>
    <mergeCell ref="O174:P174"/>
    <mergeCell ref="H185:P185"/>
    <mergeCell ref="B112:B113"/>
    <mergeCell ref="J47:J48"/>
    <mergeCell ref="H142:K142"/>
    <mergeCell ref="C86:C87"/>
    <mergeCell ref="B114:B115"/>
    <mergeCell ref="G215:G216"/>
    <mergeCell ref="J76:J77"/>
    <mergeCell ref="D241:D242"/>
    <mergeCell ref="H108:K108"/>
    <mergeCell ref="F241:F242"/>
    <mergeCell ref="H122:H123"/>
    <mergeCell ref="J51:J52"/>
    <mergeCell ref="D243:D244"/>
    <mergeCell ref="D267:D268"/>
    <mergeCell ref="H37:K37"/>
    <mergeCell ref="D57:E58"/>
    <mergeCell ref="B103:Q103"/>
    <mergeCell ref="B111:D111"/>
    <mergeCell ref="H221:H222"/>
    <mergeCell ref="M257:M258"/>
    <mergeCell ref="C162:C163"/>
    <mergeCell ref="H139:K139"/>
    <mergeCell ref="D177:G177"/>
    <mergeCell ref="C112:C113"/>
    <mergeCell ref="M128:M129"/>
    <mergeCell ref="F90:G91"/>
    <mergeCell ref="E128:E129"/>
    <mergeCell ref="G128:G129"/>
    <mergeCell ref="C152:C153"/>
    <mergeCell ref="B158:B159"/>
    <mergeCell ref="A171:B171"/>
    <mergeCell ref="B82:B83"/>
    <mergeCell ref="B57:B58"/>
    <mergeCell ref="M80:M81"/>
    <mergeCell ref="G172:H172"/>
    <mergeCell ref="K47:K48"/>
    <mergeCell ref="I118:I119"/>
    <mergeCell ref="H38:K38"/>
    <mergeCell ref="C7:D8"/>
    <mergeCell ref="J269:J270"/>
    <mergeCell ref="H198:P198"/>
    <mergeCell ref="D178:G178"/>
    <mergeCell ref="D269:D270"/>
    <mergeCell ref="G259:G260"/>
    <mergeCell ref="I259:I260"/>
    <mergeCell ref="Q74:Q75"/>
    <mergeCell ref="K148:K149"/>
    <mergeCell ref="F152:F153"/>
    <mergeCell ref="C82:C83"/>
    <mergeCell ref="K225:K226"/>
    <mergeCell ref="M154:M155"/>
    <mergeCell ref="G261:G262"/>
    <mergeCell ref="M225:M226"/>
    <mergeCell ref="J158:J159"/>
    <mergeCell ref="I261:I262"/>
    <mergeCell ref="F59:G60"/>
    <mergeCell ref="K162:K163"/>
    <mergeCell ref="H59:I60"/>
    <mergeCell ref="K156:K157"/>
    <mergeCell ref="H160:H161"/>
    <mergeCell ref="E118:E119"/>
    <mergeCell ref="G118:G119"/>
    <mergeCell ref="A10:B10"/>
    <mergeCell ref="H69:K69"/>
    <mergeCell ref="J160:J161"/>
    <mergeCell ref="M156:M157"/>
    <mergeCell ref="B160:B161"/>
    <mergeCell ref="D247:D248"/>
    <mergeCell ref="A173:B173"/>
    <mergeCell ref="H88:I89"/>
    <mergeCell ref="A187:C187"/>
    <mergeCell ref="E223:E224"/>
    <mergeCell ref="B122:B123"/>
    <mergeCell ref="G223:G224"/>
    <mergeCell ref="C221:C222"/>
    <mergeCell ref="E150:E151"/>
    <mergeCell ref="D47:E48"/>
    <mergeCell ref="F47:G48"/>
    <mergeCell ref="H90:I91"/>
    <mergeCell ref="A189:C189"/>
    <mergeCell ref="B235:B236"/>
    <mergeCell ref="G116:G117"/>
    <mergeCell ref="M78:M79"/>
    <mergeCell ref="E152:E153"/>
    <mergeCell ref="K45:K46"/>
    <mergeCell ref="I116:I117"/>
    <mergeCell ref="J43:J44"/>
    <mergeCell ref="D128:D129"/>
    <mergeCell ref="F128:F129"/>
    <mergeCell ref="E219:E220"/>
    <mergeCell ref="A177:C177"/>
    <mergeCell ref="H66:K66"/>
    <mergeCell ref="D196:G196"/>
    <mergeCell ref="D78:E79"/>
    <mergeCell ref="M223:M224"/>
    <mergeCell ref="M77:N77"/>
    <mergeCell ref="C49:C50"/>
    <mergeCell ref="B49:B50"/>
    <mergeCell ref="G120:G121"/>
    <mergeCell ref="M148:M149"/>
    <mergeCell ref="M82:M83"/>
    <mergeCell ref="I120:I121"/>
    <mergeCell ref="K49:K50"/>
    <mergeCell ref="C122:C123"/>
    <mergeCell ref="B146:B147"/>
    <mergeCell ref="C78:C79"/>
    <mergeCell ref="B217:B218"/>
    <mergeCell ref="B219:B220"/>
    <mergeCell ref="D219:D220"/>
    <mergeCell ref="B86:B87"/>
    <mergeCell ref="C269:C270"/>
    <mergeCell ref="D53:E54"/>
    <mergeCell ref="D46:E46"/>
    <mergeCell ref="A195:C195"/>
    <mergeCell ref="K84:K85"/>
    <mergeCell ref="H141:K141"/>
    <mergeCell ref="B243:B244"/>
    <mergeCell ref="D55:E56"/>
    <mergeCell ref="H219:H220"/>
    <mergeCell ref="B88:B89"/>
    <mergeCell ref="A174:B174"/>
    <mergeCell ref="D191:G191"/>
    <mergeCell ref="K86:K87"/>
    <mergeCell ref="J225:J226"/>
    <mergeCell ref="G124:G125"/>
    <mergeCell ref="K257:K258"/>
    <mergeCell ref="A180:C180"/>
    <mergeCell ref="G213:G214"/>
    <mergeCell ref="C237:C238"/>
    <mergeCell ref="J162:J163"/>
    <mergeCell ref="E237:E238"/>
    <mergeCell ref="H245:H246"/>
    <mergeCell ref="B253:D253"/>
    <mergeCell ref="K241:K242"/>
    <mergeCell ref="C11:D11"/>
    <mergeCell ref="M150:M151"/>
    <mergeCell ref="J154:J155"/>
    <mergeCell ref="E11:F11"/>
    <mergeCell ref="B154:B155"/>
    <mergeCell ref="H179:P179"/>
    <mergeCell ref="J120:J121"/>
    <mergeCell ref="B221:B222"/>
    <mergeCell ref="B209:D209"/>
    <mergeCell ref="H43:I44"/>
    <mergeCell ref="C30:C31"/>
    <mergeCell ref="B156:B157"/>
    <mergeCell ref="C120:C121"/>
    <mergeCell ref="E120:E121"/>
    <mergeCell ref="B84:B85"/>
    <mergeCell ref="K57:K58"/>
    <mergeCell ref="D221:D222"/>
    <mergeCell ref="D195:G195"/>
    <mergeCell ref="D189:G189"/>
    <mergeCell ref="A186:C186"/>
    <mergeCell ref="E124:E125"/>
    <mergeCell ref="D30:D31"/>
    <mergeCell ref="K146:K147"/>
    <mergeCell ref="K217:K218"/>
    <mergeCell ref="H4:M4"/>
    <mergeCell ref="H76:I76"/>
    <mergeCell ref="K112:K113"/>
    <mergeCell ref="F116:F117"/>
    <mergeCell ref="G219:G220"/>
    <mergeCell ref="M112:M113"/>
    <mergeCell ref="H116:H117"/>
    <mergeCell ref="H180:P180"/>
    <mergeCell ref="D124:D125"/>
    <mergeCell ref="M152:M153"/>
    <mergeCell ref="C6:D6"/>
    <mergeCell ref="F118:F119"/>
    <mergeCell ref="J82:J83"/>
    <mergeCell ref="H118:H119"/>
    <mergeCell ref="M114:M115"/>
    <mergeCell ref="K114:K115"/>
    <mergeCell ref="C128:C129"/>
    <mergeCell ref="D192:G192"/>
    <mergeCell ref="H7:M7"/>
    <mergeCell ref="K43:K44"/>
    <mergeCell ref="C43:C44"/>
    <mergeCell ref="J57:J58"/>
    <mergeCell ref="F51:G52"/>
    <mergeCell ref="M120:M121"/>
    <mergeCell ref="H67:K67"/>
    <mergeCell ref="I239:I240"/>
    <mergeCell ref="G171:H171"/>
    <mergeCell ref="I171:J171"/>
    <mergeCell ref="D215:D216"/>
    <mergeCell ref="B80:B81"/>
    <mergeCell ref="F215:F216"/>
    <mergeCell ref="I173:J173"/>
    <mergeCell ref="G150:G151"/>
    <mergeCell ref="H235:H236"/>
    <mergeCell ref="J235:J236"/>
    <mergeCell ref="J88:J89"/>
    <mergeCell ref="A196:C196"/>
    <mergeCell ref="A183:C183"/>
    <mergeCell ref="H82:I83"/>
    <mergeCell ref="A182:C182"/>
    <mergeCell ref="J237:J238"/>
    <mergeCell ref="F239:F240"/>
    <mergeCell ref="H239:H240"/>
    <mergeCell ref="J239:J240"/>
    <mergeCell ref="B232:B233"/>
    <mergeCell ref="I160:I161"/>
    <mergeCell ref="C225:C226"/>
    <mergeCell ref="F223:F224"/>
    <mergeCell ref="B78:B79"/>
    <mergeCell ref="D187:G187"/>
    <mergeCell ref="G239:G240"/>
    <mergeCell ref="C263:C264"/>
    <mergeCell ref="E263:E264"/>
    <mergeCell ref="E243:E244"/>
    <mergeCell ref="E241:E242"/>
    <mergeCell ref="F245:F246"/>
    <mergeCell ref="C243:C244"/>
    <mergeCell ref="B245:B246"/>
    <mergeCell ref="D257:D258"/>
    <mergeCell ref="D150:D151"/>
    <mergeCell ref="B259:B260"/>
    <mergeCell ref="D223:D224"/>
    <mergeCell ref="B150:B151"/>
    <mergeCell ref="E172:F172"/>
    <mergeCell ref="D197:G197"/>
    <mergeCell ref="C126:C127"/>
    <mergeCell ref="A172:B172"/>
    <mergeCell ref="C247:C248"/>
    <mergeCell ref="C241:C242"/>
    <mergeCell ref="E12:F12"/>
    <mergeCell ref="H51:I52"/>
    <mergeCell ref="E265:E266"/>
    <mergeCell ref="A198:C198"/>
    <mergeCell ref="F124:F125"/>
    <mergeCell ref="K247:K248"/>
    <mergeCell ref="M247:M248"/>
    <mergeCell ref="H182:P182"/>
    <mergeCell ref="F213:F214"/>
    <mergeCell ref="D74:E75"/>
    <mergeCell ref="D259:D260"/>
    <mergeCell ref="I122:I123"/>
    <mergeCell ref="D126:D127"/>
    <mergeCell ref="F259:F260"/>
    <mergeCell ref="K122:K123"/>
    <mergeCell ref="F126:F127"/>
    <mergeCell ref="H190:P190"/>
    <mergeCell ref="G235:G236"/>
    <mergeCell ref="B239:B240"/>
    <mergeCell ref="I235:I236"/>
    <mergeCell ref="K120:K121"/>
    <mergeCell ref="K152:K153"/>
    <mergeCell ref="K223:K224"/>
    <mergeCell ref="D82:E83"/>
    <mergeCell ref="H5:M5"/>
    <mergeCell ref="H68:K68"/>
    <mergeCell ref="I128:I129"/>
    <mergeCell ref="K128:K129"/>
    <mergeCell ref="B265:B266"/>
    <mergeCell ref="D265:D266"/>
    <mergeCell ref="M146:M147"/>
    <mergeCell ref="A7:B8"/>
    <mergeCell ref="K265:K266"/>
    <mergeCell ref="H193:P193"/>
    <mergeCell ref="G173:H173"/>
    <mergeCell ref="E213:E214"/>
    <mergeCell ref="C259:C260"/>
    <mergeCell ref="J84:J85"/>
    <mergeCell ref="J122:J123"/>
    <mergeCell ref="H191:P191"/>
    <mergeCell ref="J78:J79"/>
    <mergeCell ref="M245:M246"/>
    <mergeCell ref="E259:E260"/>
    <mergeCell ref="H178:P178"/>
    <mergeCell ref="C261:C262"/>
    <mergeCell ref="I154:I155"/>
    <mergeCell ref="I225:I226"/>
    <mergeCell ref="E261:E262"/>
    <mergeCell ref="AC24:AF36"/>
    <mergeCell ref="A6:B6"/>
    <mergeCell ref="B120:B121"/>
    <mergeCell ref="D120:D121"/>
    <mergeCell ref="F158:F159"/>
    <mergeCell ref="J86:J87"/>
    <mergeCell ref="J257:J258"/>
    <mergeCell ref="G162:G163"/>
    <mergeCell ref="C10:D10"/>
    <mergeCell ref="G156:G157"/>
    <mergeCell ref="E10:F10"/>
    <mergeCell ref="D160:D161"/>
    <mergeCell ref="I156:I157"/>
    <mergeCell ref="M172:N172"/>
    <mergeCell ref="F160:F161"/>
    <mergeCell ref="O172:P172"/>
    <mergeCell ref="P74:P75"/>
    <mergeCell ref="K78:K79"/>
    <mergeCell ref="C53:C54"/>
    <mergeCell ref="P43:P44"/>
    <mergeCell ref="H49:I50"/>
    <mergeCell ref="H6:M6"/>
    <mergeCell ref="D237:D238"/>
    <mergeCell ref="F237:F238"/>
    <mergeCell ref="G269:G270"/>
    <mergeCell ref="D88:E89"/>
    <mergeCell ref="F219:F220"/>
    <mergeCell ref="F88:G89"/>
    <mergeCell ref="C223:C224"/>
    <mergeCell ref="C150:C151"/>
    <mergeCell ref="K263:K264"/>
    <mergeCell ref="M263:M264"/>
    <mergeCell ref="J267:J268"/>
    <mergeCell ref="D90:E91"/>
    <mergeCell ref="M213:M214"/>
    <mergeCell ref="H217:H218"/>
    <mergeCell ref="E116:E117"/>
    <mergeCell ref="J217:J218"/>
    <mergeCell ref="M265:M266"/>
    <mergeCell ref="H154:H155"/>
    <mergeCell ref="C158:C159"/>
    <mergeCell ref="K215:K216"/>
    <mergeCell ref="H181:P181"/>
    <mergeCell ref="B101:Q101"/>
    <mergeCell ref="M215:M216"/>
    <mergeCell ref="H138:K138"/>
    <mergeCell ref="C160:C161"/>
    <mergeCell ref="E160:E161"/>
    <mergeCell ref="H33:K33"/>
    <mergeCell ref="H80:I81"/>
    <mergeCell ref="B104:Q104"/>
    <mergeCell ref="A179:C179"/>
    <mergeCell ref="E221:E222"/>
    <mergeCell ref="O171:P171"/>
    <mergeCell ref="G174:H174"/>
    <mergeCell ref="H35:K35"/>
    <mergeCell ref="H186:P186"/>
    <mergeCell ref="B106:Q106"/>
    <mergeCell ref="M124:M125"/>
    <mergeCell ref="H128:H129"/>
    <mergeCell ref="I162:I163"/>
    <mergeCell ref="J128:J129"/>
    <mergeCell ref="B128:B129"/>
    <mergeCell ref="K210:K211"/>
    <mergeCell ref="H45:I45"/>
    <mergeCell ref="M126:M127"/>
    <mergeCell ref="Q43:Q44"/>
    <mergeCell ref="D158:D159"/>
    <mergeCell ref="H188:P188"/>
    <mergeCell ref="C215:C216"/>
    <mergeCell ref="E215:E216"/>
    <mergeCell ref="C80:C81"/>
    <mergeCell ref="A11:B11"/>
    <mergeCell ref="H57:I58"/>
    <mergeCell ref="H84:I85"/>
    <mergeCell ref="J49:J50"/>
    <mergeCell ref="D43:E44"/>
    <mergeCell ref="F43:G44"/>
    <mergeCell ref="H86:I87"/>
    <mergeCell ref="D76:E76"/>
    <mergeCell ref="B116:B117"/>
    <mergeCell ref="F76:G76"/>
    <mergeCell ref="D116:D117"/>
    <mergeCell ref="A12:B12"/>
    <mergeCell ref="C12:D12"/>
    <mergeCell ref="F77:G77"/>
    <mergeCell ref="H77:I77"/>
    <mergeCell ref="J116:J117"/>
    <mergeCell ref="J53:J54"/>
    <mergeCell ref="C88:C89"/>
    <mergeCell ref="H46:I46"/>
    <mergeCell ref="C90:C91"/>
    <mergeCell ref="C55:C56"/>
    <mergeCell ref="J80:J81"/>
    <mergeCell ref="F57:G58"/>
    <mergeCell ref="B74:B75"/>
    <mergeCell ref="I269:I270"/>
    <mergeCell ref="E225:E226"/>
    <mergeCell ref="B53:B54"/>
    <mergeCell ref="B118:B119"/>
    <mergeCell ref="D118:D119"/>
    <mergeCell ref="I241:I242"/>
    <mergeCell ref="H34:K34"/>
    <mergeCell ref="M37:Q37"/>
    <mergeCell ref="D59:E60"/>
    <mergeCell ref="B105:Q105"/>
    <mergeCell ref="H143:K143"/>
    <mergeCell ref="O173:P173"/>
    <mergeCell ref="B55:B56"/>
    <mergeCell ref="M259:M260"/>
    <mergeCell ref="H36:K36"/>
    <mergeCell ref="B107:Q107"/>
    <mergeCell ref="D179:G179"/>
    <mergeCell ref="M221:M222"/>
    <mergeCell ref="I245:I246"/>
    <mergeCell ref="C74:C75"/>
    <mergeCell ref="B213:B214"/>
    <mergeCell ref="C245:C246"/>
    <mergeCell ref="M38:Q38"/>
    <mergeCell ref="C239:C240"/>
    <mergeCell ref="H47:I48"/>
    <mergeCell ref="K150:K151"/>
    <mergeCell ref="B210:B211"/>
    <mergeCell ref="F235:F236"/>
    <mergeCell ref="M158:M159"/>
    <mergeCell ref="E158:E159"/>
    <mergeCell ref="D51:E52"/>
    <mergeCell ref="C219:C220"/>
    <mergeCell ref="K160:K161"/>
    <mergeCell ref="J221:J222"/>
    <mergeCell ref="B124:B125"/>
    <mergeCell ref="M160:M161"/>
    <mergeCell ref="G225:G226"/>
    <mergeCell ref="J213:J214"/>
    <mergeCell ref="E162:E163"/>
    <mergeCell ref="J59:J60"/>
    <mergeCell ref="I223:I224"/>
    <mergeCell ref="F82:G83"/>
    <mergeCell ref="H140:K140"/>
    <mergeCell ref="K154:K155"/>
    <mergeCell ref="F225:F226"/>
    <mergeCell ref="H225:H226"/>
    <mergeCell ref="K221:K222"/>
    <mergeCell ref="K80:K81"/>
    <mergeCell ref="I267:I268"/>
    <mergeCell ref="D180:G180"/>
    <mergeCell ref="H152:H153"/>
    <mergeCell ref="I247:I248"/>
    <mergeCell ref="G267:G268"/>
    <mergeCell ref="K259:K260"/>
    <mergeCell ref="J265:J266"/>
    <mergeCell ref="B241:B242"/>
    <mergeCell ref="B261:B262"/>
    <mergeCell ref="J261:J262"/>
    <mergeCell ref="J245:J246"/>
    <mergeCell ref="D239:D240"/>
    <mergeCell ref="G257:G258"/>
    <mergeCell ref="D261:D262"/>
    <mergeCell ref="I257:I258"/>
    <mergeCell ref="F162:F163"/>
    <mergeCell ref="D184:G184"/>
    <mergeCell ref="F261:F262"/>
    <mergeCell ref="C265:C266"/>
    <mergeCell ref="D263:D264"/>
    <mergeCell ref="A185:C185"/>
    <mergeCell ref="F263:F264"/>
    <mergeCell ref="D213:D214"/>
    <mergeCell ref="E245:E246"/>
    <mergeCell ref="B76:B77"/>
    <mergeCell ref="D185:G185"/>
    <mergeCell ref="B51:B52"/>
    <mergeCell ref="H70:K70"/>
    <mergeCell ref="H196:P196"/>
    <mergeCell ref="G241:G242"/>
    <mergeCell ref="F269:F270"/>
    <mergeCell ref="K219:K220"/>
    <mergeCell ref="C124:C125"/>
    <mergeCell ref="F247:F248"/>
    <mergeCell ref="K237:K238"/>
    <mergeCell ref="C118:C119"/>
    <mergeCell ref="H247:H248"/>
    <mergeCell ref="M237:M238"/>
    <mergeCell ref="H241:H242"/>
    <mergeCell ref="J241:J242"/>
    <mergeCell ref="D182:G182"/>
    <mergeCell ref="D122:D123"/>
    <mergeCell ref="K239:K240"/>
    <mergeCell ref="F243:F244"/>
    <mergeCell ref="M239:M240"/>
    <mergeCell ref="H243:H244"/>
    <mergeCell ref="D190:G190"/>
    <mergeCell ref="B215:B216"/>
  </mergeCells>
  <hyperlinks>
    <hyperlink ref="J12"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AQ270"/>
  <sheetViews>
    <sheetView tabSelected="1" topLeftCell="K1" zoomScale="60" zoomScaleNormal="60" workbookViewId="0">
      <selection activeCell="H7" sqref="H7:M7"/>
    </sheetView>
  </sheetViews>
  <sheetFormatPr baseColWidth="10" defaultRowHeight="23.25"/>
  <cols>
    <col min="2" max="2" width="15.5703125" customWidth="1"/>
    <col min="3" max="3" width="21.7109375" customWidth="1"/>
    <col min="4" max="6" width="22.140625" customWidth="1"/>
    <col min="7" max="8" width="22.140625" style="34" customWidth="1"/>
    <col min="9" max="9" width="20.140625" style="34" customWidth="1"/>
    <col min="10" max="13" width="18.140625" style="34" customWidth="1"/>
    <col min="14" max="14" width="14.28515625" style="34" customWidth="1"/>
    <col min="15" max="15" width="15" style="34" customWidth="1"/>
    <col min="16" max="19" width="13.7109375" style="34" customWidth="1"/>
    <col min="20" max="25" width="13.7109375" customWidth="1"/>
    <col min="26" max="26" width="8" customWidth="1"/>
    <col min="27" max="27" width="20.140625" style="2" customWidth="1"/>
    <col min="28" max="28" width="9.7109375" customWidth="1"/>
    <col min="29" max="29" width="24.42578125" customWidth="1"/>
    <col min="30" max="31" width="12.85546875" customWidth="1"/>
    <col min="32" max="32" width="64.140625" customWidth="1"/>
    <col min="33" max="34" width="9.7109375" customWidth="1"/>
    <col min="40" max="40" width="11.42578125" style="1" customWidth="1"/>
    <col min="41" max="41" width="67.85546875" style="4" customWidth="1"/>
  </cols>
  <sheetData>
    <row r="1" spans="1:41" ht="38.25" customHeight="1">
      <c r="G1" s="1"/>
      <c r="H1" s="237"/>
      <c r="I1" s="238"/>
      <c r="J1" s="238"/>
      <c r="K1" s="238"/>
      <c r="L1" s="238"/>
      <c r="M1" s="239"/>
      <c r="P1" s="234" t="s">
        <v>0</v>
      </c>
      <c r="Q1" s="234" t="s">
        <v>1</v>
      </c>
      <c r="R1" s="234" t="s">
        <v>2</v>
      </c>
      <c r="S1" s="234" t="s">
        <v>3</v>
      </c>
      <c r="T1" s="234" t="s">
        <v>4</v>
      </c>
      <c r="U1" s="234" t="s">
        <v>5</v>
      </c>
      <c r="V1" s="234" t="s">
        <v>6</v>
      </c>
      <c r="W1" s="234" t="s">
        <v>7</v>
      </c>
      <c r="X1" s="234" t="s">
        <v>8</v>
      </c>
      <c r="Y1" s="234" t="s">
        <v>9</v>
      </c>
      <c r="AC1" s="3" t="s">
        <v>10</v>
      </c>
    </row>
    <row r="2" spans="1:41" ht="36.75" customHeight="1" thickBot="1">
      <c r="A2" s="5" t="s">
        <v>11</v>
      </c>
      <c r="B2" s="6" t="s">
        <v>12</v>
      </c>
      <c r="C2" s="5" t="s">
        <v>13</v>
      </c>
      <c r="D2" s="509" t="s">
        <v>14</v>
      </c>
      <c r="E2" s="475"/>
      <c r="G2" s="1"/>
      <c r="H2" s="240"/>
      <c r="I2" s="243"/>
      <c r="J2" s="241"/>
      <c r="K2" s="241"/>
      <c r="L2" s="241"/>
      <c r="M2" s="275"/>
      <c r="O2" s="7" t="s">
        <v>15</v>
      </c>
      <c r="P2" s="8" t="s">
        <v>16</v>
      </c>
      <c r="Q2" s="9" t="s">
        <v>17</v>
      </c>
      <c r="R2" s="5" t="s">
        <v>18</v>
      </c>
      <c r="S2" s="10" t="s">
        <v>19</v>
      </c>
      <c r="T2" s="11" t="s">
        <v>20</v>
      </c>
      <c r="U2" s="5" t="s">
        <v>21</v>
      </c>
      <c r="V2" s="5" t="s">
        <v>22</v>
      </c>
      <c r="W2" s="5" t="s">
        <v>23</v>
      </c>
      <c r="X2" s="5" t="s">
        <v>24</v>
      </c>
      <c r="Y2" s="5" t="s">
        <v>25</v>
      </c>
      <c r="Z2" s="12"/>
      <c r="AC2" s="5" t="s">
        <v>26</v>
      </c>
      <c r="AD2" s="5" t="s">
        <v>27</v>
      </c>
      <c r="AE2" s="5" t="s">
        <v>28</v>
      </c>
      <c r="AF2" s="5" t="s">
        <v>29</v>
      </c>
    </row>
    <row r="3" spans="1:41" ht="31.5" customHeight="1" thickBot="1">
      <c r="A3" s="13"/>
      <c r="B3" s="13"/>
      <c r="C3" s="13"/>
      <c r="D3" s="559"/>
      <c r="E3" s="475"/>
      <c r="G3" s="1"/>
      <c r="H3" s="14"/>
      <c r="I3" s="15"/>
      <c r="J3" s="15"/>
      <c r="K3" s="15"/>
      <c r="L3" s="15"/>
      <c r="M3" s="457">
        <f>$J$10</f>
        <v>0</v>
      </c>
      <c r="O3" s="17" t="s">
        <v>30</v>
      </c>
      <c r="P3" s="18">
        <v>0.04</v>
      </c>
      <c r="Q3" s="19">
        <f>0.6*$A$178/(0.6*$A$178+ 0.4*$A$180)</f>
        <v>0.60701241782322857</v>
      </c>
      <c r="R3" s="19">
        <f>0.4*$A$180/(0.6*$A$178+0.4*$A$180)</f>
        <v>0.39298758217677138</v>
      </c>
      <c r="S3" s="19">
        <f>(0.4*$A$178*0.35*$A$180) / ((0.15*$A$179*0.1*$A$181) + (0.4*$A$178*0.35*$A$180))</f>
        <v>0.92319074456989947</v>
      </c>
      <c r="T3" s="19">
        <f>1-$K$257</f>
        <v>7.6809255430100531E-2</v>
      </c>
      <c r="U3" s="250">
        <f>(0.4*$D$46)+(0.4*$F$46)+(0.2*$H$46)</f>
        <v>0.73991071964822019</v>
      </c>
      <c r="V3" s="230">
        <f>((1 - $K$47)^0.4 * $A$182^0.35) / ($A$182^0.35 + $A$183^0.25)</f>
        <v>0.28993674794088009</v>
      </c>
      <c r="W3" s="230">
        <f>((1 - $K$47)^0.4 * $A$183^0.25) / ($A$182^0.35 + $A$183^0.25)</f>
        <v>0.29357416295693861</v>
      </c>
      <c r="X3" s="235">
        <f>1-($A$182^0.4/($A$182^0.4+$A$183^0.4))^($A$186^0.2)</f>
        <v>0.4922604366767831</v>
      </c>
      <c r="Y3" s="235">
        <f>1-(($A$183^0.4)/(($A$182^0.4)+($A$183^0.3)))^($A$186^0.3)</f>
        <v>0.50664862196058436</v>
      </c>
      <c r="Z3" s="20"/>
      <c r="AC3" s="262" t="s">
        <v>16</v>
      </c>
      <c r="AD3" s="263"/>
      <c r="AE3" s="263"/>
      <c r="AF3" s="264"/>
    </row>
    <row r="4" spans="1:41" ht="31.5" customHeight="1">
      <c r="G4" s="244" t="s">
        <v>32</v>
      </c>
      <c r="H4" s="459" t="s">
        <v>294</v>
      </c>
      <c r="I4" s="460"/>
      <c r="J4" s="460"/>
      <c r="K4" s="460"/>
      <c r="L4" s="460"/>
      <c r="M4" s="461"/>
      <c r="O4" s="21" t="s">
        <v>33</v>
      </c>
      <c r="P4" s="18">
        <f>((0.3*$D$77)+(0.5*$F$77)+(0.2*$H$77))/1.7</f>
        <v>0.33447899159663869</v>
      </c>
      <c r="Q4" s="19">
        <f>0.7*$A$178/(0.7*$A$178+ 0.3* $A$180)</f>
        <v>0.70611798980335028</v>
      </c>
      <c r="R4" s="19">
        <f>0.3*$A$180/(0.7*$A$178+0.3*$A$180)</f>
        <v>0.29388201019664972</v>
      </c>
      <c r="S4" s="19">
        <f>(0.5*$A$178*0.2*$A$180) / ((0.2*$A$179*0.1*$A$181) + (0.5*$A$178*0.2*$A$180))</f>
        <v>0.86557137104268622</v>
      </c>
      <c r="T4" s="19">
        <f>1-$K$259</f>
        <v>0.13442862895731378</v>
      </c>
      <c r="U4" s="18">
        <f>(0.3*$D$46)+(0.5*$F$46)+(0.2*$H$46)</f>
        <v>0.74497768527456087</v>
      </c>
      <c r="V4" s="230">
        <f>((1 - $K$49)^0.5 * $A$182^0.4) / ($A$182^0.4 + $A$183^0.1)</f>
        <v>0.24405146747497974</v>
      </c>
      <c r="W4" s="230">
        <f>((1 - $K$49)^0.5 * $A$183^0.4) / ($A$182^0.1 + $A$183^0.4)</f>
        <v>0.24118795417306507</v>
      </c>
      <c r="X4" s="235">
        <f>1-($A$182^0.6/($A$182^0.6+$A$183^0.3))^($A$186^0.1)</f>
        <v>0.51283213084876267</v>
      </c>
      <c r="Y4" s="235">
        <f>1-(($A$183^0.5)/(($A$182^0.5)+($A$183^0.4)))^($A$186^0.1)</f>
        <v>0.51098832052517063</v>
      </c>
      <c r="Z4" s="20"/>
      <c r="AC4" s="262" t="s">
        <v>17</v>
      </c>
      <c r="AD4" s="263"/>
      <c r="AE4" s="263"/>
      <c r="AF4" s="264"/>
    </row>
    <row r="5" spans="1:41" ht="31.5" customHeight="1">
      <c r="G5" s="244" t="s">
        <v>35</v>
      </c>
      <c r="H5" s="459" t="s">
        <v>295</v>
      </c>
      <c r="I5" s="460"/>
      <c r="J5" s="460"/>
      <c r="K5" s="460"/>
      <c r="L5" s="460"/>
      <c r="M5" s="461"/>
      <c r="O5" s="17" t="s">
        <v>37</v>
      </c>
      <c r="P5" s="18">
        <f>((0.4*$D$77)+(0.3*$F$77)+(0.3*$H$77))/1.7</f>
        <v>0.33068907563025218</v>
      </c>
      <c r="Q5" s="19">
        <f>0.5*$A$178/(0.5*$A$178+ 0.5* $A$180)</f>
        <v>0.5073260073260073</v>
      </c>
      <c r="R5" s="19">
        <f>0.45*$A$180/(0.55*$A$178+0.45*$A$180)</f>
        <v>0.44275786393562538</v>
      </c>
      <c r="S5" s="19">
        <f>(0.35*$A$178*0.3*$A$180) / ((0.2*$A$179*0.15*$A$181) + (0.35*$A$178*0.3*$A$180))</f>
        <v>0.81842031901578649</v>
      </c>
      <c r="T5" s="19">
        <f>1-$K$261</f>
        <v>0.18157968098421351</v>
      </c>
      <c r="U5" s="18">
        <f>(0.3*$D$46)+(0.3*$F$46)+(0.4*$H$46)</f>
        <v>0.57948661116473643</v>
      </c>
      <c r="V5" s="230">
        <f>((1 - $K$51)^0.3 * $A$182^0.4) / ($A$182^0.4 + $A$183^0.3)</f>
        <v>0.38360504166307752</v>
      </c>
      <c r="W5" s="230">
        <f>((1 - $K$51)^0.3 * $A$183^0.3) / ($A$182^0.4 + $A$183^0.3)</f>
        <v>0.38753623195414322</v>
      </c>
      <c r="X5" s="236">
        <f>1-($A$182^0.3/($A$182^0.3+$A$183^0.3))^($A$186^0.4)</f>
        <v>0.4902025770614441</v>
      </c>
      <c r="Y5" s="236">
        <f>1-(($A$183^0.3)/(($A$182^0.3)+($A$183^0.4)))^($A$186^0.3)</f>
        <v>0.49161736345638818</v>
      </c>
      <c r="Z5" s="20"/>
      <c r="AC5" s="262" t="s">
        <v>18</v>
      </c>
      <c r="AD5" s="263"/>
      <c r="AE5" s="263"/>
      <c r="AF5" s="264"/>
      <c r="AO5" s="274"/>
    </row>
    <row r="6" spans="1:41" ht="31.5" customHeight="1">
      <c r="A6" s="522" t="s">
        <v>40</v>
      </c>
      <c r="B6" s="475"/>
      <c r="C6" s="522" t="s">
        <v>41</v>
      </c>
      <c r="D6" s="475"/>
      <c r="G6" s="244" t="s">
        <v>42</v>
      </c>
      <c r="H6" s="462" t="s">
        <v>296</v>
      </c>
      <c r="I6" s="463"/>
      <c r="J6" s="463"/>
      <c r="K6" s="463"/>
      <c r="L6" s="463"/>
      <c r="M6" s="464"/>
      <c r="O6" s="21" t="s">
        <v>44</v>
      </c>
      <c r="P6" s="18">
        <f>((0.5*$D$77)+(0.3*$F$77)+(0.2*$H$77))/1.7</f>
        <v>0.32447899159663868</v>
      </c>
      <c r="Q6" s="19">
        <f>0.4*$A$178/(0.4*$A$178+ 0.6* $A$180)</f>
        <v>0.40705363703159447</v>
      </c>
      <c r="R6" s="19">
        <f>0.6*$A$180/(0.4*$A$178+0.6*$A$180)</f>
        <v>0.59294636296840553</v>
      </c>
      <c r="S6" s="19">
        <f>(0.25*$A$178*0.2*$A$180) / ((0.3*$A$179*0.25*$A$181) + (0.25*$A$178*0.2*$A$180))</f>
        <v>0.46193713171590545</v>
      </c>
      <c r="T6" s="19">
        <f>1-$K$263</f>
        <v>0.53806286828409455</v>
      </c>
      <c r="U6" s="18">
        <f>(0.2*$D$46)+(0.3*$F$46)+(0.5*$H$46)</f>
        <v>0.50180803973616517</v>
      </c>
      <c r="V6" s="230">
        <f>((1 - $K$53)^0.35 * $A$182^0.3) / ($A$182^0.3 + $A$183^0.35)</f>
        <v>0.39724338068897863</v>
      </c>
      <c r="W6" s="230">
        <f>((1 - $K$53)^0.35 * $A$183^0.3) / ($A$182^0.35 + $A$183^0.3)</f>
        <v>0.39145861282807365</v>
      </c>
      <c r="X6" s="236">
        <f>1-($A$182^0.35/($A$182^0.35+$A$183^0.35))^($A$186^0.3)</f>
        <v>0.49123114886121921</v>
      </c>
      <c r="Y6" s="236">
        <f>1-(($A$183^0.2)/(($A$182^0.2)+($A$183^0.5)))^($A$186^0.3)</f>
        <v>0.47647969022949799</v>
      </c>
      <c r="Z6" s="20"/>
      <c r="AC6" s="262" t="s">
        <v>45</v>
      </c>
      <c r="AD6" s="263"/>
      <c r="AE6" s="263"/>
      <c r="AF6" s="264"/>
      <c r="AO6" s="274"/>
    </row>
    <row r="7" spans="1:41" ht="31.5" customHeight="1">
      <c r="A7" s="525" t="s">
        <v>297</v>
      </c>
      <c r="B7" s="490"/>
      <c r="C7" s="525" t="s">
        <v>298</v>
      </c>
      <c r="D7" s="490"/>
      <c r="E7" s="22"/>
      <c r="G7" s="1"/>
      <c r="H7" s="523"/>
      <c r="I7" s="495"/>
      <c r="J7" s="495"/>
      <c r="K7" s="495"/>
      <c r="L7" s="495"/>
      <c r="M7" s="524"/>
      <c r="O7" s="17" t="s">
        <v>50</v>
      </c>
      <c r="P7" s="18">
        <f>((0.3*$D$77)+(0.4*$F$77)+(0.3*$H$77))/1.7</f>
        <v>0.33568907563025213</v>
      </c>
      <c r="Q7" s="19">
        <f>0.55*$A$178/(0.55*$A$178+ 0.45*$A$180)</f>
        <v>0.55724213606437456</v>
      </c>
      <c r="R7" s="19">
        <f>0.5*$A$180/(0.5*$A$178+0.5*$A$180)</f>
        <v>0.49267399267399264</v>
      </c>
      <c r="S7" s="19">
        <f>(0.4*$A$178*0.3*$A$180) / ((0.2*$A$179*0.1*$A$181) + (0.4*$A$178*0.3*$A$180))</f>
        <v>0.88540875180467093</v>
      </c>
      <c r="T7" s="19">
        <f>1-$K$265</f>
        <v>0.11459124819532907</v>
      </c>
      <c r="U7" s="18">
        <f>(0.3*$D$46)+(0.4*$F$46)+(0.3*$H$46)</f>
        <v>0.66223214821964871</v>
      </c>
      <c r="V7" s="230">
        <f>((1 - $K$55)^0.4 * $A$182^0.3) / ($A$182^0.3 + $A$183^0.3)</f>
        <v>0.32611211290750292</v>
      </c>
      <c r="W7" s="230">
        <f>((1 - $K$55)^0.4 * $A$183^0.3) / ($A$182^0.3 + $A$183^0.3)</f>
        <v>0.32169740518049517</v>
      </c>
      <c r="X7" s="236">
        <f>1-($A$182^0.45/($A$182^0.45+$A$183^0.45))^($A$186^0.1)</f>
        <v>0.49329043453802601</v>
      </c>
      <c r="Y7" s="236">
        <f>1-(($A$183^0.4)/(($A$182^0.4)+($A$183^0.2)))^($A$186^0.4)</f>
        <v>0.51196026033353026</v>
      </c>
      <c r="Z7" s="20"/>
      <c r="AC7" s="262" t="s">
        <v>51</v>
      </c>
      <c r="AD7" s="263"/>
      <c r="AE7" s="263"/>
      <c r="AF7" s="264"/>
      <c r="AO7" s="274"/>
    </row>
    <row r="8" spans="1:41" ht="31.5" customHeight="1" thickBot="1">
      <c r="A8" s="491"/>
      <c r="B8" s="492"/>
      <c r="C8" s="491"/>
      <c r="D8" s="492"/>
      <c r="E8" s="23"/>
      <c r="F8" s="24"/>
      <c r="H8" s="25"/>
      <c r="I8" s="26"/>
      <c r="J8" s="26"/>
      <c r="K8" s="26"/>
      <c r="L8" s="26"/>
      <c r="M8" s="27"/>
      <c r="O8" s="17" t="s">
        <v>54</v>
      </c>
      <c r="P8" s="18">
        <f>((0.2*$D$77)+(0.5*$F$77)+(0.3*$H$77))/1.7</f>
        <v>0.34068907563025208</v>
      </c>
      <c r="Q8" s="19">
        <f>0.5*$A$178/(0.5*$A$178+ 0.5* $A$180)</f>
        <v>0.5073260073260073</v>
      </c>
      <c r="R8" s="19">
        <f>0.48*$A$180/(0.52*$A$178+0.48*$A$180)</f>
        <v>0.47268999853565674</v>
      </c>
      <c r="S8" s="19">
        <f>(0.45*$A$178*0.3*$A$180) / ((0.15*$A$179*0.1*$A$181) + (0.45*$A$178*0.3*$A$180))</f>
        <v>0.92057191333903154</v>
      </c>
      <c r="T8" s="19">
        <f>1-$K$267</f>
        <v>7.9428086660968455E-2</v>
      </c>
      <c r="U8" s="18">
        <f>(0.4*$D$46)+(0.4*$F$46)+(0.2*$H$46)</f>
        <v>0.73991071964822019</v>
      </c>
      <c r="V8" s="230">
        <f>((1 - $K$57)^0.45 * $A$182^0.35) / ($A$182^0.35 + $A$183^0.2)</f>
        <v>0.26912196073081546</v>
      </c>
      <c r="W8" s="230">
        <f>((1 - $K$57)^0.45 * $A$183^0.35) / ($A$182^0.2 + $A$183^0.35)</f>
        <v>0.26571548039481213</v>
      </c>
      <c r="X8" s="236">
        <f>1-($A$182^0.5/($A$182^0.5+$A$183^0.4))^($A$186^0.1)</f>
        <v>0.49980515693677663</v>
      </c>
      <c r="Y8" s="236">
        <f>1-(($A$183^0.3)/(($A$182^0.3)+($A$183^0.3)))^($A$186^0.4)</f>
        <v>0.49697792106778882</v>
      </c>
      <c r="Z8" s="20"/>
      <c r="AC8" s="262" t="s">
        <v>55</v>
      </c>
      <c r="AD8" s="263"/>
      <c r="AE8" s="263"/>
      <c r="AF8" s="264"/>
    </row>
    <row r="9" spans="1:41" ht="31.5" customHeight="1" thickBot="1">
      <c r="A9" s="28"/>
      <c r="B9" s="29"/>
      <c r="C9" s="29"/>
      <c r="D9" s="28"/>
      <c r="F9" s="30"/>
      <c r="H9" s="31" t="s">
        <v>57</v>
      </c>
      <c r="I9" s="32"/>
      <c r="J9" s="32"/>
      <c r="K9" s="32"/>
      <c r="L9" s="32"/>
      <c r="M9" s="33"/>
      <c r="O9" s="17" t="s">
        <v>58</v>
      </c>
      <c r="P9" s="18">
        <f>((0.5*$D$77)+(0.4*$F$77)+(0.1*$H$77))/1.7</f>
        <v>0.32326890756302523</v>
      </c>
      <c r="Q9" s="19">
        <f>0.45*$A$178/(0.45*$A$178+ 0.55* $A$180)</f>
        <v>0.45726338958180479</v>
      </c>
      <c r="R9" s="19">
        <f>0.65*$A$180/(0.35*$A$178+0.65*$A$180)</f>
        <v>0.64330389992641646</v>
      </c>
      <c r="S9" s="19">
        <f>(0.2*$A$178*0.15*$A$180) / ((0.35*$A$179*0.3*$A$181) + (0.2*$A$178*0.15*$A$180))</f>
        <v>0.26897200231263529</v>
      </c>
      <c r="T9" s="19">
        <f>1-$K$269</f>
        <v>0.73102799768736471</v>
      </c>
      <c r="U9" s="18">
        <f>(0.2*$D$46)+(0.3*$F$46)+(0.5*$H$46)</f>
        <v>0.50180803973616517</v>
      </c>
      <c r="V9" s="230">
        <f>((1 - $K$59)^0.3 * $A$182^0.35) / ($A$182^0.35 + $A$183^0.35)</f>
        <v>0.4089104969532994</v>
      </c>
      <c r="W9" s="230">
        <f>((1 - $K$59)^0.3 * $A$183^0.35) / ($A$182^0.35 + $A$183^0.35)</f>
        <v>0.4024596311381935</v>
      </c>
      <c r="X9" s="236">
        <f>1-($A$182^0.3/($A$182^0.3+$A$183^0.3))^($A$186^0.4)</f>
        <v>0.4902025770614441</v>
      </c>
      <c r="Y9" s="236">
        <f>1-(($A$183^0.25)/(($A$182^0.25)+($A$183^0.35)))^($A$186^0.4)</f>
        <v>0.48944315295810792</v>
      </c>
      <c r="Z9" s="20"/>
      <c r="AC9" s="262" t="s">
        <v>22</v>
      </c>
      <c r="AD9" s="263"/>
      <c r="AE9" s="263"/>
      <c r="AF9" s="264"/>
    </row>
    <row r="10" spans="1:41" ht="30.75" customHeight="1">
      <c r="A10" s="509" t="s">
        <v>60</v>
      </c>
      <c r="B10" s="475"/>
      <c r="C10" s="509" t="s">
        <v>61</v>
      </c>
      <c r="D10" s="475"/>
      <c r="E10" s="509" t="s">
        <v>62</v>
      </c>
      <c r="F10" s="475"/>
      <c r="I10" s="35" t="s">
        <v>63</v>
      </c>
      <c r="J10" s="34">
        <f>'Consulta IA'!B8</f>
        <v>0</v>
      </c>
      <c r="P10" s="281" t="s">
        <v>16</v>
      </c>
      <c r="Q10" s="277" t="s">
        <v>17</v>
      </c>
      <c r="R10" s="277" t="s">
        <v>18</v>
      </c>
      <c r="S10" s="278" t="s">
        <v>299</v>
      </c>
      <c r="T10" s="278" t="s">
        <v>65</v>
      </c>
      <c r="U10" s="277" t="s">
        <v>66</v>
      </c>
      <c r="V10" s="277" t="s">
        <v>22</v>
      </c>
      <c r="W10" s="277" t="s">
        <v>23</v>
      </c>
      <c r="X10" s="277" t="s">
        <v>24</v>
      </c>
      <c r="Y10" s="282" t="s">
        <v>25</v>
      </c>
      <c r="AC10" s="262" t="s">
        <v>23</v>
      </c>
      <c r="AD10" s="263"/>
      <c r="AE10" s="263"/>
      <c r="AF10" s="264"/>
    </row>
    <row r="11" spans="1:41" ht="29.25" customHeight="1">
      <c r="A11" s="503" t="s">
        <v>68</v>
      </c>
      <c r="B11" s="475"/>
      <c r="C11" s="535">
        <f>$A$190</f>
        <v>0.27530260469790729</v>
      </c>
      <c r="D11" s="475"/>
      <c r="E11" s="535">
        <f>$A$191</f>
        <v>0.2630746971288378</v>
      </c>
      <c r="F11" s="475"/>
      <c r="G11" s="35" t="s">
        <v>69</v>
      </c>
      <c r="N11" s="37"/>
      <c r="O11" s="11" t="s">
        <v>70</v>
      </c>
      <c r="P11" s="283">
        <f>IF(M3=1,P3,IF(M3=2,P4,IF(M3=3,P5,IF(M3=4,P6,IF(M3=5,P7,IF(M3=6,P8,IF(M3=7,P9,P4)))))))</f>
        <v>0.33447899159663869</v>
      </c>
      <c r="Q11" s="284">
        <f>IF(M3=1,Q3,IF(M3=2,Q4,IF(M3=3,Q5,IF(M3=4,Q6,IF(M3=5,Q7,IF(M3=6,Q8,IF(M3=7,Q9,Q4)))))))</f>
        <v>0.70611798980335028</v>
      </c>
      <c r="R11" s="284">
        <f>IF(M3=1,R3,IF(M3=2,R4,IF(M3=3,R5,IF(M3=4,R6,IF(M3=5,R7,IF(M3=6,R8,IF(M3=7,R9,R4)))))))</f>
        <v>0.29388201019664972</v>
      </c>
      <c r="S11" s="284">
        <f>IF(M3=1,S3,IF(M3=2,S4,IF(M3=3,S5,IF(M3=4,S6,IF(M3=5,S7,IF(M3=6,S8,IF(M3=7,S9,S4)))))))</f>
        <v>0.86557137104268622</v>
      </c>
      <c r="T11" s="284">
        <f>IF(M3=1,T3,IF(M3=2,T4,IF(M3=3,T5,IF(M3=4,T6,IF(M3=5,T7,IF(M3=6,T8,IF(M3=7,T9,T4)))))))</f>
        <v>0.13442862895731378</v>
      </c>
      <c r="U11" s="284">
        <f>IF(M3=1,U3,IF(M3=2,U4,IF(M3=3,U5,IF(M3=4,U6,IF(M3=5,U7,IF(M3=6,U8,IF(M3=7,U9,U4)))))))</f>
        <v>0.74497768527456087</v>
      </c>
      <c r="V11" s="284">
        <f>IF(M3=1,V3,IF(M3=2,V4,IF(M3=3,V5,IF(M3=4,V6,IF(M3=5,V7,IF(M3=6,V8,IF(M3=7,V9,V4)))))))</f>
        <v>0.24405146747497974</v>
      </c>
      <c r="W11" s="284">
        <f>IF(M3=1,W3,IF(M3=2,W4,IF(M3=3,W5,IF(M3=4,W6,IF(M3=5,W7,IF(M3=6,W8,IF(M3=7,W9,W4)))))))</f>
        <v>0.24118795417306507</v>
      </c>
      <c r="X11" s="284">
        <f>IF(M3=1,X3,IF(M3=2,X4,IF(M3=3,X5,IF(M3=4,X6,IF(M3=5,X7,IF(M3=6,X8,IF(M3=7,X9,X4)))))))</f>
        <v>0.51283213084876267</v>
      </c>
      <c r="Y11" s="285">
        <f>IF(M3=1,Y3,IF(M3=2,Y4,IF(M3=3,Y5,IF(M3=4,Y6,IF(M3=5,Y7,IF(M3=6,Y8,IF(M3=7,Y9,Y4)))))))</f>
        <v>0.51098832052517063</v>
      </c>
      <c r="AC11" s="262" t="s">
        <v>24</v>
      </c>
      <c r="AD11" s="263"/>
      <c r="AE11" s="263"/>
      <c r="AF11" s="264"/>
    </row>
    <row r="12" spans="1:41" ht="31.5" customHeight="1">
      <c r="A12" s="509" t="s">
        <v>72</v>
      </c>
      <c r="B12" s="475"/>
      <c r="C12" s="510">
        <f>$A$192</f>
        <v>0.5073260073260073</v>
      </c>
      <c r="D12" s="475"/>
      <c r="E12" s="510">
        <f>$A$193</f>
        <v>0.49267399267399264</v>
      </c>
      <c r="F12" s="475"/>
      <c r="I12" t="s">
        <v>73</v>
      </c>
      <c r="J12" s="39" t="s">
        <v>74</v>
      </c>
      <c r="P12" s="277" t="s">
        <v>16</v>
      </c>
      <c r="Q12" s="279" t="s">
        <v>17</v>
      </c>
      <c r="R12" s="272" t="s">
        <v>18</v>
      </c>
      <c r="S12" s="280" t="s">
        <v>19</v>
      </c>
      <c r="T12" s="278" t="s">
        <v>20</v>
      </c>
      <c r="U12" s="272" t="s">
        <v>21</v>
      </c>
      <c r="V12" s="272" t="s">
        <v>22</v>
      </c>
      <c r="W12" s="272" t="s">
        <v>23</v>
      </c>
      <c r="X12" s="272" t="s">
        <v>24</v>
      </c>
      <c r="Y12" s="272" t="s">
        <v>25</v>
      </c>
      <c r="AC12" s="262" t="s">
        <v>25</v>
      </c>
      <c r="AD12" s="263"/>
      <c r="AE12" s="263"/>
      <c r="AF12" s="264"/>
    </row>
    <row r="13" spans="1:41" ht="27" customHeight="1">
      <c r="A13" s="40" t="s">
        <v>76</v>
      </c>
      <c r="N13" s="41"/>
      <c r="O13" s="41"/>
      <c r="P13" s="38"/>
      <c r="Q13" s="276"/>
      <c r="R13" s="38"/>
      <c r="S13" s="38"/>
      <c r="T13" s="38"/>
      <c r="U13" s="38"/>
      <c r="V13" s="38"/>
      <c r="W13" s="38"/>
      <c r="X13" s="38"/>
      <c r="Y13" s="38"/>
    </row>
    <row r="14" spans="1:41" ht="44.25" customHeight="1">
      <c r="A14" s="43" t="s">
        <v>77</v>
      </c>
      <c r="B14" s="43" t="s">
        <v>78</v>
      </c>
      <c r="C14" s="44" t="s">
        <v>79</v>
      </c>
      <c r="D14" s="45" t="s">
        <v>80</v>
      </c>
      <c r="E14" s="44" t="s">
        <v>81</v>
      </c>
      <c r="F14" s="45" t="s">
        <v>82</v>
      </c>
      <c r="G14" s="45" t="s">
        <v>83</v>
      </c>
      <c r="H14" s="45" t="s">
        <v>84</v>
      </c>
      <c r="I14" s="45" t="s">
        <v>85</v>
      </c>
      <c r="J14" s="44" t="s">
        <v>86</v>
      </c>
      <c r="K14" s="45" t="s">
        <v>87</v>
      </c>
      <c r="L14" s="45" t="s">
        <v>88</v>
      </c>
      <c r="M14" s="45" t="s">
        <v>89</v>
      </c>
      <c r="N14" s="46" t="s">
        <v>90</v>
      </c>
      <c r="O14" s="47" t="s">
        <v>91</v>
      </c>
      <c r="P14" s="44" t="s">
        <v>92</v>
      </c>
      <c r="Q14" s="44" t="s">
        <v>93</v>
      </c>
      <c r="R14" s="44" t="s">
        <v>94</v>
      </c>
      <c r="S14" s="44" t="s">
        <v>95</v>
      </c>
      <c r="T14" s="44" t="s">
        <v>96</v>
      </c>
      <c r="U14" s="44" t="s">
        <v>97</v>
      </c>
      <c r="V14" s="44" t="s">
        <v>98</v>
      </c>
      <c r="W14" s="48"/>
      <c r="X14" s="48"/>
      <c r="Y14" s="48"/>
      <c r="Z14" s="48"/>
      <c r="AA14" s="49"/>
      <c r="AH14" s="23"/>
      <c r="AI14" s="23"/>
      <c r="AJ14" s="23"/>
    </row>
    <row r="15" spans="1:41" ht="30.75" customHeight="1" thickBot="1">
      <c r="A15" s="10">
        <v>12</v>
      </c>
      <c r="B15" s="10" t="s">
        <v>99</v>
      </c>
      <c r="C15" s="50" t="str">
        <f>$A$7</f>
        <v>Genoa</v>
      </c>
      <c r="D15" s="69">
        <v>28</v>
      </c>
      <c r="E15" s="69">
        <v>7</v>
      </c>
      <c r="F15" s="69">
        <v>11</v>
      </c>
      <c r="G15" s="69">
        <v>10</v>
      </c>
      <c r="H15" s="69">
        <v>26</v>
      </c>
      <c r="I15" s="69">
        <v>36</v>
      </c>
      <c r="J15" s="69">
        <v>-10</v>
      </c>
      <c r="K15" s="69">
        <v>32</v>
      </c>
      <c r="L15" s="70">
        <v>1.1399999999999999</v>
      </c>
      <c r="M15" s="245">
        <v>0.32</v>
      </c>
      <c r="N15" s="246">
        <v>0.46</v>
      </c>
      <c r="O15" s="69">
        <v>1.18</v>
      </c>
      <c r="P15" s="52">
        <v>0.11</v>
      </c>
      <c r="Q15" s="52">
        <v>0.28999999999999998</v>
      </c>
      <c r="R15" s="52">
        <v>0.64</v>
      </c>
      <c r="S15" s="52">
        <v>0.89</v>
      </c>
      <c r="T15" s="246">
        <v>0.71</v>
      </c>
      <c r="U15" s="246">
        <v>0.36</v>
      </c>
      <c r="V15" s="261">
        <v>2.21</v>
      </c>
      <c r="W15" s="53"/>
      <c r="X15" s="53"/>
      <c r="Y15" s="53"/>
      <c r="Z15" s="53"/>
      <c r="AA15" s="54"/>
    </row>
    <row r="16" spans="1:41" ht="42.75" customHeight="1">
      <c r="A16" s="10"/>
      <c r="B16" s="55"/>
      <c r="C16" s="44" t="s">
        <v>79</v>
      </c>
      <c r="D16" s="47" t="s">
        <v>100</v>
      </c>
      <c r="E16" s="47" t="s">
        <v>101</v>
      </c>
      <c r="F16" s="47" t="s">
        <v>102</v>
      </c>
      <c r="G16" s="56" t="s">
        <v>103</v>
      </c>
      <c r="H16" s="47" t="s">
        <v>104</v>
      </c>
      <c r="I16" s="56" t="s">
        <v>105</v>
      </c>
      <c r="J16" s="57"/>
      <c r="K16" s="57"/>
      <c r="L16" s="57"/>
      <c r="M16" s="57"/>
      <c r="N16" s="57"/>
      <c r="O16" s="57"/>
      <c r="P16" s="57"/>
      <c r="Q16" s="57"/>
      <c r="R16" s="57"/>
      <c r="S16" s="57"/>
      <c r="T16" s="57"/>
      <c r="U16" s="57"/>
      <c r="V16" s="57"/>
      <c r="W16" s="58"/>
      <c r="X16" s="58"/>
      <c r="Y16" s="58"/>
      <c r="Z16" s="58"/>
      <c r="AA16" s="59"/>
    </row>
    <row r="17" spans="1:43" ht="30.75" customHeight="1" thickBot="1">
      <c r="A17" s="10">
        <v>15</v>
      </c>
      <c r="B17" s="60" t="s">
        <v>106</v>
      </c>
      <c r="C17" s="469">
        <v>28</v>
      </c>
      <c r="D17" s="469">
        <v>1.18</v>
      </c>
      <c r="E17" s="469">
        <v>1.37</v>
      </c>
      <c r="F17" s="469">
        <v>-0.19</v>
      </c>
      <c r="G17" s="469">
        <v>0.93</v>
      </c>
      <c r="H17" s="469">
        <v>1.29</v>
      </c>
      <c r="I17" s="470">
        <v>-0.25</v>
      </c>
      <c r="J17" s="61"/>
      <c r="K17" s="43"/>
      <c r="L17" s="43"/>
      <c r="M17" s="43"/>
      <c r="N17" s="43"/>
      <c r="O17" s="43"/>
      <c r="P17" s="43"/>
      <c r="Q17" s="43"/>
      <c r="R17" s="43"/>
      <c r="S17" s="43"/>
      <c r="T17" s="43"/>
      <c r="U17" s="43"/>
      <c r="V17" s="43"/>
      <c r="W17" s="62"/>
      <c r="X17" s="62"/>
      <c r="Y17" s="62"/>
      <c r="Z17" s="62"/>
      <c r="AA17" s="63"/>
    </row>
    <row r="18" spans="1:43" ht="30.75" customHeight="1">
      <c r="A18" s="64"/>
      <c r="B18" s="65"/>
      <c r="C18" s="66"/>
      <c r="D18" s="65"/>
      <c r="E18" s="65"/>
      <c r="F18" s="65"/>
      <c r="G18" s="65"/>
      <c r="H18" s="65"/>
      <c r="I18" s="65"/>
      <c r="J18" s="65"/>
      <c r="K18" s="65"/>
      <c r="L18" s="65"/>
      <c r="M18" s="65"/>
      <c r="N18" s="67"/>
      <c r="O18" s="65"/>
      <c r="P18" s="65"/>
      <c r="Q18" s="65"/>
      <c r="R18" s="65"/>
      <c r="S18" s="65"/>
      <c r="T18" s="65"/>
      <c r="U18" s="65"/>
      <c r="V18" s="65"/>
      <c r="W18" s="65"/>
      <c r="X18" s="65"/>
      <c r="Y18" s="65"/>
      <c r="Z18" s="65"/>
      <c r="AA18" s="59"/>
    </row>
    <row r="19" spans="1:43" ht="30.75" customHeight="1">
      <c r="A19" s="68" t="s">
        <v>107</v>
      </c>
      <c r="B19" s="58"/>
      <c r="C19" s="62"/>
      <c r="D19" s="58"/>
      <c r="E19" s="58"/>
      <c r="F19" s="58"/>
      <c r="G19" s="58"/>
      <c r="H19" s="58"/>
      <c r="I19" s="58"/>
      <c r="J19" s="58"/>
      <c r="K19" s="58"/>
      <c r="L19" s="58"/>
      <c r="M19" s="58"/>
      <c r="N19" s="58"/>
      <c r="O19" s="58"/>
      <c r="P19" s="58"/>
      <c r="Q19" s="58"/>
      <c r="R19" s="58"/>
      <c r="S19" s="58"/>
      <c r="T19" s="58"/>
      <c r="U19" s="58"/>
      <c r="V19" s="58"/>
      <c r="W19" s="58"/>
      <c r="X19" s="58"/>
      <c r="Y19" s="58"/>
      <c r="Z19" s="58"/>
      <c r="AA19" s="59"/>
    </row>
    <row r="20" spans="1:43" ht="40.5" customHeight="1">
      <c r="A20" s="43" t="s">
        <v>77</v>
      </c>
      <c r="B20" s="43" t="s">
        <v>78</v>
      </c>
      <c r="C20" s="44" t="s">
        <v>108</v>
      </c>
      <c r="D20" s="45" t="s">
        <v>80</v>
      </c>
      <c r="E20" s="44" t="s">
        <v>81</v>
      </c>
      <c r="F20" s="45" t="s">
        <v>82</v>
      </c>
      <c r="G20" s="45" t="s">
        <v>83</v>
      </c>
      <c r="H20" s="45" t="s">
        <v>84</v>
      </c>
      <c r="I20" s="45" t="s">
        <v>85</v>
      </c>
      <c r="J20" s="44" t="s">
        <v>86</v>
      </c>
      <c r="K20" s="45" t="s">
        <v>87</v>
      </c>
      <c r="L20" s="45" t="s">
        <v>88</v>
      </c>
      <c r="M20" s="45" t="s">
        <v>89</v>
      </c>
      <c r="N20" s="46" t="s">
        <v>90</v>
      </c>
      <c r="O20" s="45" t="s">
        <v>91</v>
      </c>
      <c r="P20" s="44" t="s">
        <v>92</v>
      </c>
      <c r="Q20" s="44" t="s">
        <v>93</v>
      </c>
      <c r="R20" s="44" t="s">
        <v>94</v>
      </c>
      <c r="S20" s="44" t="s">
        <v>95</v>
      </c>
      <c r="T20" s="44" t="s">
        <v>96</v>
      </c>
      <c r="U20" s="44" t="s">
        <v>97</v>
      </c>
      <c r="V20" s="44" t="s">
        <v>98</v>
      </c>
      <c r="W20" s="48"/>
      <c r="X20" s="48"/>
      <c r="Y20" s="48"/>
      <c r="Z20" s="48"/>
      <c r="AA20" s="49"/>
      <c r="AJ20" s="40" t="s">
        <v>109</v>
      </c>
    </row>
    <row r="21" spans="1:43" ht="30.75" customHeight="1" thickBot="1">
      <c r="A21" s="10">
        <v>16</v>
      </c>
      <c r="B21" s="10" t="s">
        <v>99</v>
      </c>
      <c r="C21" s="50" t="str">
        <f>$C$7</f>
        <v>Lecce</v>
      </c>
      <c r="D21" s="51">
        <v>28</v>
      </c>
      <c r="E21" s="51">
        <v>6</v>
      </c>
      <c r="F21" s="51">
        <v>7</v>
      </c>
      <c r="G21" s="51">
        <v>15</v>
      </c>
      <c r="H21" s="51">
        <v>20</v>
      </c>
      <c r="I21" s="51">
        <v>46</v>
      </c>
      <c r="J21" s="51">
        <v>-26</v>
      </c>
      <c r="K21" s="51">
        <v>25</v>
      </c>
      <c r="L21" s="466">
        <v>0.89</v>
      </c>
      <c r="M21" s="467">
        <v>0.25</v>
      </c>
      <c r="N21" s="468">
        <v>0.36</v>
      </c>
      <c r="O21" s="51">
        <v>1.23</v>
      </c>
      <c r="P21" s="52">
        <v>0.14000000000000001</v>
      </c>
      <c r="Q21" s="52">
        <v>0.43</v>
      </c>
      <c r="R21" s="52">
        <v>0.56999999999999995</v>
      </c>
      <c r="S21" s="52">
        <v>0.86</v>
      </c>
      <c r="T21" s="468">
        <v>0.56999999999999995</v>
      </c>
      <c r="U21" s="468">
        <v>0.43</v>
      </c>
      <c r="V21" s="71">
        <v>2.36</v>
      </c>
      <c r="W21" s="53"/>
      <c r="X21" s="53"/>
      <c r="Y21" s="53"/>
      <c r="Z21" s="53"/>
      <c r="AA21" s="54"/>
      <c r="AH21" s="248" t="s">
        <v>110</v>
      </c>
      <c r="AI21" s="249"/>
      <c r="AJ21" s="249"/>
      <c r="AK21" s="249"/>
      <c r="AL21" s="247"/>
    </row>
    <row r="22" spans="1:43" ht="45" customHeight="1">
      <c r="A22" s="10"/>
      <c r="B22" s="55"/>
      <c r="C22" s="44" t="s">
        <v>108</v>
      </c>
      <c r="D22" s="47" t="s">
        <v>100</v>
      </c>
      <c r="E22" s="47" t="s">
        <v>101</v>
      </c>
      <c r="F22" s="47" t="s">
        <v>102</v>
      </c>
      <c r="G22" s="56" t="s">
        <v>103</v>
      </c>
      <c r="H22" s="47" t="s">
        <v>104</v>
      </c>
      <c r="I22" s="56" t="s">
        <v>105</v>
      </c>
      <c r="J22" s="57"/>
      <c r="K22" s="57"/>
      <c r="L22" s="57"/>
      <c r="M22" s="57"/>
      <c r="N22" s="57"/>
      <c r="O22" s="57"/>
      <c r="P22" s="57"/>
      <c r="Q22" s="57"/>
      <c r="R22" s="57"/>
      <c r="S22" s="57"/>
      <c r="T22" s="57"/>
      <c r="U22" s="57"/>
      <c r="V22" s="57"/>
      <c r="W22" s="58"/>
      <c r="X22" s="58"/>
      <c r="Y22" s="58"/>
      <c r="Z22" s="58"/>
      <c r="AA22" s="59"/>
    </row>
    <row r="23" spans="1:43" ht="30.75" customHeight="1" thickBot="1">
      <c r="A23" s="10">
        <v>13</v>
      </c>
      <c r="B23" s="60" t="s">
        <v>106</v>
      </c>
      <c r="C23" s="51">
        <v>28</v>
      </c>
      <c r="D23" s="51">
        <v>1.23</v>
      </c>
      <c r="E23" s="51">
        <v>1.53</v>
      </c>
      <c r="F23" s="51">
        <v>-0.3</v>
      </c>
      <c r="G23" s="51">
        <v>0.71</v>
      </c>
      <c r="H23" s="51">
        <v>1.64</v>
      </c>
      <c r="I23" s="71">
        <v>-0.52</v>
      </c>
      <c r="K23" s="43"/>
      <c r="L23" s="43"/>
      <c r="M23" s="43"/>
      <c r="N23" s="43"/>
      <c r="O23" s="43"/>
      <c r="P23" s="43"/>
      <c r="Q23" s="43"/>
      <c r="R23" s="43"/>
      <c r="S23" s="43"/>
      <c r="T23" s="43"/>
      <c r="U23" s="43"/>
      <c r="V23" s="43"/>
      <c r="W23" s="62"/>
      <c r="X23" s="62"/>
      <c r="Y23" s="62"/>
      <c r="Z23" s="62"/>
      <c r="AA23" s="63"/>
      <c r="AC23" s="3" t="str">
        <f>$H$4</f>
        <v>Genoa vs Lecce</v>
      </c>
    </row>
    <row r="24" spans="1:43" ht="23.25" customHeight="1">
      <c r="AC24" s="519"/>
      <c r="AD24" s="520"/>
      <c r="AE24" s="520"/>
      <c r="AF24" s="520"/>
      <c r="AH24" s="519"/>
      <c r="AI24" s="520"/>
      <c r="AJ24" s="520"/>
      <c r="AK24" s="520"/>
      <c r="AL24" s="520"/>
      <c r="AM24" s="520"/>
      <c r="AN24" s="562"/>
      <c r="AO24" s="563"/>
      <c r="AP24" s="520"/>
      <c r="AQ24" s="520"/>
    </row>
    <row r="25" spans="1:43" ht="23.25" customHeight="1">
      <c r="AC25" s="520"/>
      <c r="AD25" s="520"/>
      <c r="AE25" s="520"/>
      <c r="AF25" s="520"/>
      <c r="AH25" s="520"/>
      <c r="AI25" s="520"/>
      <c r="AJ25" s="520"/>
      <c r="AK25" s="520"/>
      <c r="AL25" s="520"/>
      <c r="AM25" s="520"/>
      <c r="AN25" s="562"/>
      <c r="AO25" s="563"/>
      <c r="AP25" s="520"/>
      <c r="AQ25" s="520"/>
    </row>
    <row r="26" spans="1:43" ht="23.25" customHeight="1">
      <c r="F26" s="271" t="s">
        <v>113</v>
      </c>
      <c r="AC26" s="520"/>
      <c r="AD26" s="520"/>
      <c r="AE26" s="520"/>
      <c r="AF26" s="520"/>
      <c r="AH26" s="520"/>
      <c r="AI26" s="520"/>
      <c r="AJ26" s="520"/>
      <c r="AK26" s="520"/>
      <c r="AL26" s="520"/>
      <c r="AM26" s="520"/>
      <c r="AN26" s="562"/>
      <c r="AO26" s="563"/>
      <c r="AP26" s="520"/>
      <c r="AQ26" s="520"/>
    </row>
    <row r="27" spans="1:43" s="72" customFormat="1" ht="27.75" customHeight="1">
      <c r="F27" s="270" t="s">
        <v>114</v>
      </c>
      <c r="G27" s="73"/>
      <c r="H27" s="73"/>
      <c r="I27" s="73"/>
      <c r="J27" s="73"/>
      <c r="K27" s="73"/>
      <c r="L27" s="73"/>
      <c r="M27" s="73"/>
      <c r="N27" s="73"/>
      <c r="O27" s="73"/>
      <c r="P27" s="73"/>
      <c r="Q27" s="73"/>
      <c r="R27" s="73"/>
      <c r="S27" s="73"/>
      <c r="AA27" s="2"/>
      <c r="AC27" s="521"/>
      <c r="AD27" s="521"/>
      <c r="AE27" s="521"/>
      <c r="AF27" s="521"/>
      <c r="AH27" s="521"/>
      <c r="AI27" s="521"/>
      <c r="AJ27" s="521"/>
      <c r="AK27" s="521"/>
      <c r="AL27" s="521"/>
      <c r="AM27" s="521"/>
      <c r="AN27" s="521"/>
      <c r="AO27" s="521"/>
      <c r="AP27" s="521"/>
      <c r="AQ27" s="521"/>
    </row>
    <row r="28" spans="1:43" ht="23.25" customHeight="1">
      <c r="O28" s="74"/>
      <c r="P28" s="75"/>
      <c r="Q28" s="75"/>
      <c r="AC28" s="520"/>
      <c r="AD28" s="520"/>
      <c r="AE28" s="520"/>
      <c r="AF28" s="520"/>
      <c r="AH28" s="520"/>
      <c r="AI28" s="520"/>
      <c r="AJ28" s="520"/>
      <c r="AK28" s="520"/>
      <c r="AL28" s="520"/>
      <c r="AM28" s="520"/>
      <c r="AN28" s="562"/>
      <c r="AO28" s="563"/>
      <c r="AP28" s="520"/>
      <c r="AQ28" s="520"/>
    </row>
    <row r="29" spans="1:43" ht="21" customHeight="1">
      <c r="B29" s="252" t="s">
        <v>115</v>
      </c>
      <c r="I29" s="76"/>
      <c r="T29" s="34"/>
      <c r="U29" s="34"/>
      <c r="AC29" s="520"/>
      <c r="AD29" s="520"/>
      <c r="AE29" s="520"/>
      <c r="AF29" s="520"/>
      <c r="AH29" s="520"/>
      <c r="AI29" s="520"/>
      <c r="AJ29" s="520"/>
      <c r="AK29" s="520"/>
      <c r="AL29" s="520"/>
      <c r="AM29" s="520"/>
      <c r="AN29" s="562"/>
      <c r="AO29" s="563"/>
      <c r="AP29" s="520"/>
      <c r="AQ29" s="520"/>
    </row>
    <row r="30" spans="1:43" ht="15" customHeight="1">
      <c r="B30" s="77"/>
      <c r="C30" s="517"/>
      <c r="D30" s="517"/>
      <c r="I30" s="78"/>
      <c r="T30" s="34"/>
      <c r="U30" s="34"/>
      <c r="AC30" s="520"/>
      <c r="AD30" s="520"/>
      <c r="AE30" s="520"/>
      <c r="AF30" s="520"/>
      <c r="AH30" s="520"/>
      <c r="AI30" s="520"/>
      <c r="AJ30" s="520"/>
      <c r="AK30" s="520"/>
      <c r="AL30" s="520"/>
      <c r="AM30" s="520"/>
      <c r="AN30" s="562"/>
      <c r="AO30" s="563"/>
      <c r="AP30" s="520"/>
      <c r="AQ30" s="520"/>
    </row>
    <row r="31" spans="1:43" ht="21" customHeight="1">
      <c r="B31" s="79" t="s">
        <v>116</v>
      </c>
      <c r="C31" s="520"/>
      <c r="D31" s="520"/>
      <c r="I31" s="80"/>
      <c r="T31" s="34"/>
      <c r="U31" s="34"/>
      <c r="AC31" s="520"/>
      <c r="AD31" s="520"/>
      <c r="AE31" s="520"/>
      <c r="AF31" s="520"/>
      <c r="AH31" s="520"/>
      <c r="AI31" s="520"/>
      <c r="AJ31" s="520"/>
      <c r="AK31" s="520"/>
      <c r="AL31" s="520"/>
      <c r="AM31" s="520"/>
      <c r="AN31" s="562"/>
      <c r="AO31" s="563"/>
      <c r="AP31" s="520"/>
      <c r="AQ31" s="520"/>
    </row>
    <row r="32" spans="1:43" ht="37.5" customHeight="1">
      <c r="B32" s="253" t="s">
        <v>26</v>
      </c>
      <c r="C32" s="253" t="s">
        <v>117</v>
      </c>
      <c r="D32" s="253" t="s">
        <v>118</v>
      </c>
      <c r="E32" s="253" t="s">
        <v>117</v>
      </c>
      <c r="F32" s="253" t="s">
        <v>118</v>
      </c>
      <c r="G32" s="81"/>
      <c r="H32" s="81"/>
      <c r="I32" s="80"/>
      <c r="T32" s="34"/>
      <c r="U32" s="34"/>
      <c r="AC32" s="520"/>
      <c r="AD32" s="520"/>
      <c r="AE32" s="520"/>
      <c r="AF32" s="520"/>
      <c r="AH32" s="520"/>
      <c r="AI32" s="520"/>
      <c r="AJ32" s="520"/>
      <c r="AK32" s="520"/>
      <c r="AL32" s="520"/>
      <c r="AM32" s="520"/>
      <c r="AN32" s="562"/>
      <c r="AO32" s="563"/>
      <c r="AP32" s="520"/>
      <c r="AQ32" s="520"/>
    </row>
    <row r="33" spans="2:43" ht="31.5" customHeight="1">
      <c r="B33" s="82" t="s">
        <v>119</v>
      </c>
      <c r="C33" s="83" t="s">
        <v>120</v>
      </c>
      <c r="D33" s="83" t="s">
        <v>121</v>
      </c>
      <c r="E33" s="254">
        <f>$N$15</f>
        <v>0.46</v>
      </c>
      <c r="F33" s="254">
        <f>$N$21</f>
        <v>0.36</v>
      </c>
      <c r="G33" s="7" t="s">
        <v>122</v>
      </c>
      <c r="H33" s="477" t="s">
        <v>123</v>
      </c>
      <c r="I33" s="474"/>
      <c r="J33" s="474"/>
      <c r="K33" s="475"/>
      <c r="T33" s="34"/>
      <c r="U33" s="34"/>
      <c r="AC33" s="520"/>
      <c r="AD33" s="520"/>
      <c r="AE33" s="520"/>
      <c r="AF33" s="520"/>
      <c r="AH33" s="520"/>
      <c r="AI33" s="520"/>
      <c r="AJ33" s="520"/>
      <c r="AK33" s="520"/>
      <c r="AL33" s="520"/>
      <c r="AM33" s="520"/>
      <c r="AN33" s="562"/>
      <c r="AO33" s="563"/>
      <c r="AP33" s="520"/>
      <c r="AQ33" s="520"/>
    </row>
    <row r="34" spans="2:43" ht="31.5" customHeight="1">
      <c r="B34" s="84" t="s">
        <v>124</v>
      </c>
      <c r="C34" s="85" t="s">
        <v>125</v>
      </c>
      <c r="D34" s="85" t="s">
        <v>126</v>
      </c>
      <c r="E34" s="255">
        <f>$M$15</f>
        <v>0.32</v>
      </c>
      <c r="F34" s="255">
        <f>$M$21</f>
        <v>0.25</v>
      </c>
      <c r="G34" s="7" t="s">
        <v>127</v>
      </c>
      <c r="H34" s="477" t="s">
        <v>128</v>
      </c>
      <c r="I34" s="474"/>
      <c r="J34" s="474"/>
      <c r="K34" s="475"/>
      <c r="L34" s="86"/>
      <c r="M34" s="87"/>
      <c r="T34" s="34"/>
      <c r="U34" s="34"/>
      <c r="AC34" s="520"/>
      <c r="AD34" s="520"/>
      <c r="AE34" s="520"/>
      <c r="AF34" s="520"/>
      <c r="AH34" s="520"/>
      <c r="AI34" s="520"/>
      <c r="AJ34" s="520"/>
      <c r="AK34" s="520"/>
      <c r="AL34" s="520"/>
      <c r="AM34" s="520"/>
      <c r="AN34" s="562"/>
      <c r="AO34" s="563"/>
      <c r="AP34" s="520"/>
      <c r="AQ34" s="520"/>
    </row>
    <row r="35" spans="2:43" ht="31.5" customHeight="1">
      <c r="B35" s="84" t="s">
        <v>129</v>
      </c>
      <c r="C35" s="88" t="s">
        <v>130</v>
      </c>
      <c r="D35" s="89" t="s">
        <v>131</v>
      </c>
      <c r="E35" s="256">
        <f>$D$17</f>
        <v>1.18</v>
      </c>
      <c r="F35" s="257">
        <f>$D$23</f>
        <v>1.23</v>
      </c>
      <c r="G35" s="7" t="s">
        <v>132</v>
      </c>
      <c r="H35" s="477" t="s">
        <v>133</v>
      </c>
      <c r="I35" s="474"/>
      <c r="J35" s="474"/>
      <c r="K35" s="475"/>
      <c r="L35" s="23"/>
      <c r="M35" s="497"/>
      <c r="N35" s="495"/>
      <c r="O35" s="495"/>
      <c r="P35" s="495"/>
      <c r="Q35" s="495"/>
      <c r="T35" s="34"/>
      <c r="U35" s="34"/>
      <c r="AC35" s="520"/>
      <c r="AD35" s="520"/>
      <c r="AE35" s="520"/>
      <c r="AF35" s="520"/>
      <c r="AH35" s="520"/>
      <c r="AI35" s="520"/>
      <c r="AJ35" s="520"/>
      <c r="AK35" s="520"/>
      <c r="AL35" s="520"/>
      <c r="AM35" s="520"/>
      <c r="AN35" s="562"/>
      <c r="AO35" s="563"/>
      <c r="AP35" s="520"/>
      <c r="AQ35" s="520"/>
    </row>
    <row r="36" spans="2:43" ht="31.5" customHeight="1">
      <c r="B36" s="84" t="s">
        <v>134</v>
      </c>
      <c r="C36" s="88" t="s">
        <v>135</v>
      </c>
      <c r="D36" s="88" t="s">
        <v>136</v>
      </c>
      <c r="E36" s="256">
        <f>$E$17</f>
        <v>1.37</v>
      </c>
      <c r="F36" s="256">
        <f>$D$23</f>
        <v>1.23</v>
      </c>
      <c r="G36" s="7" t="s">
        <v>137</v>
      </c>
      <c r="H36" s="477" t="s">
        <v>138</v>
      </c>
      <c r="I36" s="474"/>
      <c r="J36" s="474"/>
      <c r="K36" s="475"/>
      <c r="L36" s="75"/>
      <c r="M36" s="502"/>
      <c r="N36" s="495"/>
      <c r="O36" s="495"/>
      <c r="P36" s="495"/>
      <c r="Q36" s="495"/>
      <c r="T36" s="34"/>
      <c r="U36" s="34"/>
      <c r="AC36" s="520"/>
      <c r="AD36" s="520"/>
      <c r="AE36" s="520"/>
      <c r="AF36" s="520"/>
      <c r="AH36" s="520"/>
      <c r="AI36" s="520"/>
      <c r="AJ36" s="520"/>
      <c r="AK36" s="520"/>
      <c r="AL36" s="520"/>
      <c r="AM36" s="520"/>
      <c r="AN36" s="562"/>
      <c r="AO36" s="563"/>
      <c r="AP36" s="520"/>
      <c r="AQ36" s="520"/>
    </row>
    <row r="37" spans="2:43" ht="31.5" customHeight="1">
      <c r="B37" s="82" t="s">
        <v>82</v>
      </c>
      <c r="C37" s="83" t="s">
        <v>139</v>
      </c>
      <c r="D37" s="83" t="s">
        <v>140</v>
      </c>
      <c r="E37" s="254">
        <f>$F$15</f>
        <v>11</v>
      </c>
      <c r="F37" s="254">
        <f>$F$21</f>
        <v>7</v>
      </c>
      <c r="G37" s="258" t="s">
        <v>82</v>
      </c>
      <c r="H37" s="477" t="s">
        <v>141</v>
      </c>
      <c r="I37" s="474"/>
      <c r="J37" s="474"/>
      <c r="K37" s="475"/>
      <c r="L37" s="75"/>
      <c r="M37" s="497"/>
      <c r="N37" s="495"/>
      <c r="O37" s="495"/>
      <c r="P37" s="495"/>
      <c r="Q37" s="495"/>
      <c r="T37" s="34"/>
      <c r="U37" s="34"/>
      <c r="AH37" s="520"/>
      <c r="AI37" s="520"/>
      <c r="AJ37" s="520"/>
      <c r="AK37" s="520"/>
      <c r="AL37" s="520"/>
      <c r="AM37" s="520"/>
      <c r="AN37" s="562"/>
      <c r="AO37" s="563"/>
      <c r="AP37" s="520"/>
      <c r="AQ37" s="520"/>
    </row>
    <row r="38" spans="2:43" ht="31.5" customHeight="1">
      <c r="B38" s="90" t="s">
        <v>80</v>
      </c>
      <c r="C38" s="83" t="s">
        <v>142</v>
      </c>
      <c r="D38" s="88" t="s">
        <v>143</v>
      </c>
      <c r="E38" s="254">
        <f>$D$15</f>
        <v>28</v>
      </c>
      <c r="F38" s="256">
        <f>$D$21</f>
        <v>28</v>
      </c>
      <c r="G38" s="259" t="s">
        <v>80</v>
      </c>
      <c r="H38" s="477" t="s">
        <v>144</v>
      </c>
      <c r="I38" s="474"/>
      <c r="J38" s="474"/>
      <c r="K38" s="475"/>
      <c r="L38" s="75"/>
      <c r="M38" s="502"/>
      <c r="N38" s="495"/>
      <c r="O38" s="495"/>
      <c r="P38" s="495"/>
      <c r="Q38" s="495"/>
      <c r="T38" s="34"/>
      <c r="U38" s="34"/>
      <c r="AH38" s="520"/>
      <c r="AI38" s="520"/>
      <c r="AJ38" s="520"/>
      <c r="AK38" s="520"/>
      <c r="AL38" s="520"/>
      <c r="AM38" s="520"/>
      <c r="AN38" s="562"/>
      <c r="AO38" s="563"/>
      <c r="AP38" s="520"/>
      <c r="AQ38" s="520"/>
    </row>
    <row r="39" spans="2:43">
      <c r="D39" s="4"/>
      <c r="H39" s="554"/>
      <c r="I39" s="495"/>
      <c r="J39" s="495"/>
      <c r="AH39" s="520"/>
      <c r="AI39" s="520"/>
      <c r="AJ39" s="520"/>
      <c r="AK39" s="520"/>
      <c r="AL39" s="520"/>
      <c r="AM39" s="520"/>
      <c r="AN39" s="562"/>
      <c r="AO39" s="563"/>
      <c r="AP39" s="520"/>
      <c r="AQ39" s="520"/>
    </row>
    <row r="40" spans="2:43" ht="23.25" customHeight="1">
      <c r="D40" s="34"/>
      <c r="K40" s="223"/>
      <c r="AH40" s="520"/>
      <c r="AI40" s="520"/>
      <c r="AJ40" s="520"/>
      <c r="AK40" s="520"/>
      <c r="AL40" s="520"/>
      <c r="AM40" s="520"/>
      <c r="AN40" s="562"/>
      <c r="AO40" s="563"/>
      <c r="AP40" s="520"/>
      <c r="AQ40" s="520"/>
    </row>
    <row r="41" spans="2:43" ht="24" customHeight="1" thickBot="1">
      <c r="D41" s="4"/>
      <c r="K41" s="223"/>
      <c r="AH41" s="520"/>
      <c r="AI41" s="520"/>
      <c r="AJ41" s="520"/>
      <c r="AK41" s="520"/>
      <c r="AL41" s="520"/>
      <c r="AM41" s="520"/>
      <c r="AN41" s="562"/>
      <c r="AO41" s="563"/>
      <c r="AP41" s="520"/>
      <c r="AQ41" s="520"/>
    </row>
    <row r="42" spans="2:43" ht="56.25" customHeight="1" thickBot="1">
      <c r="B42" s="557" t="s">
        <v>145</v>
      </c>
      <c r="C42" s="537"/>
      <c r="D42" s="538"/>
      <c r="E42" s="86"/>
      <c r="F42" s="86"/>
      <c r="G42" s="86"/>
      <c r="H42" s="86"/>
      <c r="I42" s="86"/>
      <c r="AH42" s="520"/>
      <c r="AI42" s="520"/>
      <c r="AJ42" s="520"/>
      <c r="AK42" s="520"/>
      <c r="AL42" s="520"/>
      <c r="AM42" s="520"/>
      <c r="AN42" s="562"/>
      <c r="AO42" s="563"/>
      <c r="AP42" s="520"/>
      <c r="AQ42" s="520"/>
    </row>
    <row r="43" spans="2:43" ht="31.5" customHeight="1">
      <c r="B43" s="501" t="s">
        <v>146</v>
      </c>
      <c r="C43" s="501" t="s">
        <v>147</v>
      </c>
      <c r="D43" s="501" t="s">
        <v>148</v>
      </c>
      <c r="E43" s="505"/>
      <c r="F43" s="506" t="s">
        <v>149</v>
      </c>
      <c r="G43" s="490"/>
      <c r="H43" s="506" t="s">
        <v>150</v>
      </c>
      <c r="I43" s="490"/>
      <c r="J43" s="544"/>
      <c r="K43" s="534" t="s">
        <v>151</v>
      </c>
      <c r="O43" s="77"/>
      <c r="P43" s="517"/>
      <c r="Q43" s="517"/>
      <c r="AH43" s="520"/>
      <c r="AI43" s="520"/>
      <c r="AJ43" s="520"/>
      <c r="AK43" s="520"/>
      <c r="AL43" s="520"/>
      <c r="AM43" s="520"/>
      <c r="AN43" s="562"/>
      <c r="AO43" s="563"/>
      <c r="AP43" s="520"/>
      <c r="AQ43" s="520"/>
    </row>
    <row r="44" spans="2:43" ht="45.75" customHeight="1">
      <c r="B44" s="472"/>
      <c r="C44" s="472"/>
      <c r="D44" s="491"/>
      <c r="E44" s="492"/>
      <c r="F44" s="491"/>
      <c r="G44" s="492"/>
      <c r="H44" s="491"/>
      <c r="I44" s="492"/>
      <c r="J44" s="545"/>
      <c r="K44" s="472"/>
      <c r="O44" s="91"/>
      <c r="P44" s="495"/>
      <c r="Q44" s="495"/>
      <c r="AH44" s="520"/>
      <c r="AI44" s="520"/>
      <c r="AJ44" s="520"/>
      <c r="AK44" s="520"/>
      <c r="AL44" s="520"/>
      <c r="AM44" s="520"/>
      <c r="AN44" s="562"/>
      <c r="AO44" s="563"/>
      <c r="AP44" s="520"/>
      <c r="AQ44" s="520"/>
    </row>
    <row r="45" spans="2:43" ht="45" customHeight="1">
      <c r="B45" s="471"/>
      <c r="C45" s="92" t="s">
        <v>152</v>
      </c>
      <c r="D45" s="471" t="s">
        <v>153</v>
      </c>
      <c r="E45" s="492"/>
      <c r="F45" s="471" t="s">
        <v>154</v>
      </c>
      <c r="G45" s="492"/>
      <c r="H45" s="471" t="s">
        <v>155</v>
      </c>
      <c r="I45" s="492"/>
      <c r="J45" s="552"/>
      <c r="K45" s="550" t="s">
        <v>156</v>
      </c>
      <c r="O45" s="81"/>
      <c r="P45" s="81"/>
      <c r="Q45" s="81"/>
      <c r="AH45" s="520"/>
      <c r="AI45" s="520"/>
      <c r="AJ45" s="520"/>
      <c r="AK45" s="520"/>
      <c r="AL45" s="520"/>
      <c r="AM45" s="520"/>
      <c r="AN45" s="562"/>
      <c r="AO45" s="563"/>
      <c r="AP45" s="520"/>
      <c r="AQ45" s="520"/>
    </row>
    <row r="46" spans="2:43" ht="41.25" customHeight="1">
      <c r="B46" s="472"/>
      <c r="C46" s="93" t="s">
        <v>157</v>
      </c>
      <c r="D46" s="511">
        <f>1 - (($N$15 + $N$21) / 2) + (($M$15 +$M$21) / 2)</f>
        <v>0.875</v>
      </c>
      <c r="E46" s="492"/>
      <c r="F46" s="511">
        <f>1-SQRT(((ABS($D$17-$D$23))^2+(ABS($E$17-$D$23))^2)/4)</f>
        <v>0.92566965626340736</v>
      </c>
      <c r="G46" s="492"/>
      <c r="H46" s="511">
        <f>($F$15 /$D$15) * ($F$21/ $D$21)</f>
        <v>9.8214285714285712E-2</v>
      </c>
      <c r="I46" s="492"/>
      <c r="J46" s="545"/>
      <c r="K46" s="472"/>
      <c r="O46" s="94"/>
      <c r="P46" s="95"/>
      <c r="Q46" s="95"/>
      <c r="AH46" s="520"/>
      <c r="AI46" s="520"/>
      <c r="AJ46" s="520"/>
      <c r="AK46" s="520"/>
      <c r="AL46" s="520"/>
      <c r="AM46" s="520"/>
      <c r="AN46" s="562"/>
      <c r="AO46" s="563"/>
      <c r="AP46" s="520"/>
      <c r="AQ46" s="520"/>
    </row>
    <row r="47" spans="2:43" ht="31.5" customHeight="1">
      <c r="B47" s="476" t="s">
        <v>30</v>
      </c>
      <c r="C47" s="513"/>
      <c r="D47" s="489">
        <v>0.4</v>
      </c>
      <c r="E47" s="490"/>
      <c r="F47" s="489">
        <v>0.4</v>
      </c>
      <c r="G47" s="490"/>
      <c r="H47" s="489">
        <v>0.2</v>
      </c>
      <c r="I47" s="490"/>
      <c r="J47" s="476" t="s">
        <v>30</v>
      </c>
      <c r="K47" s="496">
        <f>(0.4*$D$46)+(0.4*$F$46)+(0.2*$H$46)</f>
        <v>0.73991071964822019</v>
      </c>
      <c r="M47" s="96"/>
      <c r="O47" s="97"/>
      <c r="P47" s="98"/>
      <c r="Q47" s="98"/>
      <c r="AH47" s="520"/>
      <c r="AI47" s="520"/>
      <c r="AJ47" s="520"/>
      <c r="AK47" s="520"/>
      <c r="AL47" s="520"/>
      <c r="AM47" s="520"/>
      <c r="AN47" s="562"/>
      <c r="AO47" s="563"/>
      <c r="AP47" s="520"/>
      <c r="AQ47" s="520"/>
    </row>
    <row r="48" spans="2:43" ht="31.5" customHeight="1">
      <c r="B48" s="472"/>
      <c r="C48" s="472"/>
      <c r="D48" s="491"/>
      <c r="E48" s="492"/>
      <c r="F48" s="491"/>
      <c r="G48" s="492"/>
      <c r="H48" s="491"/>
      <c r="I48" s="492"/>
      <c r="J48" s="472"/>
      <c r="K48" s="472"/>
      <c r="M48" s="99"/>
      <c r="O48" s="97"/>
      <c r="P48" s="100"/>
      <c r="Q48" s="101"/>
      <c r="AH48" s="520"/>
      <c r="AI48" s="520"/>
      <c r="AJ48" s="520"/>
      <c r="AK48" s="520"/>
      <c r="AL48" s="520"/>
      <c r="AM48" s="520"/>
      <c r="AN48" s="562"/>
      <c r="AO48" s="563"/>
      <c r="AP48" s="520"/>
      <c r="AQ48" s="520"/>
    </row>
    <row r="49" spans="2:43" ht="31.5" customHeight="1">
      <c r="B49" s="485" t="s">
        <v>33</v>
      </c>
      <c r="C49" s="512"/>
      <c r="D49" s="504">
        <v>0.3</v>
      </c>
      <c r="E49" s="490"/>
      <c r="F49" s="504">
        <v>0.5</v>
      </c>
      <c r="G49" s="490"/>
      <c r="H49" s="504">
        <v>0.2</v>
      </c>
      <c r="I49" s="490"/>
      <c r="J49" s="485" t="s">
        <v>33</v>
      </c>
      <c r="K49" s="496">
        <f>(0.3*$D$46)+(0.5*$F$46)+(0.2*$H$46)</f>
        <v>0.74497768527456087</v>
      </c>
      <c r="M49" s="96"/>
      <c r="O49" s="97"/>
      <c r="P49" s="100"/>
      <c r="Q49" s="100"/>
      <c r="AH49" s="520"/>
      <c r="AI49" s="520"/>
      <c r="AJ49" s="520"/>
      <c r="AK49" s="520"/>
      <c r="AL49" s="520"/>
      <c r="AM49" s="520"/>
      <c r="AN49" s="562"/>
      <c r="AO49" s="563"/>
      <c r="AP49" s="520"/>
      <c r="AQ49" s="520"/>
    </row>
    <row r="50" spans="2:43" ht="31.5" customHeight="1">
      <c r="B50" s="472"/>
      <c r="C50" s="472"/>
      <c r="D50" s="491"/>
      <c r="E50" s="492"/>
      <c r="F50" s="491"/>
      <c r="G50" s="492"/>
      <c r="H50" s="491"/>
      <c r="I50" s="492"/>
      <c r="J50" s="472"/>
      <c r="K50" s="472"/>
      <c r="O50" s="94"/>
      <c r="P50" s="95"/>
      <c r="Q50" s="95"/>
      <c r="AH50" s="520"/>
      <c r="AI50" s="520"/>
      <c r="AJ50" s="520"/>
      <c r="AK50" s="520"/>
      <c r="AL50" s="520"/>
      <c r="AM50" s="520"/>
      <c r="AN50" s="562"/>
      <c r="AO50" s="563"/>
      <c r="AP50" s="520"/>
      <c r="AQ50" s="520"/>
    </row>
    <row r="51" spans="2:43" ht="31.5" customHeight="1">
      <c r="B51" s="476" t="s">
        <v>37</v>
      </c>
      <c r="C51" s="513"/>
      <c r="D51" s="489">
        <v>0.3</v>
      </c>
      <c r="E51" s="490"/>
      <c r="F51" s="489">
        <v>0.3</v>
      </c>
      <c r="G51" s="490"/>
      <c r="H51" s="489">
        <v>0.4</v>
      </c>
      <c r="I51" s="490"/>
      <c r="J51" s="476" t="s">
        <v>37</v>
      </c>
      <c r="K51" s="496">
        <f>(0.3*$D$46)+(0.3*$F$46)+(0.4*$H$46)</f>
        <v>0.57948661116473643</v>
      </c>
      <c r="M51" s="102"/>
      <c r="O51" s="97"/>
      <c r="P51" s="95"/>
      <c r="Q51" s="100"/>
      <c r="AH51" s="520"/>
      <c r="AI51" s="520"/>
      <c r="AJ51" s="520"/>
      <c r="AK51" s="520"/>
      <c r="AL51" s="520"/>
      <c r="AM51" s="520"/>
      <c r="AN51" s="562"/>
      <c r="AO51" s="563"/>
      <c r="AP51" s="520"/>
      <c r="AQ51" s="520"/>
    </row>
    <row r="52" spans="2:43" ht="31.5" customHeight="1">
      <c r="B52" s="472"/>
      <c r="C52" s="472"/>
      <c r="D52" s="491"/>
      <c r="E52" s="492"/>
      <c r="F52" s="491"/>
      <c r="G52" s="492"/>
      <c r="H52" s="491"/>
      <c r="I52" s="492"/>
      <c r="J52" s="472"/>
      <c r="K52" s="472"/>
      <c r="AH52" s="520"/>
      <c r="AI52" s="520"/>
      <c r="AJ52" s="520"/>
      <c r="AK52" s="520"/>
      <c r="AL52" s="520"/>
      <c r="AM52" s="520"/>
      <c r="AN52" s="562"/>
      <c r="AO52" s="563"/>
      <c r="AP52" s="520"/>
      <c r="AQ52" s="520"/>
    </row>
    <row r="53" spans="2:43" ht="31.5" customHeight="1">
      <c r="B53" s="485" t="s">
        <v>44</v>
      </c>
      <c r="C53" s="512"/>
      <c r="D53" s="504">
        <v>0.2</v>
      </c>
      <c r="E53" s="490"/>
      <c r="F53" s="504">
        <v>0.3</v>
      </c>
      <c r="G53" s="490"/>
      <c r="H53" s="504">
        <v>0.5</v>
      </c>
      <c r="I53" s="490"/>
      <c r="J53" s="485" t="s">
        <v>44</v>
      </c>
      <c r="K53" s="496">
        <f>(0.2*$D$46)+(0.3*$F$46)+(0.5*$H$46)</f>
        <v>0.50180803973616517</v>
      </c>
      <c r="AH53" s="520"/>
      <c r="AI53" s="520"/>
      <c r="AJ53" s="520"/>
      <c r="AK53" s="520"/>
      <c r="AL53" s="520"/>
      <c r="AM53" s="520"/>
      <c r="AN53" s="562"/>
      <c r="AO53" s="563"/>
      <c r="AP53" s="520"/>
      <c r="AQ53" s="520"/>
    </row>
    <row r="54" spans="2:43" ht="31.5" customHeight="1">
      <c r="B54" s="472"/>
      <c r="C54" s="472"/>
      <c r="D54" s="491"/>
      <c r="E54" s="492"/>
      <c r="F54" s="491"/>
      <c r="G54" s="492"/>
      <c r="H54" s="491"/>
      <c r="I54" s="492"/>
      <c r="J54" s="472"/>
      <c r="K54" s="472"/>
      <c r="AH54" s="520"/>
      <c r="AI54" s="520"/>
      <c r="AJ54" s="520"/>
      <c r="AK54" s="520"/>
      <c r="AL54" s="520"/>
      <c r="AM54" s="520"/>
      <c r="AN54" s="562"/>
      <c r="AO54" s="563"/>
      <c r="AP54" s="520"/>
      <c r="AQ54" s="520"/>
    </row>
    <row r="55" spans="2:43" ht="31.5" customHeight="1">
      <c r="B55" s="476" t="s">
        <v>50</v>
      </c>
      <c r="C55" s="513"/>
      <c r="D55" s="489">
        <v>0.3</v>
      </c>
      <c r="E55" s="490"/>
      <c r="F55" s="489">
        <v>0.4</v>
      </c>
      <c r="G55" s="490"/>
      <c r="H55" s="489">
        <v>0.3</v>
      </c>
      <c r="I55" s="490"/>
      <c r="J55" s="476" t="s">
        <v>50</v>
      </c>
      <c r="K55" s="496">
        <f>(0.3*$D$46)+(0.4*$F$46)+(0.3*$H$46)</f>
        <v>0.66223214821964871</v>
      </c>
      <c r="AH55" s="520"/>
      <c r="AI55" s="520"/>
      <c r="AJ55" s="520"/>
      <c r="AK55" s="520"/>
      <c r="AL55" s="520"/>
      <c r="AM55" s="520"/>
      <c r="AN55" s="562"/>
      <c r="AO55" s="563"/>
      <c r="AP55" s="520"/>
      <c r="AQ55" s="520"/>
    </row>
    <row r="56" spans="2:43" ht="31.5" customHeight="1">
      <c r="B56" s="472"/>
      <c r="C56" s="472"/>
      <c r="D56" s="491"/>
      <c r="E56" s="492"/>
      <c r="F56" s="491"/>
      <c r="G56" s="492"/>
      <c r="H56" s="491"/>
      <c r="I56" s="492"/>
      <c r="J56" s="472"/>
      <c r="K56" s="472"/>
      <c r="AH56" s="520"/>
      <c r="AI56" s="520"/>
      <c r="AJ56" s="520"/>
      <c r="AK56" s="520"/>
      <c r="AL56" s="520"/>
      <c r="AM56" s="520"/>
      <c r="AN56" s="562"/>
      <c r="AO56" s="563"/>
      <c r="AP56" s="520"/>
      <c r="AQ56" s="520"/>
    </row>
    <row r="57" spans="2:43" s="103" customFormat="1" ht="42.75" customHeight="1">
      <c r="B57" s="488" t="s">
        <v>54</v>
      </c>
      <c r="C57" s="512"/>
      <c r="D57" s="504">
        <v>0.4</v>
      </c>
      <c r="E57" s="490"/>
      <c r="F57" s="504">
        <v>0.4</v>
      </c>
      <c r="G57" s="490"/>
      <c r="H57" s="504">
        <v>0.2</v>
      </c>
      <c r="I57" s="490"/>
      <c r="J57" s="488" t="s">
        <v>54</v>
      </c>
      <c r="K57" s="496">
        <f>(0.4*$D$46)+(0.4*$F$46)+(0.2*$H$46)</f>
        <v>0.73991071964822019</v>
      </c>
      <c r="AA57" s="104"/>
      <c r="AH57" s="564"/>
      <c r="AI57" s="564"/>
      <c r="AJ57" s="564"/>
      <c r="AK57" s="564"/>
      <c r="AL57" s="564"/>
      <c r="AM57" s="564"/>
      <c r="AN57" s="564"/>
      <c r="AO57" s="564"/>
      <c r="AP57" s="564"/>
      <c r="AQ57" s="564"/>
    </row>
    <row r="58" spans="2:43" s="103" customFormat="1" ht="31.5" customHeight="1">
      <c r="B58" s="472"/>
      <c r="C58" s="472"/>
      <c r="D58" s="491"/>
      <c r="E58" s="492"/>
      <c r="F58" s="491"/>
      <c r="G58" s="492"/>
      <c r="H58" s="491"/>
      <c r="I58" s="492"/>
      <c r="J58" s="472"/>
      <c r="K58" s="472"/>
      <c r="AA58" s="104"/>
      <c r="AH58" s="564"/>
      <c r="AI58" s="564"/>
      <c r="AJ58" s="564"/>
      <c r="AK58" s="564"/>
      <c r="AL58" s="564"/>
      <c r="AM58" s="564"/>
      <c r="AN58" s="564"/>
      <c r="AO58" s="564"/>
      <c r="AP58" s="564"/>
      <c r="AQ58" s="564"/>
    </row>
    <row r="59" spans="2:43" s="103" customFormat="1" ht="31.5" customHeight="1">
      <c r="B59" s="476" t="s">
        <v>58</v>
      </c>
      <c r="C59" s="513"/>
      <c r="D59" s="489">
        <v>0.2</v>
      </c>
      <c r="E59" s="490"/>
      <c r="F59" s="489">
        <v>0.3</v>
      </c>
      <c r="G59" s="490"/>
      <c r="H59" s="489">
        <v>0.5</v>
      </c>
      <c r="I59" s="490"/>
      <c r="J59" s="476" t="s">
        <v>58</v>
      </c>
      <c r="K59" s="496">
        <f>(0.2*$D$46)+(0.3*$F$46)+(0.5*$H$46)</f>
        <v>0.50180803973616517</v>
      </c>
      <c r="AA59" s="104"/>
      <c r="AH59" s="564"/>
      <c r="AI59" s="564"/>
      <c r="AJ59" s="564"/>
      <c r="AK59" s="564"/>
      <c r="AL59" s="564"/>
      <c r="AM59" s="564"/>
      <c r="AN59" s="564"/>
      <c r="AO59" s="564"/>
      <c r="AP59" s="564"/>
      <c r="AQ59" s="564"/>
    </row>
    <row r="60" spans="2:43" s="103" customFormat="1" ht="31.5" customHeight="1">
      <c r="B60" s="472"/>
      <c r="C60" s="472"/>
      <c r="D60" s="491"/>
      <c r="E60" s="492"/>
      <c r="F60" s="491"/>
      <c r="G60" s="492"/>
      <c r="H60" s="491"/>
      <c r="I60" s="492"/>
      <c r="J60" s="472"/>
      <c r="K60" s="472"/>
      <c r="AA60" s="104"/>
      <c r="AH60" s="564"/>
      <c r="AI60" s="564"/>
      <c r="AJ60" s="564"/>
      <c r="AK60" s="564"/>
      <c r="AL60" s="564"/>
      <c r="AM60" s="564"/>
      <c r="AN60" s="564"/>
      <c r="AO60" s="564"/>
      <c r="AP60" s="564"/>
      <c r="AQ60" s="564"/>
    </row>
    <row r="61" spans="2:43" s="103" customFormat="1" ht="31.5" customHeight="1">
      <c r="B61" s="107"/>
      <c r="C61" s="108"/>
      <c r="D61" s="109"/>
      <c r="E61" s="109"/>
      <c r="F61" s="109"/>
      <c r="G61" s="109"/>
      <c r="H61" s="109"/>
      <c r="I61" s="109"/>
      <c r="J61" s="107"/>
      <c r="K61" s="110"/>
      <c r="AA61" s="104"/>
      <c r="AH61" s="564"/>
      <c r="AI61" s="564"/>
      <c r="AJ61" s="564"/>
      <c r="AK61" s="564"/>
      <c r="AL61" s="564"/>
      <c r="AM61" s="564"/>
      <c r="AN61" s="564"/>
      <c r="AO61" s="564"/>
      <c r="AP61" s="564"/>
      <c r="AQ61" s="564"/>
    </row>
    <row r="62" spans="2:43" s="115" customFormat="1" ht="31.5" customHeight="1">
      <c r="B62" s="111"/>
      <c r="C62" s="112"/>
      <c r="D62" s="113"/>
      <c r="E62" s="113"/>
      <c r="F62" s="113"/>
      <c r="G62" s="113"/>
      <c r="H62" s="113"/>
      <c r="I62" s="113"/>
      <c r="J62" s="111"/>
      <c r="K62" s="114"/>
      <c r="AA62" s="104"/>
      <c r="AH62" s="565"/>
      <c r="AI62" s="565"/>
      <c r="AJ62" s="565"/>
      <c r="AK62" s="565"/>
      <c r="AL62" s="565"/>
      <c r="AM62" s="565"/>
      <c r="AN62" s="565"/>
      <c r="AO62" s="565"/>
      <c r="AP62" s="565"/>
      <c r="AQ62" s="565"/>
    </row>
    <row r="63" spans="2:43" ht="23.25" customHeight="1">
      <c r="D63" s="116"/>
      <c r="E63" s="116"/>
      <c r="F63" s="116"/>
      <c r="G63" s="117"/>
      <c r="H63" s="117"/>
      <c r="I63" s="117"/>
      <c r="AH63" s="520"/>
      <c r="AI63" s="520"/>
      <c r="AJ63" s="520"/>
      <c r="AK63" s="520"/>
      <c r="AL63" s="520"/>
      <c r="AM63" s="520"/>
      <c r="AN63" s="562"/>
      <c r="AO63" s="563"/>
      <c r="AP63" s="520"/>
      <c r="AQ63" s="520"/>
    </row>
    <row r="64" spans="2:43" ht="23.25" customHeight="1">
      <c r="B64" s="79" t="s">
        <v>158</v>
      </c>
      <c r="C64" s="116"/>
      <c r="D64" s="116"/>
      <c r="E64" s="116"/>
      <c r="F64" s="117"/>
      <c r="G64" s="117"/>
      <c r="H64" s="117"/>
      <c r="Z64" s="2"/>
      <c r="AA64" s="118"/>
      <c r="AH64" s="520"/>
      <c r="AI64" s="520"/>
      <c r="AJ64" s="520"/>
      <c r="AK64" s="520"/>
      <c r="AL64" s="520"/>
      <c r="AM64" s="520"/>
      <c r="AN64" s="562"/>
      <c r="AO64" s="563"/>
      <c r="AP64" s="520"/>
      <c r="AQ64" s="520"/>
    </row>
    <row r="65" spans="2:43" ht="48" customHeight="1">
      <c r="B65" s="119" t="s">
        <v>26</v>
      </c>
      <c r="C65" s="119" t="s">
        <v>117</v>
      </c>
      <c r="D65" s="119" t="s">
        <v>118</v>
      </c>
      <c r="E65" s="120" t="s">
        <v>117</v>
      </c>
      <c r="F65" s="119" t="s">
        <v>118</v>
      </c>
      <c r="G65" s="117"/>
      <c r="H65" s="117"/>
      <c r="Z65" s="2"/>
      <c r="AA65" s="121"/>
      <c r="AC65" s="244" t="s">
        <v>159</v>
      </c>
      <c r="AF65" s="265" t="s">
        <v>160</v>
      </c>
      <c r="AH65" s="520"/>
      <c r="AI65" s="520"/>
      <c r="AJ65" s="520"/>
      <c r="AK65" s="520"/>
      <c r="AL65" s="520"/>
      <c r="AM65" s="520"/>
      <c r="AN65" s="562"/>
      <c r="AO65" s="563"/>
      <c r="AP65" s="520"/>
      <c r="AQ65" s="520"/>
    </row>
    <row r="66" spans="2:43" ht="28.5" customHeight="1">
      <c r="B66" s="82" t="s">
        <v>119</v>
      </c>
      <c r="C66" s="83" t="s">
        <v>120</v>
      </c>
      <c r="D66" s="83" t="s">
        <v>121</v>
      </c>
      <c r="E66" s="122">
        <f>$N$15</f>
        <v>0.46</v>
      </c>
      <c r="F66" s="123">
        <f>$N$21</f>
        <v>0.36</v>
      </c>
      <c r="G66" s="7" t="s">
        <v>122</v>
      </c>
      <c r="H66" s="477" t="s">
        <v>123</v>
      </c>
      <c r="I66" s="474"/>
      <c r="J66" s="474"/>
      <c r="K66" s="475"/>
      <c r="Z66" s="2"/>
      <c r="AA66" s="121"/>
      <c r="AH66" s="520"/>
      <c r="AI66" s="520"/>
      <c r="AJ66" s="520"/>
      <c r="AK66" s="520"/>
      <c r="AL66" s="520"/>
      <c r="AM66" s="520"/>
      <c r="AN66" s="562"/>
      <c r="AO66" s="563"/>
      <c r="AP66" s="520"/>
      <c r="AQ66" s="520"/>
    </row>
    <row r="67" spans="2:43" ht="28.5" customHeight="1">
      <c r="B67" s="84" t="s">
        <v>124</v>
      </c>
      <c r="C67" s="85" t="s">
        <v>125</v>
      </c>
      <c r="D67" s="85" t="s">
        <v>126</v>
      </c>
      <c r="E67" s="124">
        <f>$M$15</f>
        <v>0.32</v>
      </c>
      <c r="F67" s="124">
        <f>$M$21</f>
        <v>0.25</v>
      </c>
      <c r="G67" s="7" t="s">
        <v>127</v>
      </c>
      <c r="H67" s="477" t="s">
        <v>128</v>
      </c>
      <c r="I67" s="474"/>
      <c r="J67" s="474"/>
      <c r="K67" s="475"/>
      <c r="Z67" s="2"/>
      <c r="AA67" s="121"/>
      <c r="AH67" s="520"/>
      <c r="AI67" s="520"/>
      <c r="AJ67" s="520"/>
      <c r="AK67" s="520"/>
      <c r="AL67" s="520"/>
      <c r="AM67" s="520"/>
      <c r="AN67" s="562"/>
      <c r="AO67" s="563"/>
      <c r="AP67" s="520"/>
      <c r="AQ67" s="520"/>
    </row>
    <row r="68" spans="2:43" ht="28.5" customHeight="1">
      <c r="B68" s="84" t="s">
        <v>129</v>
      </c>
      <c r="C68" s="88" t="s">
        <v>130</v>
      </c>
      <c r="D68" s="89" t="s">
        <v>131</v>
      </c>
      <c r="E68" s="125">
        <f>$D$17</f>
        <v>1.18</v>
      </c>
      <c r="F68" s="126">
        <f>$D$23</f>
        <v>1.23</v>
      </c>
      <c r="G68" s="7" t="s">
        <v>132</v>
      </c>
      <c r="H68" s="477" t="s">
        <v>133</v>
      </c>
      <c r="I68" s="474"/>
      <c r="J68" s="474"/>
      <c r="K68" s="475"/>
      <c r="Z68" s="2"/>
      <c r="AA68" s="121"/>
      <c r="AH68" s="520"/>
      <c r="AI68" s="520"/>
      <c r="AJ68" s="520"/>
      <c r="AK68" s="520"/>
      <c r="AL68" s="520"/>
      <c r="AM68" s="520"/>
      <c r="AN68" s="562"/>
      <c r="AO68" s="563"/>
      <c r="AP68" s="520"/>
      <c r="AQ68" s="520"/>
    </row>
    <row r="69" spans="2:43" ht="28.5" customHeight="1">
      <c r="B69" s="84" t="s">
        <v>134</v>
      </c>
      <c r="C69" s="88" t="s">
        <v>135</v>
      </c>
      <c r="D69" s="88" t="s">
        <v>136</v>
      </c>
      <c r="E69" s="125">
        <f>$E$17</f>
        <v>1.37</v>
      </c>
      <c r="F69" s="125">
        <f>$D$23</f>
        <v>1.23</v>
      </c>
      <c r="G69" s="7" t="s">
        <v>137</v>
      </c>
      <c r="H69" s="477" t="s">
        <v>138</v>
      </c>
      <c r="I69" s="474"/>
      <c r="J69" s="474"/>
      <c r="K69" s="475"/>
      <c r="Z69" s="2"/>
      <c r="AA69" s="121"/>
      <c r="AH69" s="520"/>
      <c r="AI69" s="520"/>
      <c r="AJ69" s="520"/>
      <c r="AK69" s="520"/>
      <c r="AL69" s="520"/>
      <c r="AM69" s="520"/>
      <c r="AN69" s="562"/>
      <c r="AO69" s="563"/>
      <c r="AP69" s="520"/>
      <c r="AQ69" s="520"/>
    </row>
    <row r="70" spans="2:43" ht="28.5" customHeight="1">
      <c r="B70" s="82" t="s">
        <v>82</v>
      </c>
      <c r="C70" s="83" t="s">
        <v>139</v>
      </c>
      <c r="D70" s="83" t="s">
        <v>140</v>
      </c>
      <c r="E70" s="123">
        <f>$F$15</f>
        <v>11</v>
      </c>
      <c r="F70" s="123">
        <f>$F$21</f>
        <v>7</v>
      </c>
      <c r="G70" s="7" t="s">
        <v>82</v>
      </c>
      <c r="H70" s="477" t="s">
        <v>141</v>
      </c>
      <c r="I70" s="474"/>
      <c r="J70" s="474"/>
      <c r="K70" s="475"/>
      <c r="Z70" s="2"/>
      <c r="AA70" s="121"/>
      <c r="AH70" s="520"/>
      <c r="AI70" s="520"/>
      <c r="AJ70" s="520"/>
      <c r="AK70" s="520"/>
      <c r="AL70" s="520"/>
      <c r="AM70" s="520"/>
      <c r="AN70" s="562"/>
      <c r="AO70" s="563"/>
      <c r="AP70" s="520"/>
      <c r="AQ70" s="520"/>
    </row>
    <row r="71" spans="2:43" ht="28.5" customHeight="1">
      <c r="B71" s="90" t="s">
        <v>80</v>
      </c>
      <c r="C71" s="83" t="s">
        <v>142</v>
      </c>
      <c r="D71" s="88" t="s">
        <v>143</v>
      </c>
      <c r="E71" s="123">
        <f>$D$15</f>
        <v>28</v>
      </c>
      <c r="F71" s="125">
        <f>$D$21</f>
        <v>28</v>
      </c>
      <c r="G71" s="7" t="s">
        <v>161</v>
      </c>
      <c r="H71" s="477" t="s">
        <v>144</v>
      </c>
      <c r="I71" s="474"/>
      <c r="J71" s="474"/>
      <c r="K71" s="475"/>
      <c r="Z71" s="2"/>
      <c r="AA71" s="121"/>
      <c r="AH71" s="520"/>
      <c r="AI71" s="520"/>
      <c r="AJ71" s="520"/>
      <c r="AK71" s="520"/>
      <c r="AL71" s="520"/>
      <c r="AM71" s="520"/>
      <c r="AN71" s="562"/>
      <c r="AO71" s="563"/>
      <c r="AP71" s="520"/>
      <c r="AQ71" s="520"/>
    </row>
    <row r="72" spans="2:43" ht="24" customHeight="1" thickBot="1">
      <c r="D72" s="116"/>
      <c r="E72" s="116"/>
      <c r="F72" s="116"/>
      <c r="G72" s="117"/>
      <c r="H72" s="117"/>
      <c r="I72" s="117"/>
      <c r="AH72" s="520"/>
      <c r="AI72" s="520"/>
      <c r="AJ72" s="520"/>
      <c r="AK72" s="520"/>
      <c r="AL72" s="520"/>
      <c r="AM72" s="520"/>
      <c r="AN72" s="562"/>
      <c r="AO72" s="563"/>
      <c r="AP72" s="520"/>
      <c r="AQ72" s="520"/>
    </row>
    <row r="73" spans="2:43" ht="59.25" customHeight="1" thickBot="1">
      <c r="B73" s="561" t="s">
        <v>162</v>
      </c>
      <c r="C73" s="537"/>
      <c r="D73" s="538"/>
      <c r="E73" s="86"/>
      <c r="F73" s="86"/>
      <c r="G73" s="86"/>
      <c r="H73" s="86"/>
      <c r="I73" s="86"/>
    </row>
    <row r="74" spans="2:43" ht="31.5" customHeight="1">
      <c r="B74" s="501" t="s">
        <v>146</v>
      </c>
      <c r="C74" s="501" t="s">
        <v>163</v>
      </c>
      <c r="D74" s="501" t="s">
        <v>164</v>
      </c>
      <c r="E74" s="505"/>
      <c r="F74" s="501" t="s">
        <v>165</v>
      </c>
      <c r="G74" s="505"/>
      <c r="H74" s="501" t="s">
        <v>166</v>
      </c>
      <c r="I74" s="505"/>
      <c r="J74" s="544"/>
      <c r="K74" s="534" t="s">
        <v>167</v>
      </c>
      <c r="O74" s="77"/>
      <c r="P74" s="517"/>
      <c r="Q74" s="517"/>
    </row>
    <row r="75" spans="2:43" ht="38.25" customHeight="1">
      <c r="B75" s="472"/>
      <c r="C75" s="472"/>
      <c r="D75" s="491"/>
      <c r="E75" s="492"/>
      <c r="F75" s="491"/>
      <c r="G75" s="492"/>
      <c r="H75" s="491"/>
      <c r="I75" s="492"/>
      <c r="J75" s="545"/>
      <c r="K75" s="472"/>
      <c r="O75" s="81"/>
      <c r="P75" s="495"/>
      <c r="Q75" s="495"/>
    </row>
    <row r="76" spans="2:43" ht="70.5" customHeight="1">
      <c r="B76" s="471"/>
      <c r="C76" s="92" t="s">
        <v>152</v>
      </c>
      <c r="D76" s="507" t="s">
        <v>168</v>
      </c>
      <c r="E76" s="492"/>
      <c r="F76" s="471" t="s">
        <v>169</v>
      </c>
      <c r="G76" s="492"/>
      <c r="H76" s="471" t="s">
        <v>170</v>
      </c>
      <c r="I76" s="492"/>
      <c r="J76" s="552"/>
      <c r="K76" s="558" t="s">
        <v>171</v>
      </c>
      <c r="M76" s="547"/>
      <c r="N76" s="495"/>
      <c r="O76" s="81"/>
      <c r="P76" s="81"/>
      <c r="Q76" s="81"/>
    </row>
    <row r="77" spans="2:43" ht="80.25" customHeight="1">
      <c r="B77" s="472"/>
      <c r="C77" s="93" t="s">
        <v>157</v>
      </c>
      <c r="D77" s="507">
        <f>((2*$E$17+$D$23+2*$M$15+$M$21+ABS($D$17-$D$23)+ABS($E$17-$D$23))/10)</f>
        <v>0.50500000000000012</v>
      </c>
      <c r="E77" s="492"/>
      <c r="F77" s="511">
        <f>MAX(0, 1 - ($N$15+ $N$21) / 2)</f>
        <v>0.59</v>
      </c>
      <c r="G77" s="492"/>
      <c r="H77" s="511">
        <f>((($F$15/$D$15)+($F$21/$D$21))+2*(($D$17+$D$23)/2))/5</f>
        <v>0.61057142857142854</v>
      </c>
      <c r="I77" s="492"/>
      <c r="J77" s="545"/>
      <c r="K77" s="472"/>
      <c r="M77" s="547"/>
      <c r="N77" s="495"/>
      <c r="O77" s="94"/>
      <c r="P77" s="95"/>
      <c r="Q77" s="95"/>
    </row>
    <row r="78" spans="2:43" ht="31.5" customHeight="1">
      <c r="B78" s="476" t="s">
        <v>30</v>
      </c>
      <c r="C78" s="513"/>
      <c r="D78" s="489">
        <v>0.2</v>
      </c>
      <c r="E78" s="490"/>
      <c r="F78" s="489">
        <v>0.4</v>
      </c>
      <c r="G78" s="490"/>
      <c r="H78" s="489">
        <v>0.4</v>
      </c>
      <c r="I78" s="490"/>
      <c r="J78" s="476" t="s">
        <v>30</v>
      </c>
      <c r="K78" s="496">
        <f>((0.2*$D$77)+(0.4*$F$77)+(0.4*$H$77))/1.7</f>
        <v>0.34189915966386558</v>
      </c>
      <c r="M78" s="548"/>
      <c r="O78" s="97"/>
      <c r="P78" s="98"/>
      <c r="Q78" s="98"/>
    </row>
    <row r="79" spans="2:43" ht="31.5" customHeight="1">
      <c r="B79" s="472"/>
      <c r="C79" s="472"/>
      <c r="D79" s="491"/>
      <c r="E79" s="492"/>
      <c r="F79" s="491"/>
      <c r="G79" s="492"/>
      <c r="H79" s="491"/>
      <c r="I79" s="492"/>
      <c r="J79" s="472"/>
      <c r="K79" s="472"/>
      <c r="M79" s="495"/>
      <c r="O79" s="97"/>
      <c r="P79" s="100"/>
      <c r="Q79" s="101"/>
    </row>
    <row r="80" spans="2:43" ht="31.5" customHeight="1">
      <c r="B80" s="485" t="s">
        <v>33</v>
      </c>
      <c r="C80" s="512"/>
      <c r="D80" s="504">
        <v>0.3</v>
      </c>
      <c r="E80" s="490"/>
      <c r="F80" s="504">
        <v>0.5</v>
      </c>
      <c r="G80" s="490"/>
      <c r="H80" s="504">
        <v>0.2</v>
      </c>
      <c r="I80" s="490"/>
      <c r="J80" s="485" t="s">
        <v>33</v>
      </c>
      <c r="K80" s="496">
        <f>((0.3*$D$77)+(0.5*$F$77)+(0.2*$H$77))/1.7</f>
        <v>0.33447899159663869</v>
      </c>
      <c r="M80" s="548"/>
      <c r="O80" s="97"/>
      <c r="P80" s="100"/>
      <c r="Q80" s="100"/>
    </row>
    <row r="81" spans="2:41" ht="31.5" customHeight="1">
      <c r="B81" s="472"/>
      <c r="C81" s="472"/>
      <c r="D81" s="491"/>
      <c r="E81" s="492"/>
      <c r="F81" s="491"/>
      <c r="G81" s="492"/>
      <c r="H81" s="491"/>
      <c r="I81" s="492"/>
      <c r="J81" s="472"/>
      <c r="K81" s="472"/>
      <c r="M81" s="495"/>
      <c r="O81" s="94"/>
      <c r="P81" s="95"/>
      <c r="Q81" s="95"/>
    </row>
    <row r="82" spans="2:41" ht="31.5" customHeight="1">
      <c r="B82" s="476" t="s">
        <v>37</v>
      </c>
      <c r="C82" s="513"/>
      <c r="D82" s="489">
        <v>0.4</v>
      </c>
      <c r="E82" s="490"/>
      <c r="F82" s="489">
        <v>0.3</v>
      </c>
      <c r="G82" s="490"/>
      <c r="H82" s="489">
        <v>0.3</v>
      </c>
      <c r="I82" s="490"/>
      <c r="J82" s="476" t="s">
        <v>37</v>
      </c>
      <c r="K82" s="496">
        <f>((0.4*$D$77)+(0.3*$F$77)+(0.3*$H$77))/1.7</f>
        <v>0.33068907563025218</v>
      </c>
      <c r="M82" s="548"/>
      <c r="O82" s="97"/>
      <c r="P82" s="95"/>
      <c r="Q82" s="100"/>
    </row>
    <row r="83" spans="2:41" ht="31.5" customHeight="1">
      <c r="B83" s="472"/>
      <c r="C83" s="472"/>
      <c r="D83" s="491"/>
      <c r="E83" s="492"/>
      <c r="F83" s="491"/>
      <c r="G83" s="492"/>
      <c r="H83" s="491"/>
      <c r="I83" s="492"/>
      <c r="J83" s="472"/>
      <c r="K83" s="472"/>
      <c r="M83" s="495"/>
    </row>
    <row r="84" spans="2:41" ht="31.5" customHeight="1">
      <c r="B84" s="485" t="s">
        <v>44</v>
      </c>
      <c r="C84" s="512"/>
      <c r="D84" s="504">
        <v>0.5</v>
      </c>
      <c r="E84" s="490"/>
      <c r="F84" s="504">
        <v>0.3</v>
      </c>
      <c r="G84" s="490"/>
      <c r="H84" s="504">
        <v>0.2</v>
      </c>
      <c r="I84" s="490"/>
      <c r="J84" s="485" t="s">
        <v>44</v>
      </c>
      <c r="K84" s="496">
        <f>((0.5*$D$77)+(0.3*$F$77)+(0.2*$H$77))/1.7</f>
        <v>0.32447899159663868</v>
      </c>
    </row>
    <row r="85" spans="2:41" ht="31.5" customHeight="1">
      <c r="B85" s="472"/>
      <c r="C85" s="472"/>
      <c r="D85" s="491"/>
      <c r="E85" s="492"/>
      <c r="F85" s="491"/>
      <c r="G85" s="492"/>
      <c r="H85" s="491"/>
      <c r="I85" s="492"/>
      <c r="J85" s="472"/>
      <c r="K85" s="472"/>
    </row>
    <row r="86" spans="2:41" ht="31.5" customHeight="1">
      <c r="B86" s="476" t="s">
        <v>50</v>
      </c>
      <c r="C86" s="513"/>
      <c r="D86" s="489">
        <v>0.3</v>
      </c>
      <c r="E86" s="490"/>
      <c r="F86" s="489">
        <v>0.4</v>
      </c>
      <c r="G86" s="490"/>
      <c r="H86" s="489">
        <v>0.3</v>
      </c>
      <c r="I86" s="490"/>
      <c r="J86" s="476" t="s">
        <v>50</v>
      </c>
      <c r="K86" s="496">
        <f>((0.3*$D$77)+(0.4*$F$77)+(0.3*$H$77))/1.7</f>
        <v>0.33568907563025213</v>
      </c>
    </row>
    <row r="87" spans="2:41" ht="31.5" customHeight="1">
      <c r="B87" s="472"/>
      <c r="C87" s="472"/>
      <c r="D87" s="491"/>
      <c r="E87" s="492"/>
      <c r="F87" s="491"/>
      <c r="G87" s="492"/>
      <c r="H87" s="491"/>
      <c r="I87" s="492"/>
      <c r="J87" s="472"/>
      <c r="K87" s="472"/>
    </row>
    <row r="88" spans="2:41" s="103" customFormat="1" ht="42.75" customHeight="1">
      <c r="B88" s="488" t="s">
        <v>54</v>
      </c>
      <c r="C88" s="512"/>
      <c r="D88" s="504">
        <v>0.2</v>
      </c>
      <c r="E88" s="490"/>
      <c r="F88" s="504">
        <v>0.5</v>
      </c>
      <c r="G88" s="490"/>
      <c r="H88" s="504">
        <v>0.3</v>
      </c>
      <c r="I88" s="490"/>
      <c r="J88" s="488" t="s">
        <v>54</v>
      </c>
      <c r="K88" s="496">
        <f>((0.2*$D$77)+(0.5*$F$77)+(0.3*$H$77))/1.7</f>
        <v>0.34068907563025208</v>
      </c>
      <c r="AA88" s="104"/>
      <c r="AN88" s="105"/>
      <c r="AO88" s="106"/>
    </row>
    <row r="89" spans="2:41" s="103" customFormat="1" ht="31.5" customHeight="1">
      <c r="B89" s="472"/>
      <c r="C89" s="472"/>
      <c r="D89" s="491"/>
      <c r="E89" s="492"/>
      <c r="F89" s="491"/>
      <c r="G89" s="492"/>
      <c r="H89" s="491"/>
      <c r="I89" s="492"/>
      <c r="J89" s="472"/>
      <c r="K89" s="472"/>
      <c r="AA89" s="104"/>
      <c r="AN89" s="105"/>
      <c r="AO89" s="106"/>
    </row>
    <row r="90" spans="2:41" s="103" customFormat="1" ht="31.5" customHeight="1">
      <c r="B90" s="476" t="s">
        <v>58</v>
      </c>
      <c r="C90" s="513"/>
      <c r="D90" s="489">
        <v>0.5</v>
      </c>
      <c r="E90" s="490"/>
      <c r="F90" s="489">
        <v>0.4</v>
      </c>
      <c r="G90" s="490"/>
      <c r="H90" s="489">
        <v>0.1</v>
      </c>
      <c r="I90" s="490"/>
      <c r="J90" s="476" t="s">
        <v>58</v>
      </c>
      <c r="K90" s="496">
        <f>((0.5*$D$77)+(0.4*$F$77)+(0.1*$H$77))/1.7</f>
        <v>0.32326890756302523</v>
      </c>
      <c r="AA90" s="104"/>
      <c r="AN90" s="105"/>
      <c r="AO90" s="106"/>
    </row>
    <row r="91" spans="2:41" s="103" customFormat="1" ht="31.5" customHeight="1">
      <c r="B91" s="472"/>
      <c r="C91" s="472"/>
      <c r="D91" s="491"/>
      <c r="E91" s="492"/>
      <c r="F91" s="491"/>
      <c r="G91" s="492"/>
      <c r="H91" s="491"/>
      <c r="I91" s="492"/>
      <c r="J91" s="472"/>
      <c r="K91" s="472"/>
      <c r="AA91" s="104"/>
      <c r="AN91" s="105"/>
      <c r="AO91" s="106"/>
    </row>
    <row r="96" spans="2:41" s="128" customFormat="1">
      <c r="G96" s="129"/>
      <c r="H96" s="129"/>
      <c r="I96" s="129"/>
      <c r="J96" s="129"/>
      <c r="K96" s="129"/>
      <c r="L96" s="129"/>
      <c r="M96" s="129"/>
      <c r="N96" s="129"/>
      <c r="O96" s="129"/>
      <c r="P96" s="129"/>
      <c r="Q96" s="129"/>
      <c r="R96" s="129"/>
      <c r="S96" s="129"/>
      <c r="AA96" s="2"/>
      <c r="AN96" s="130"/>
      <c r="AO96" s="131"/>
    </row>
    <row r="97" spans="1:41" s="128" customFormat="1">
      <c r="G97" s="129"/>
      <c r="H97" s="129"/>
      <c r="I97" s="129"/>
      <c r="J97" s="129"/>
      <c r="K97" s="129"/>
      <c r="L97" s="129"/>
      <c r="M97" s="129"/>
      <c r="N97" s="129"/>
      <c r="O97" s="129"/>
      <c r="P97" s="129"/>
      <c r="Q97" s="129"/>
      <c r="R97" s="129"/>
      <c r="S97" s="129"/>
      <c r="AA97" s="2"/>
      <c r="AN97" s="130"/>
      <c r="AO97" s="131"/>
    </row>
    <row r="99" spans="1:41">
      <c r="B99" s="79" t="s">
        <v>172</v>
      </c>
    </row>
    <row r="100" spans="1:41">
      <c r="B100" s="518" t="s">
        <v>173</v>
      </c>
      <c r="C100" s="474"/>
      <c r="D100" s="474"/>
      <c r="E100" s="474"/>
      <c r="F100" s="474"/>
      <c r="G100" s="474"/>
      <c r="H100" s="474"/>
      <c r="I100" s="474"/>
      <c r="J100" s="474"/>
      <c r="K100" s="474"/>
      <c r="L100" s="474"/>
      <c r="M100" s="474"/>
      <c r="N100" s="474"/>
      <c r="O100" s="474"/>
      <c r="P100" s="474"/>
      <c r="Q100" s="475"/>
      <c r="T100" s="34"/>
      <c r="U100" s="34"/>
    </row>
    <row r="101" spans="1:41">
      <c r="B101" s="518" t="s">
        <v>174</v>
      </c>
      <c r="C101" s="474"/>
      <c r="D101" s="474"/>
      <c r="E101" s="474"/>
      <c r="F101" s="474"/>
      <c r="G101" s="474"/>
      <c r="H101" s="474"/>
      <c r="I101" s="474"/>
      <c r="J101" s="474"/>
      <c r="K101" s="474"/>
      <c r="L101" s="474"/>
      <c r="M101" s="474"/>
      <c r="N101" s="474"/>
      <c r="O101" s="474"/>
      <c r="P101" s="474"/>
      <c r="Q101" s="475"/>
      <c r="T101" s="34"/>
      <c r="U101" s="34"/>
    </row>
    <row r="102" spans="1:41" s="103" customFormat="1">
      <c r="B102" s="498" t="s">
        <v>175</v>
      </c>
      <c r="C102" s="474"/>
      <c r="D102" s="474"/>
      <c r="E102" s="474"/>
      <c r="F102" s="474"/>
      <c r="G102" s="474"/>
      <c r="H102" s="474"/>
      <c r="I102" s="474"/>
      <c r="J102" s="474"/>
      <c r="K102" s="474"/>
      <c r="L102" s="474"/>
      <c r="M102" s="474"/>
      <c r="N102" s="474"/>
      <c r="O102" s="474"/>
      <c r="P102" s="474"/>
      <c r="Q102" s="475"/>
      <c r="R102" s="77"/>
      <c r="S102" s="77"/>
      <c r="T102" s="77"/>
      <c r="U102" s="77"/>
      <c r="AA102" s="104"/>
      <c r="AN102" s="105"/>
      <c r="AO102" s="106"/>
    </row>
    <row r="103" spans="1:41" s="103" customFormat="1" ht="31.5" customHeight="1">
      <c r="B103" s="498" t="s">
        <v>176</v>
      </c>
      <c r="C103" s="474"/>
      <c r="D103" s="474"/>
      <c r="E103" s="474"/>
      <c r="F103" s="474"/>
      <c r="G103" s="474"/>
      <c r="H103" s="474"/>
      <c r="I103" s="474"/>
      <c r="J103" s="474"/>
      <c r="K103" s="474"/>
      <c r="L103" s="474"/>
      <c r="M103" s="474"/>
      <c r="N103" s="474"/>
      <c r="O103" s="474"/>
      <c r="P103" s="474"/>
      <c r="Q103" s="475"/>
      <c r="R103" s="77"/>
      <c r="S103" s="77"/>
      <c r="T103" s="77"/>
      <c r="U103" s="77"/>
      <c r="AA103" s="104"/>
      <c r="AN103" s="105"/>
      <c r="AO103" s="106"/>
    </row>
    <row r="104" spans="1:41" s="103" customFormat="1" ht="31.5" customHeight="1">
      <c r="B104" s="498" t="s">
        <v>177</v>
      </c>
      <c r="C104" s="474"/>
      <c r="D104" s="474"/>
      <c r="E104" s="474"/>
      <c r="F104" s="474"/>
      <c r="G104" s="474"/>
      <c r="H104" s="474"/>
      <c r="I104" s="474"/>
      <c r="J104" s="474"/>
      <c r="K104" s="474"/>
      <c r="L104" s="474"/>
      <c r="M104" s="474"/>
      <c r="N104" s="474"/>
      <c r="O104" s="474"/>
      <c r="P104" s="474"/>
      <c r="Q104" s="475"/>
      <c r="R104" s="77"/>
      <c r="S104" s="77"/>
      <c r="T104" s="77"/>
      <c r="U104" s="77"/>
      <c r="AA104" s="104"/>
      <c r="AN104" s="105"/>
      <c r="AO104" s="106"/>
    </row>
    <row r="105" spans="1:41" s="103" customFormat="1" ht="31.5" customHeight="1">
      <c r="B105" s="498" t="s">
        <v>178</v>
      </c>
      <c r="C105" s="474"/>
      <c r="D105" s="474"/>
      <c r="E105" s="474"/>
      <c r="F105" s="474"/>
      <c r="G105" s="474"/>
      <c r="H105" s="474"/>
      <c r="I105" s="474"/>
      <c r="J105" s="474"/>
      <c r="K105" s="474"/>
      <c r="L105" s="474"/>
      <c r="M105" s="474"/>
      <c r="N105" s="474"/>
      <c r="O105" s="474"/>
      <c r="P105" s="474"/>
      <c r="Q105" s="475"/>
      <c r="R105" s="77"/>
      <c r="S105" s="77"/>
      <c r="T105" s="77"/>
      <c r="U105" s="77"/>
      <c r="AA105" s="104"/>
      <c r="AN105" s="105"/>
      <c r="AO105" s="106"/>
    </row>
    <row r="106" spans="1:41" s="103" customFormat="1" ht="31.5" customHeight="1">
      <c r="B106" s="515" t="s">
        <v>179</v>
      </c>
      <c r="C106" s="474"/>
      <c r="D106" s="474"/>
      <c r="E106" s="474"/>
      <c r="F106" s="474"/>
      <c r="G106" s="474"/>
      <c r="H106" s="474"/>
      <c r="I106" s="474"/>
      <c r="J106" s="474"/>
      <c r="K106" s="474"/>
      <c r="L106" s="474"/>
      <c r="M106" s="474"/>
      <c r="N106" s="474"/>
      <c r="O106" s="474"/>
      <c r="P106" s="474"/>
      <c r="Q106" s="475"/>
      <c r="R106" s="77"/>
      <c r="S106" s="77"/>
      <c r="T106" s="77"/>
      <c r="U106" s="77"/>
      <c r="AA106" s="104"/>
      <c r="AN106" s="105"/>
      <c r="AO106" s="106"/>
    </row>
    <row r="107" spans="1:41" ht="31.5" customHeight="1">
      <c r="B107" s="500" t="s">
        <v>180</v>
      </c>
      <c r="C107" s="474"/>
      <c r="D107" s="474"/>
      <c r="E107" s="474"/>
      <c r="F107" s="474"/>
      <c r="G107" s="474"/>
      <c r="H107" s="474"/>
      <c r="I107" s="474"/>
      <c r="J107" s="474"/>
      <c r="K107" s="474"/>
      <c r="L107" s="474"/>
      <c r="M107" s="474"/>
      <c r="N107" s="474"/>
      <c r="O107" s="474"/>
      <c r="P107" s="474"/>
      <c r="Q107" s="475"/>
      <c r="T107" s="34"/>
      <c r="U107" s="34"/>
    </row>
    <row r="108" spans="1:41" ht="24.75" customHeight="1">
      <c r="B108" s="97"/>
      <c r="C108" s="224"/>
      <c r="D108" s="224"/>
      <c r="E108" s="225"/>
      <c r="F108" s="225"/>
      <c r="G108" s="74"/>
      <c r="H108" s="494"/>
      <c r="I108" s="495"/>
      <c r="J108" s="495"/>
      <c r="K108" s="495"/>
      <c r="L108" s="75"/>
      <c r="M108" s="74"/>
      <c r="Z108" s="2"/>
      <c r="AA108" s="121"/>
    </row>
    <row r="109" spans="1:41" ht="24.75" customHeight="1">
      <c r="F109" s="132"/>
      <c r="J109" s="97"/>
      <c r="K109" s="95"/>
      <c r="L109" s="95"/>
      <c r="M109" s="75"/>
      <c r="N109" s="74"/>
    </row>
    <row r="110" spans="1:41" ht="24.75" customHeight="1" thickBot="1">
      <c r="G110" s="127"/>
      <c r="H110" s="127"/>
      <c r="J110" s="94"/>
      <c r="K110" s="100"/>
      <c r="L110" s="100"/>
    </row>
    <row r="111" spans="1:41" ht="57.75" customHeight="1" thickBot="1">
      <c r="B111" s="551" t="s">
        <v>181</v>
      </c>
      <c r="C111" s="537"/>
      <c r="D111" s="538"/>
      <c r="E111" s="133"/>
      <c r="J111" s="94"/>
      <c r="K111" s="100"/>
      <c r="L111" s="100"/>
    </row>
    <row r="112" spans="1:41" s="103" customFormat="1" ht="75" customHeight="1">
      <c r="A112" s="134"/>
      <c r="B112" s="471" t="s">
        <v>146</v>
      </c>
      <c r="C112" s="471"/>
      <c r="D112" s="135" t="s">
        <v>182</v>
      </c>
      <c r="E112" s="136" t="s">
        <v>183</v>
      </c>
      <c r="F112" s="136" t="s">
        <v>184</v>
      </c>
      <c r="G112" s="136" t="s">
        <v>185</v>
      </c>
      <c r="H112" s="136" t="s">
        <v>186</v>
      </c>
      <c r="I112" s="136" t="s">
        <v>187</v>
      </c>
      <c r="J112" s="77"/>
      <c r="K112" s="516" t="s">
        <v>188</v>
      </c>
      <c r="L112" s="137"/>
      <c r="M112" s="516" t="s">
        <v>189</v>
      </c>
      <c r="N112" s="138"/>
      <c r="O112" s="40" t="s">
        <v>190</v>
      </c>
      <c r="P112" s="75"/>
      <c r="Q112" s="75"/>
      <c r="R112" s="75"/>
      <c r="S112" s="81"/>
      <c r="T112" s="75"/>
      <c r="U112" s="75"/>
      <c r="V112" s="139"/>
      <c r="W112" s="139"/>
      <c r="X112" s="139"/>
      <c r="Y112" s="139"/>
      <c r="Z112" s="139"/>
      <c r="AA112" s="140"/>
      <c r="AN112" s="105"/>
      <c r="AO112" s="106"/>
    </row>
    <row r="113" spans="1:41" s="103" customFormat="1" ht="52.5" customHeight="1">
      <c r="A113" s="134"/>
      <c r="B113" s="472"/>
      <c r="C113" s="472"/>
      <c r="D113" s="136" t="s">
        <v>191</v>
      </c>
      <c r="E113" s="136" t="s">
        <v>192</v>
      </c>
      <c r="F113" s="136" t="s">
        <v>193</v>
      </c>
      <c r="G113" s="136" t="s">
        <v>191</v>
      </c>
      <c r="H113" s="136" t="s">
        <v>192</v>
      </c>
      <c r="I113" s="136" t="s">
        <v>193</v>
      </c>
      <c r="J113" s="77"/>
      <c r="K113" s="472"/>
      <c r="L113" s="137"/>
      <c r="M113" s="472"/>
      <c r="N113" s="138"/>
      <c r="O113" s="227" t="s">
        <v>194</v>
      </c>
      <c r="P113" s="81"/>
      <c r="Q113" s="81"/>
      <c r="R113" s="62"/>
      <c r="S113" s="81"/>
      <c r="T113" s="81"/>
      <c r="U113" s="81"/>
      <c r="V113" s="139"/>
      <c r="W113" s="139"/>
      <c r="X113" s="139"/>
      <c r="Y113" s="139"/>
      <c r="Z113" s="139"/>
      <c r="AA113" s="140"/>
      <c r="AN113" s="105"/>
      <c r="AO113" s="106"/>
    </row>
    <row r="114" spans="1:41" s="103" customFormat="1" ht="61.5" customHeight="1">
      <c r="B114" s="553"/>
      <c r="C114" s="93"/>
      <c r="D114" s="143">
        <f>$A$189</f>
        <v>0.46162269817325502</v>
      </c>
      <c r="E114" s="143">
        <f>$A$182</f>
        <v>0.78800000000000003</v>
      </c>
      <c r="F114" s="143">
        <f>$A$183</f>
        <v>0.753</v>
      </c>
      <c r="G114" s="143">
        <f>$A$189</f>
        <v>0.46162269817325502</v>
      </c>
      <c r="H114" s="143">
        <f>$A$182</f>
        <v>0.78800000000000003</v>
      </c>
      <c r="I114" s="143">
        <f>$A$183</f>
        <v>0.753</v>
      </c>
      <c r="J114" s="77"/>
      <c r="K114" s="533" t="s">
        <v>195</v>
      </c>
      <c r="L114" s="226"/>
      <c r="M114" s="533" t="s">
        <v>196</v>
      </c>
      <c r="N114" s="138"/>
      <c r="O114" s="227" t="s">
        <v>197</v>
      </c>
      <c r="P114" s="100"/>
      <c r="Q114" s="101"/>
      <c r="R114" s="34"/>
      <c r="S114" s="97"/>
      <c r="T114" s="95"/>
      <c r="U114" s="100"/>
      <c r="V114" s="139"/>
      <c r="W114" s="139"/>
      <c r="X114" s="139"/>
      <c r="Y114" s="139"/>
      <c r="Z114" s="139"/>
      <c r="AA114" s="140"/>
      <c r="AN114" s="105"/>
      <c r="AO114" s="106"/>
    </row>
    <row r="115" spans="1:41" s="103" customFormat="1" ht="61.5" customHeight="1">
      <c r="B115" s="472"/>
      <c r="C115" s="93"/>
      <c r="D115" s="229" t="s">
        <v>198</v>
      </c>
      <c r="E115" s="229" t="s">
        <v>199</v>
      </c>
      <c r="F115" s="229" t="s">
        <v>200</v>
      </c>
      <c r="G115" s="229" t="s">
        <v>198</v>
      </c>
      <c r="H115" s="229" t="s">
        <v>199</v>
      </c>
      <c r="I115" s="229" t="s">
        <v>200</v>
      </c>
      <c r="J115" s="77"/>
      <c r="K115" s="472"/>
      <c r="L115" s="226"/>
      <c r="M115" s="472"/>
      <c r="N115" s="138"/>
      <c r="O115" s="227" t="s">
        <v>201</v>
      </c>
      <c r="P115" s="100"/>
      <c r="Q115" s="101"/>
      <c r="R115" s="148"/>
      <c r="S115" s="97"/>
      <c r="T115" s="95"/>
      <c r="U115" s="100"/>
      <c r="V115" s="139"/>
      <c r="W115" s="139"/>
      <c r="X115" s="139"/>
      <c r="Y115" s="139"/>
      <c r="Z115" s="139"/>
      <c r="AA115" s="140"/>
      <c r="AN115" s="105"/>
      <c r="AO115" s="106"/>
    </row>
    <row r="116" spans="1:41" s="103" customFormat="1" ht="27.75" customHeight="1">
      <c r="B116" s="476" t="s">
        <v>30</v>
      </c>
      <c r="C116" s="481"/>
      <c r="D116" s="508">
        <v>0.4</v>
      </c>
      <c r="E116" s="479">
        <v>0.35</v>
      </c>
      <c r="F116" s="479">
        <v>0.25</v>
      </c>
      <c r="G116" s="479">
        <v>0.4</v>
      </c>
      <c r="H116" s="479">
        <v>0.35</v>
      </c>
      <c r="I116" s="479">
        <v>0.25</v>
      </c>
      <c r="J116" s="476" t="s">
        <v>30</v>
      </c>
      <c r="K116" s="493">
        <f>((1 - $K$47)^0.4 * $A$182^0.35) / ($A$182^0.35 + $A$183^0.25)</f>
        <v>0.28993674794088009</v>
      </c>
      <c r="L116" s="146"/>
      <c r="M116" s="493">
        <f>((1 - $K$47)^0.4 * $A$183^0.25) / ($A$182^0.35 + $A$183^0.25)</f>
        <v>0.29357416295693861</v>
      </c>
      <c r="N116" s="149"/>
      <c r="O116" s="227" t="s">
        <v>202</v>
      </c>
      <c r="P116" s="100"/>
      <c r="Q116" s="100"/>
      <c r="R116" s="34"/>
      <c r="S116" s="97"/>
      <c r="T116" s="100"/>
      <c r="U116" s="101"/>
      <c r="V116" s="139"/>
      <c r="W116" s="139"/>
      <c r="X116" s="139"/>
      <c r="Y116" s="139"/>
      <c r="Z116" s="139"/>
      <c r="AA116" s="140"/>
      <c r="AN116" s="105"/>
      <c r="AO116" s="106"/>
    </row>
    <row r="117" spans="1:41" s="103" customFormat="1" ht="27.75" customHeight="1">
      <c r="B117" s="472"/>
      <c r="C117" s="472"/>
      <c r="D117" s="472"/>
      <c r="E117" s="472"/>
      <c r="F117" s="472"/>
      <c r="G117" s="472"/>
      <c r="H117" s="472"/>
      <c r="I117" s="472"/>
      <c r="J117" s="472"/>
      <c r="K117" s="472"/>
      <c r="L117" s="146"/>
      <c r="M117" s="472"/>
      <c r="N117" s="150"/>
      <c r="O117" s="227" t="s">
        <v>203</v>
      </c>
      <c r="P117" s="98"/>
      <c r="Q117" s="151"/>
      <c r="R117" s="34"/>
      <c r="S117" s="147"/>
      <c r="T117" s="100"/>
      <c r="U117" s="101"/>
      <c r="V117" s="139"/>
      <c r="W117" s="139"/>
      <c r="X117" s="139"/>
      <c r="Y117" s="139"/>
      <c r="Z117" s="139"/>
      <c r="AA117" s="140"/>
      <c r="AN117" s="105"/>
      <c r="AO117" s="106"/>
    </row>
    <row r="118" spans="1:41" s="152" customFormat="1" ht="27.75" customHeight="1">
      <c r="B118" s="485" t="s">
        <v>33</v>
      </c>
      <c r="C118" s="483"/>
      <c r="D118" s="486">
        <v>0.5</v>
      </c>
      <c r="E118" s="486">
        <v>0.4</v>
      </c>
      <c r="F118" s="486">
        <v>0.1</v>
      </c>
      <c r="G118" s="478">
        <v>0.5</v>
      </c>
      <c r="H118" s="478">
        <v>0.1</v>
      </c>
      <c r="I118" s="478">
        <v>0.4</v>
      </c>
      <c r="J118" s="485" t="s">
        <v>33</v>
      </c>
      <c r="K118" s="493">
        <f>((1 - $K$49)^0.5 * $A$182^0.4) / ($A$182^0.4 + $A$183^0.1)</f>
        <v>0.24405146747497974</v>
      </c>
      <c r="L118" s="146"/>
      <c r="M118" s="493">
        <f>((1 - $K$49)^0.5 * $A$183^0.4) / ($A$182^0.1 + $A$183^0.4)</f>
        <v>0.24118795417306507</v>
      </c>
      <c r="N118" s="149"/>
      <c r="O118" s="228" t="s">
        <v>204</v>
      </c>
      <c r="P118" s="95"/>
      <c r="Q118" s="100"/>
      <c r="R118" s="34"/>
      <c r="V118" s="139"/>
      <c r="W118" s="139"/>
      <c r="X118" s="139"/>
      <c r="Y118" s="139"/>
      <c r="Z118" s="139"/>
      <c r="AA118" s="140"/>
      <c r="AN118" s="153"/>
      <c r="AO118" s="154"/>
    </row>
    <row r="119" spans="1:41" s="152" customFormat="1" ht="27.75" customHeight="1">
      <c r="B119" s="472"/>
      <c r="C119" s="472"/>
      <c r="D119" s="472"/>
      <c r="E119" s="472"/>
      <c r="F119" s="472"/>
      <c r="G119" s="472"/>
      <c r="H119" s="472"/>
      <c r="I119" s="472"/>
      <c r="J119" s="472"/>
      <c r="K119" s="472"/>
      <c r="L119" s="146"/>
      <c r="M119" s="472"/>
      <c r="N119" s="155"/>
      <c r="O119" s="228"/>
      <c r="P119" s="95"/>
      <c r="Q119" s="100"/>
      <c r="R119" s="34"/>
      <c r="V119" s="139"/>
      <c r="W119" s="139"/>
      <c r="X119" s="139"/>
      <c r="Y119" s="139"/>
      <c r="Z119" s="139"/>
      <c r="AA119" s="140"/>
      <c r="AN119" s="153"/>
      <c r="AO119" s="154"/>
    </row>
    <row r="120" spans="1:41" ht="27.75" customHeight="1">
      <c r="B120" s="476" t="s">
        <v>37</v>
      </c>
      <c r="C120" s="481"/>
      <c r="D120" s="479">
        <v>0.3</v>
      </c>
      <c r="E120" s="479">
        <v>0.4</v>
      </c>
      <c r="F120" s="479">
        <v>0.3</v>
      </c>
      <c r="G120" s="482">
        <v>0.3</v>
      </c>
      <c r="H120" s="482">
        <v>0.4</v>
      </c>
      <c r="I120" s="482">
        <v>0.3</v>
      </c>
      <c r="J120" s="476" t="s">
        <v>37</v>
      </c>
      <c r="K120" s="493">
        <f>((1 - $K$51)^0.3 * $A$182^0.4) / ($A$182^0.4 + $A$183^0.3)</f>
        <v>0.38360504166307752</v>
      </c>
      <c r="L120" s="146"/>
      <c r="M120" s="493">
        <f>((1 - $K$51)^0.3 * $A$183^0.3) / ($A$182^0.4 + $A$183^0.3)</f>
        <v>0.38753623195414322</v>
      </c>
      <c r="N120" s="149"/>
      <c r="O120" s="228"/>
      <c r="P120" s="95"/>
      <c r="Q120" s="100"/>
      <c r="S120" s="97"/>
      <c r="T120" s="95"/>
      <c r="U120" s="156"/>
      <c r="V120" s="139"/>
      <c r="W120" s="139"/>
      <c r="X120" s="139"/>
      <c r="Y120" s="139"/>
      <c r="Z120" s="139"/>
      <c r="AA120" s="140"/>
    </row>
    <row r="121" spans="1:41" ht="27.75" customHeight="1">
      <c r="B121" s="472"/>
      <c r="C121" s="472"/>
      <c r="D121" s="472"/>
      <c r="E121" s="472"/>
      <c r="F121" s="472"/>
      <c r="G121" s="472"/>
      <c r="H121" s="472"/>
      <c r="I121" s="472"/>
      <c r="J121" s="472"/>
      <c r="K121" s="472"/>
      <c r="L121" s="146"/>
      <c r="M121" s="472"/>
      <c r="N121" s="155"/>
      <c r="O121" s="87" t="s">
        <v>205</v>
      </c>
      <c r="P121" s="95"/>
      <c r="Q121" s="95"/>
      <c r="R121" s="139"/>
      <c r="S121" s="132"/>
      <c r="T121" s="95"/>
      <c r="U121" s="156"/>
      <c r="V121" s="139"/>
      <c r="W121" s="139"/>
      <c r="X121" s="139"/>
      <c r="Y121" s="139"/>
      <c r="Z121" s="139"/>
      <c r="AA121" s="140"/>
    </row>
    <row r="122" spans="1:41" ht="27.75" customHeight="1">
      <c r="B122" s="485" t="s">
        <v>44</v>
      </c>
      <c r="C122" s="483"/>
      <c r="D122" s="486">
        <v>0.35</v>
      </c>
      <c r="E122" s="486">
        <v>0.3</v>
      </c>
      <c r="F122" s="486">
        <v>0.35</v>
      </c>
      <c r="G122" s="478">
        <v>0.35</v>
      </c>
      <c r="H122" s="478">
        <v>0.35</v>
      </c>
      <c r="I122" s="478">
        <v>0.3</v>
      </c>
      <c r="J122" s="485" t="s">
        <v>44</v>
      </c>
      <c r="K122" s="493">
        <f>((1 - $K$53)^0.35 * $A$182^0.3) / ($A$182^0.3 + $A$183^0.35)</f>
        <v>0.39724338068897863</v>
      </c>
      <c r="L122" s="146"/>
      <c r="M122" s="493">
        <f>((1 - $K$53)^0.35 * $A$183^0.3) / ($A$182^0.35 + $A$183^0.3)</f>
        <v>0.39145861282807365</v>
      </c>
      <c r="N122" s="149"/>
      <c r="O122" s="102" t="s">
        <v>206</v>
      </c>
      <c r="P122" s="95"/>
      <c r="Q122" s="156"/>
      <c r="R122" s="139"/>
      <c r="S122" s="97"/>
      <c r="T122" s="95"/>
      <c r="U122" s="156"/>
      <c r="V122" s="139"/>
      <c r="W122" s="139"/>
      <c r="X122" s="139"/>
      <c r="Y122" s="139"/>
      <c r="Z122" s="139"/>
      <c r="AA122" s="140"/>
    </row>
    <row r="123" spans="1:41" ht="27.75" customHeight="1">
      <c r="B123" s="472"/>
      <c r="C123" s="472"/>
      <c r="D123" s="472"/>
      <c r="E123" s="472"/>
      <c r="F123" s="472"/>
      <c r="G123" s="472"/>
      <c r="H123" s="472"/>
      <c r="I123" s="472"/>
      <c r="J123" s="472"/>
      <c r="K123" s="472"/>
      <c r="L123" s="146"/>
      <c r="M123" s="472"/>
      <c r="N123" s="155"/>
      <c r="O123" s="102" t="s">
        <v>207</v>
      </c>
      <c r="P123" s="157"/>
      <c r="Q123" s="157"/>
      <c r="R123" s="139"/>
      <c r="S123" s="97"/>
      <c r="T123" s="95"/>
      <c r="U123" s="156"/>
      <c r="V123" s="139"/>
      <c r="W123" s="139"/>
      <c r="X123" s="139"/>
      <c r="Y123" s="139"/>
      <c r="Z123" s="139"/>
      <c r="AA123" s="140"/>
    </row>
    <row r="124" spans="1:41" ht="27.75" customHeight="1">
      <c r="B124" s="476" t="s">
        <v>50</v>
      </c>
      <c r="C124" s="481"/>
      <c r="D124" s="479">
        <v>0.4</v>
      </c>
      <c r="E124" s="479">
        <v>0.3</v>
      </c>
      <c r="F124" s="479">
        <v>0.3</v>
      </c>
      <c r="G124" s="482">
        <v>0.4</v>
      </c>
      <c r="H124" s="482">
        <v>0.3</v>
      </c>
      <c r="I124" s="482">
        <v>0.3</v>
      </c>
      <c r="J124" s="476" t="s">
        <v>50</v>
      </c>
      <c r="K124" s="493">
        <f>((1 - $K$55)^0.4 * $A$182^0.3) / ($A$182^0.3 + $A$183^0.3)</f>
        <v>0.32611211290750292</v>
      </c>
      <c r="L124" s="146"/>
      <c r="M124" s="493">
        <f>((1 - $K$55)^0.4 * $A$183^0.3) / ($A$182^0.3 + $A$183^0.3)</f>
        <v>0.32169740518049517</v>
      </c>
      <c r="N124" s="149"/>
      <c r="O124" s="102" t="s">
        <v>208</v>
      </c>
      <c r="P124" s="100"/>
      <c r="Q124" s="100"/>
      <c r="R124" s="139"/>
      <c r="S124" s="97"/>
      <c r="T124" s="95"/>
      <c r="U124" s="156"/>
      <c r="V124" s="139"/>
      <c r="W124" s="139"/>
      <c r="X124" s="139"/>
      <c r="Y124" s="139"/>
      <c r="Z124" s="139"/>
      <c r="AA124" s="140"/>
    </row>
    <row r="125" spans="1:41" ht="27.75" customHeight="1">
      <c r="B125" s="472"/>
      <c r="C125" s="472"/>
      <c r="D125" s="472"/>
      <c r="E125" s="472"/>
      <c r="F125" s="472"/>
      <c r="G125" s="472"/>
      <c r="H125" s="472"/>
      <c r="I125" s="472"/>
      <c r="J125" s="472"/>
      <c r="K125" s="472"/>
      <c r="L125" s="146"/>
      <c r="M125" s="472"/>
      <c r="N125" s="155"/>
      <c r="O125" s="102" t="s">
        <v>209</v>
      </c>
      <c r="P125" s="100"/>
      <c r="Q125" s="100"/>
      <c r="R125" s="139"/>
      <c r="S125" s="97"/>
      <c r="T125" s="95"/>
      <c r="U125" s="156"/>
      <c r="V125" s="139"/>
      <c r="W125" s="139"/>
      <c r="X125" s="139"/>
      <c r="Y125" s="139"/>
      <c r="Z125" s="139"/>
      <c r="AA125" s="140"/>
    </row>
    <row r="126" spans="1:41" ht="27.75" customHeight="1">
      <c r="B126" s="488" t="s">
        <v>54</v>
      </c>
      <c r="C126" s="483"/>
      <c r="D126" s="486">
        <v>0.45</v>
      </c>
      <c r="E126" s="486">
        <v>0.35</v>
      </c>
      <c r="F126" s="486">
        <v>0.2</v>
      </c>
      <c r="G126" s="478">
        <v>0.45</v>
      </c>
      <c r="H126" s="478">
        <v>0.2</v>
      </c>
      <c r="I126" s="478">
        <v>0.35</v>
      </c>
      <c r="J126" s="488" t="s">
        <v>54</v>
      </c>
      <c r="K126" s="493">
        <f>((1 - $K$57)^0.45 * $A$182^0.35) / ($A$182^0.35 + $A$183^0.2)</f>
        <v>0.26912196073081546</v>
      </c>
      <c r="L126" s="146"/>
      <c r="M126" s="493">
        <f>((1 - $K$57)^0.45 * $A$183^0.35) / ($A$182^0.2 + $A$183^0.35)</f>
        <v>0.26571548039481213</v>
      </c>
      <c r="N126" s="149"/>
      <c r="O126" s="139"/>
      <c r="P126" s="139"/>
      <c r="Q126" s="139"/>
      <c r="R126" s="139"/>
      <c r="S126" s="158"/>
      <c r="T126" s="159"/>
      <c r="V126" s="139"/>
      <c r="W126" s="139"/>
      <c r="X126" s="139"/>
      <c r="Y126" s="139"/>
      <c r="Z126" s="139"/>
      <c r="AA126" s="140"/>
    </row>
    <row r="127" spans="1:41" ht="27.75" customHeight="1">
      <c r="B127" s="472"/>
      <c r="C127" s="472"/>
      <c r="D127" s="472"/>
      <c r="E127" s="472"/>
      <c r="F127" s="472"/>
      <c r="G127" s="472"/>
      <c r="H127" s="472"/>
      <c r="I127" s="472"/>
      <c r="J127" s="472"/>
      <c r="K127" s="472"/>
      <c r="L127" s="146"/>
      <c r="M127" s="472"/>
      <c r="N127" s="155"/>
      <c r="O127" s="127"/>
      <c r="P127" s="139"/>
      <c r="Q127" s="139"/>
      <c r="R127" s="139"/>
      <c r="S127" s="23"/>
      <c r="T127" s="23"/>
      <c r="U127" s="23"/>
      <c r="V127" s="139"/>
      <c r="W127" s="139"/>
      <c r="X127" s="139"/>
      <c r="Y127" s="139"/>
      <c r="Z127" s="139"/>
      <c r="AA127" s="140"/>
    </row>
    <row r="128" spans="1:41" s="103" customFormat="1" ht="27.75" customHeight="1">
      <c r="B128" s="476" t="s">
        <v>58</v>
      </c>
      <c r="C128" s="481"/>
      <c r="D128" s="479">
        <v>0.3</v>
      </c>
      <c r="E128" s="479">
        <v>0.35</v>
      </c>
      <c r="F128" s="479">
        <v>0.35</v>
      </c>
      <c r="G128" s="482">
        <v>0.3</v>
      </c>
      <c r="H128" s="482">
        <v>0.35</v>
      </c>
      <c r="I128" s="482">
        <v>0.35</v>
      </c>
      <c r="J128" s="476" t="s">
        <v>58</v>
      </c>
      <c r="K128" s="493">
        <f>((1 - $K$59)^0.3 * $A$182^0.35) / ($A$182^0.35 + $A$183^0.35)</f>
        <v>0.4089104969532994</v>
      </c>
      <c r="L128" s="146"/>
      <c r="M128" s="493">
        <f>((1 - $K$59)^0.3 * $A$183^0.35) / ($A$182^0.35 + $A$183^0.35)</f>
        <v>0.4024596311381935</v>
      </c>
      <c r="N128" s="149"/>
      <c r="O128" s="160"/>
      <c r="P128" s="139"/>
      <c r="Q128" s="139"/>
      <c r="R128" s="139"/>
      <c r="S128" s="75"/>
      <c r="T128" s="75"/>
      <c r="U128" s="75"/>
      <c r="V128" s="139"/>
      <c r="W128" s="139"/>
      <c r="X128" s="139"/>
      <c r="Y128" s="139"/>
      <c r="Z128" s="139"/>
      <c r="AA128" s="140"/>
      <c r="AN128" s="105"/>
      <c r="AO128" s="106"/>
    </row>
    <row r="129" spans="2:41" s="103" customFormat="1" ht="41.25" customHeight="1">
      <c r="B129" s="472"/>
      <c r="C129" s="472"/>
      <c r="D129" s="472"/>
      <c r="E129" s="472"/>
      <c r="F129" s="472"/>
      <c r="G129" s="472"/>
      <c r="H129" s="472"/>
      <c r="I129" s="472"/>
      <c r="J129" s="472"/>
      <c r="K129" s="472"/>
      <c r="L129" s="146"/>
      <c r="M129" s="472"/>
      <c r="N129" s="155"/>
      <c r="O129" s="161"/>
      <c r="P129" s="139"/>
      <c r="Q129" s="139"/>
      <c r="R129" s="139"/>
      <c r="S129" s="75"/>
      <c r="T129" s="75"/>
      <c r="U129" s="75"/>
      <c r="V129" s="139"/>
      <c r="W129" s="139"/>
      <c r="X129" s="139"/>
      <c r="Y129" s="139"/>
      <c r="Z129" s="139"/>
      <c r="AA129" s="140"/>
      <c r="AN129" s="105"/>
      <c r="AO129" s="106"/>
    </row>
    <row r="130" spans="2:41" s="103" customFormat="1" ht="17.25" customHeight="1">
      <c r="B130" s="107"/>
      <c r="C130" s="162"/>
      <c r="D130" s="163"/>
      <c r="E130" s="163"/>
      <c r="F130" s="163"/>
      <c r="G130" s="163"/>
      <c r="H130" s="163"/>
      <c r="I130" s="163"/>
      <c r="J130" s="107"/>
      <c r="K130" s="164"/>
      <c r="L130" s="146"/>
      <c r="M130" s="164"/>
      <c r="N130" s="155"/>
      <c r="O130" s="161"/>
      <c r="P130" s="139"/>
      <c r="Q130" s="139"/>
      <c r="R130" s="139"/>
      <c r="S130" s="75"/>
      <c r="T130" s="75"/>
      <c r="U130" s="75"/>
      <c r="V130" s="139"/>
      <c r="W130" s="139"/>
      <c r="X130" s="139"/>
      <c r="Y130" s="139"/>
      <c r="Z130" s="139"/>
      <c r="AA130" s="140"/>
      <c r="AN130" s="105"/>
      <c r="AO130" s="106"/>
    </row>
    <row r="131" spans="2:41" s="103" customFormat="1" ht="17.25" customHeight="1">
      <c r="B131" s="107"/>
      <c r="C131" s="162"/>
      <c r="D131" s="163"/>
      <c r="E131" s="163"/>
      <c r="F131" s="163"/>
      <c r="G131" s="163"/>
      <c r="H131" s="163"/>
      <c r="I131" s="163"/>
      <c r="J131" s="107"/>
      <c r="K131" s="164"/>
      <c r="L131" s="146"/>
      <c r="M131" s="164"/>
      <c r="N131" s="155"/>
      <c r="O131" s="161"/>
      <c r="P131" s="139"/>
      <c r="Q131" s="139"/>
      <c r="R131" s="139"/>
      <c r="S131" s="75"/>
      <c r="T131" s="75"/>
      <c r="U131" s="75"/>
      <c r="V131" s="139"/>
      <c r="W131" s="139"/>
      <c r="X131" s="139"/>
      <c r="Y131" s="139"/>
      <c r="Z131" s="139"/>
      <c r="AA131" s="140"/>
      <c r="AN131" s="105"/>
      <c r="AO131" s="106"/>
    </row>
    <row r="132" spans="2:41" s="103" customFormat="1" ht="17.25" customHeight="1">
      <c r="B132" s="107"/>
      <c r="C132" s="162"/>
      <c r="D132" s="163"/>
      <c r="E132" s="163"/>
      <c r="F132" s="163"/>
      <c r="G132" s="163"/>
      <c r="H132" s="163"/>
      <c r="I132" s="163"/>
      <c r="J132" s="107"/>
      <c r="K132" s="164"/>
      <c r="L132" s="146"/>
      <c r="M132" s="164"/>
      <c r="N132" s="155"/>
      <c r="R132" s="139"/>
      <c r="S132" s="75"/>
      <c r="T132" s="75"/>
      <c r="U132" s="75"/>
      <c r="V132" s="139"/>
      <c r="W132" s="139"/>
      <c r="X132" s="139"/>
      <c r="Y132" s="139"/>
      <c r="Z132" s="139"/>
      <c r="AA132" s="140"/>
      <c r="AN132" s="105"/>
      <c r="AO132" s="106"/>
    </row>
    <row r="133" spans="2:41" s="171" customFormat="1" ht="28.5" customHeight="1">
      <c r="B133" s="165"/>
      <c r="C133" s="166"/>
      <c r="D133" s="167"/>
      <c r="E133" s="167"/>
      <c r="F133" s="167"/>
      <c r="G133" s="167"/>
      <c r="H133" s="167"/>
      <c r="I133" s="167"/>
      <c r="J133" s="165"/>
      <c r="K133" s="168"/>
      <c r="L133" s="169"/>
      <c r="M133" s="168"/>
      <c r="N133" s="170"/>
      <c r="U133" s="172"/>
      <c r="V133" s="173"/>
      <c r="W133" s="173"/>
      <c r="X133" s="173"/>
      <c r="Y133" s="173"/>
      <c r="Z133" s="173"/>
      <c r="AA133" s="174"/>
      <c r="AN133" s="175"/>
      <c r="AO133" s="176"/>
    </row>
    <row r="134" spans="2:41" s="103" customFormat="1" ht="17.25" customHeight="1">
      <c r="B134" s="107"/>
      <c r="C134" s="162"/>
      <c r="D134" s="163"/>
      <c r="E134" s="163"/>
      <c r="F134" s="163"/>
      <c r="G134" s="163"/>
      <c r="H134" s="163"/>
      <c r="I134" s="163"/>
      <c r="J134" s="107"/>
      <c r="K134" s="164"/>
      <c r="L134" s="146"/>
      <c r="M134" s="164"/>
      <c r="N134" s="155"/>
      <c r="R134" s="139"/>
      <c r="S134" s="75"/>
      <c r="T134" s="75"/>
      <c r="U134" s="75"/>
      <c r="V134" s="139"/>
      <c r="W134" s="139"/>
      <c r="X134" s="139"/>
      <c r="Y134" s="139"/>
      <c r="Z134" s="139"/>
      <c r="AA134" s="140"/>
      <c r="AN134" s="105"/>
      <c r="AO134" s="106"/>
    </row>
    <row r="135" spans="2:41" s="103" customFormat="1" ht="17.25" customHeight="1">
      <c r="B135" s="107"/>
      <c r="C135" s="162"/>
      <c r="D135" s="163"/>
      <c r="E135" s="163"/>
      <c r="F135" s="163"/>
      <c r="G135" s="163"/>
      <c r="H135" s="163"/>
      <c r="I135" s="163"/>
      <c r="J135" s="107"/>
      <c r="K135" s="164"/>
      <c r="L135" s="146"/>
      <c r="M135" s="164"/>
      <c r="N135" s="155"/>
      <c r="O135" s="94"/>
      <c r="P135" s="100"/>
      <c r="Q135" s="100"/>
      <c r="R135" s="139"/>
      <c r="S135" s="75"/>
      <c r="T135" s="75"/>
      <c r="U135" s="75"/>
      <c r="V135" s="139"/>
      <c r="W135" s="139"/>
      <c r="X135" s="139"/>
      <c r="Y135" s="139"/>
      <c r="Z135" s="139"/>
      <c r="AA135" s="140"/>
      <c r="AN135" s="105"/>
      <c r="AO135" s="106"/>
    </row>
    <row r="136" spans="2:41" s="103" customFormat="1" ht="17.25" customHeight="1">
      <c r="B136" s="79" t="s">
        <v>210</v>
      </c>
      <c r="C136" s="163"/>
      <c r="D136" s="163"/>
      <c r="E136" s="163"/>
      <c r="F136" s="163"/>
      <c r="G136" s="163"/>
      <c r="H136" s="163"/>
      <c r="I136" s="107"/>
      <c r="J136" s="164"/>
      <c r="K136" s="146"/>
      <c r="L136" s="164"/>
      <c r="M136" s="155"/>
      <c r="N136" s="34"/>
      <c r="O136" s="34"/>
      <c r="P136" s="34"/>
      <c r="Q136" s="139"/>
      <c r="R136" s="75"/>
      <c r="S136" s="75"/>
      <c r="T136" s="75"/>
      <c r="U136" s="139"/>
      <c r="V136" s="139"/>
      <c r="W136" s="139"/>
      <c r="X136" s="139"/>
      <c r="Y136" s="139"/>
      <c r="Z136" s="140"/>
      <c r="AA136" s="121"/>
      <c r="AN136" s="105"/>
      <c r="AO136" s="106"/>
    </row>
    <row r="137" spans="2:41">
      <c r="B137" s="81"/>
      <c r="C137" s="81"/>
      <c r="D137" s="81"/>
      <c r="E137" s="81"/>
      <c r="F137" s="81"/>
      <c r="N137" s="177"/>
      <c r="O137" s="177"/>
      <c r="P137" s="178"/>
      <c r="AA137" s="121"/>
    </row>
    <row r="138" spans="2:41" ht="27.75" customHeight="1">
      <c r="B138" s="97"/>
      <c r="C138" s="221"/>
      <c r="D138" s="35"/>
      <c r="E138" s="224"/>
      <c r="F138" s="231"/>
      <c r="G138" s="74"/>
      <c r="H138" s="494"/>
      <c r="I138" s="495"/>
      <c r="J138" s="495"/>
      <c r="K138" s="495"/>
      <c r="N138" s="30"/>
      <c r="O138" s="30"/>
      <c r="AA138" s="121"/>
    </row>
    <row r="139" spans="2:41" ht="27.75" customHeight="1">
      <c r="B139" s="179"/>
      <c r="C139" s="221"/>
      <c r="D139" s="221"/>
      <c r="E139" s="221"/>
      <c r="F139" s="221"/>
      <c r="G139" s="232"/>
      <c r="H139" s="494"/>
      <c r="I139" s="495"/>
      <c r="J139" s="495"/>
      <c r="K139" s="495"/>
      <c r="AA139" s="121"/>
    </row>
    <row r="140" spans="2:41" ht="27.75" customHeight="1">
      <c r="B140" s="94"/>
      <c r="C140" s="35"/>
      <c r="D140" s="35"/>
      <c r="E140" s="231"/>
      <c r="F140" s="231"/>
      <c r="G140" s="74"/>
      <c r="H140" s="494"/>
      <c r="I140" s="495"/>
      <c r="J140" s="495"/>
      <c r="K140" s="495"/>
      <c r="AA140" s="121"/>
    </row>
    <row r="141" spans="2:41" ht="27.75" customHeight="1">
      <c r="B141" s="97"/>
      <c r="C141" s="35"/>
      <c r="D141" s="35"/>
      <c r="E141" s="231"/>
      <c r="F141" s="231"/>
      <c r="G141" s="74"/>
      <c r="H141" s="494"/>
      <c r="I141" s="495"/>
      <c r="J141" s="495"/>
      <c r="K141" s="495"/>
      <c r="AA141" s="121"/>
    </row>
    <row r="142" spans="2:41" ht="27.75" customHeight="1">
      <c r="B142" s="97"/>
      <c r="C142" s="221"/>
      <c r="D142" s="221"/>
      <c r="E142" s="224"/>
      <c r="F142" s="224"/>
      <c r="G142" s="74"/>
      <c r="H142" s="494"/>
      <c r="I142" s="495"/>
      <c r="J142" s="495"/>
      <c r="K142" s="495"/>
      <c r="AA142" s="121"/>
    </row>
    <row r="143" spans="2:41" ht="27.75" customHeight="1">
      <c r="B143" s="97"/>
      <c r="C143" s="221"/>
      <c r="D143" s="35"/>
      <c r="E143" s="224"/>
      <c r="F143" s="233"/>
      <c r="G143" s="74"/>
      <c r="H143" s="494"/>
      <c r="I143" s="495"/>
      <c r="J143" s="495"/>
      <c r="K143" s="495"/>
      <c r="AA143" s="121"/>
    </row>
    <row r="144" spans="2:41" ht="24" customHeight="1" thickBot="1">
      <c r="O144" s="100"/>
      <c r="P144" s="101"/>
    </row>
    <row r="145" spans="1:41" ht="57.75" customHeight="1" thickBot="1">
      <c r="B145" s="566" t="s">
        <v>211</v>
      </c>
      <c r="C145" s="537"/>
      <c r="D145" s="538"/>
      <c r="E145" s="133"/>
      <c r="F145" s="13" t="s">
        <v>212</v>
      </c>
      <c r="G145" s="222" t="s">
        <v>213</v>
      </c>
      <c r="H145" s="13" t="s">
        <v>214</v>
      </c>
      <c r="I145" s="222" t="s">
        <v>215</v>
      </c>
      <c r="O145" s="100"/>
      <c r="P145" s="101"/>
      <c r="Q145" s="148"/>
    </row>
    <row r="146" spans="1:41" s="103" customFormat="1" ht="75" customHeight="1">
      <c r="A146" s="134"/>
      <c r="B146" s="471" t="s">
        <v>146</v>
      </c>
      <c r="C146" s="135"/>
      <c r="D146" s="135" t="s">
        <v>182</v>
      </c>
      <c r="E146" s="136" t="s">
        <v>183</v>
      </c>
      <c r="F146" s="136" t="s">
        <v>184</v>
      </c>
      <c r="G146" s="135" t="s">
        <v>185</v>
      </c>
      <c r="H146" s="136" t="s">
        <v>186</v>
      </c>
      <c r="I146" s="136" t="s">
        <v>187</v>
      </c>
      <c r="J146" s="77"/>
      <c r="K146" s="516" t="s">
        <v>216</v>
      </c>
      <c r="L146" s="137"/>
      <c r="M146" s="516" t="s">
        <v>217</v>
      </c>
      <c r="N146" s="138"/>
      <c r="O146" s="81"/>
      <c r="P146" s="100"/>
      <c r="Q146" s="100"/>
      <c r="R146" s="34"/>
      <c r="S146" s="81"/>
      <c r="T146" s="75"/>
      <c r="U146" s="75"/>
      <c r="V146" s="139"/>
      <c r="W146" s="139"/>
      <c r="X146" s="139"/>
      <c r="Y146" s="139"/>
      <c r="Z146" s="139"/>
      <c r="AA146" s="140"/>
      <c r="AN146" s="105"/>
      <c r="AO146" s="106"/>
    </row>
    <row r="147" spans="1:41" s="103" customFormat="1" ht="52.5" customHeight="1">
      <c r="A147" s="134"/>
      <c r="B147" s="472"/>
      <c r="C147" s="136"/>
      <c r="D147" s="136" t="s">
        <v>192</v>
      </c>
      <c r="E147" s="136" t="s">
        <v>193</v>
      </c>
      <c r="F147" s="81" t="s">
        <v>218</v>
      </c>
      <c r="G147" s="136" t="s">
        <v>192</v>
      </c>
      <c r="H147" s="136" t="s">
        <v>193</v>
      </c>
      <c r="I147" s="81" t="s">
        <v>218</v>
      </c>
      <c r="J147" s="77"/>
      <c r="K147" s="472"/>
      <c r="L147" s="137"/>
      <c r="M147" s="472"/>
      <c r="N147" s="138"/>
      <c r="O147" s="81"/>
      <c r="P147" s="98"/>
      <c r="Q147" s="151"/>
      <c r="R147" s="34"/>
      <c r="S147" s="81"/>
      <c r="T147" s="81"/>
      <c r="U147" s="81"/>
      <c r="V147" s="139"/>
      <c r="W147" s="139"/>
      <c r="X147" s="139"/>
      <c r="Y147" s="139"/>
      <c r="Z147" s="139"/>
      <c r="AA147" s="140"/>
      <c r="AN147" s="105"/>
      <c r="AO147" s="106"/>
    </row>
    <row r="148" spans="1:41" s="103" customFormat="1" ht="90.75" customHeight="1">
      <c r="B148" s="553"/>
      <c r="C148" s="143"/>
      <c r="D148" s="143">
        <f>$A$182</f>
        <v>0.78800000000000003</v>
      </c>
      <c r="E148" s="143">
        <f>$A$183</f>
        <v>0.753</v>
      </c>
      <c r="F148" s="143">
        <f>$A$186</f>
        <v>0.95468708356552701</v>
      </c>
      <c r="G148" s="143">
        <f>$A$182</f>
        <v>0.78800000000000003</v>
      </c>
      <c r="H148" s="143">
        <f>$A$183</f>
        <v>0.753</v>
      </c>
      <c r="I148" s="143">
        <f>$A$186</f>
        <v>0.95468708356552701</v>
      </c>
      <c r="J148" s="77"/>
      <c r="K148" s="484" t="s">
        <v>219</v>
      </c>
      <c r="L148" s="146"/>
      <c r="M148" s="484" t="s">
        <v>220</v>
      </c>
      <c r="N148" s="138"/>
      <c r="O148" s="97"/>
      <c r="P148" s="95"/>
      <c r="Q148" s="100"/>
      <c r="R148" s="34"/>
      <c r="S148" s="97"/>
      <c r="T148" s="95"/>
      <c r="U148" s="100"/>
      <c r="V148" s="139"/>
      <c r="W148" s="139"/>
      <c r="X148" s="139"/>
      <c r="Y148" s="139"/>
      <c r="Z148" s="139"/>
      <c r="AA148" s="140"/>
      <c r="AN148" s="105"/>
      <c r="AO148" s="106"/>
    </row>
    <row r="149" spans="1:41" s="103" customFormat="1" ht="90.75" customHeight="1">
      <c r="B149" s="472"/>
      <c r="C149" s="229"/>
      <c r="D149" s="229" t="s">
        <v>199</v>
      </c>
      <c r="E149" s="229" t="s">
        <v>200</v>
      </c>
      <c r="F149" s="229" t="s">
        <v>221</v>
      </c>
      <c r="G149" s="229" t="s">
        <v>199</v>
      </c>
      <c r="H149" s="229" t="s">
        <v>200</v>
      </c>
      <c r="I149" s="229" t="s">
        <v>221</v>
      </c>
      <c r="J149" s="77"/>
      <c r="K149" s="472"/>
      <c r="L149" s="146"/>
      <c r="M149" s="472"/>
      <c r="N149" s="138"/>
      <c r="O149" s="147"/>
      <c r="P149" s="95"/>
      <c r="Q149" s="100"/>
      <c r="R149" s="34"/>
      <c r="S149" s="97"/>
      <c r="T149" s="95"/>
      <c r="U149" s="100"/>
      <c r="V149" s="139"/>
      <c r="W149" s="139"/>
      <c r="X149" s="139"/>
      <c r="Y149" s="139"/>
      <c r="Z149" s="139"/>
      <c r="AA149" s="140"/>
      <c r="AN149" s="105"/>
      <c r="AO149" s="106"/>
    </row>
    <row r="150" spans="1:41" s="103" customFormat="1" ht="27.75" customHeight="1">
      <c r="B150" s="476" t="s">
        <v>30</v>
      </c>
      <c r="C150" s="508"/>
      <c r="D150" s="508">
        <v>0.4</v>
      </c>
      <c r="E150" s="479">
        <v>0.4</v>
      </c>
      <c r="F150" s="479">
        <v>0.2</v>
      </c>
      <c r="G150" s="508">
        <v>0.4</v>
      </c>
      <c r="H150" s="479">
        <v>0.3</v>
      </c>
      <c r="I150" s="479">
        <v>0.3</v>
      </c>
      <c r="J150" s="476" t="s">
        <v>30</v>
      </c>
      <c r="K150" s="493">
        <f>1-($A$182^0.4/($A$182^0.4+$A$183^0.4))^($A$186^0.2)</f>
        <v>0.4922604366767831</v>
      </c>
      <c r="L150" s="146"/>
      <c r="M150" s="493">
        <f>1-(($A$183^0.4)/(($A$182^0.4)+($A$183^0.3)))^($A$186^0.3)</f>
        <v>0.50664862196058436</v>
      </c>
      <c r="N150" s="149"/>
      <c r="O150" s="97"/>
      <c r="P150" s="81"/>
      <c r="S150" s="97"/>
      <c r="T150" s="100"/>
      <c r="U150" s="101"/>
      <c r="V150" s="139"/>
      <c r="W150" s="139"/>
      <c r="X150" s="139"/>
      <c r="Y150" s="139"/>
      <c r="Z150" s="139"/>
      <c r="AA150" s="140"/>
      <c r="AN150" s="105"/>
      <c r="AO150" s="106"/>
    </row>
    <row r="151" spans="1:41" s="103" customFormat="1" ht="27.75" customHeight="1">
      <c r="B151" s="472"/>
      <c r="C151" s="472"/>
      <c r="D151" s="472"/>
      <c r="E151" s="472"/>
      <c r="F151" s="472"/>
      <c r="G151" s="472"/>
      <c r="H151" s="472"/>
      <c r="I151" s="472"/>
      <c r="J151" s="472"/>
      <c r="K151" s="472"/>
      <c r="L151" s="146"/>
      <c r="M151" s="472"/>
      <c r="N151" s="150"/>
      <c r="O151" s="97"/>
      <c r="P151" s="97"/>
      <c r="S151" s="147"/>
      <c r="T151" s="100"/>
      <c r="U151" s="101"/>
      <c r="V151" s="139"/>
      <c r="W151" s="139"/>
      <c r="X151" s="139"/>
      <c r="Y151" s="139"/>
      <c r="Z151" s="139"/>
      <c r="AA151" s="140"/>
      <c r="AN151" s="105"/>
      <c r="AO151" s="106"/>
    </row>
    <row r="152" spans="1:41" s="152" customFormat="1" ht="27.75" customHeight="1">
      <c r="B152" s="485" t="s">
        <v>33</v>
      </c>
      <c r="C152" s="486"/>
      <c r="D152" s="486">
        <v>0.6</v>
      </c>
      <c r="E152" s="486">
        <v>0.3</v>
      </c>
      <c r="F152" s="486">
        <v>0.1</v>
      </c>
      <c r="G152" s="486">
        <v>0.5</v>
      </c>
      <c r="H152" s="486">
        <v>0.4</v>
      </c>
      <c r="I152" s="486">
        <v>0.1</v>
      </c>
      <c r="J152" s="485" t="s">
        <v>33</v>
      </c>
      <c r="K152" s="493">
        <f>1-($A$182^0.6/($A$182^0.6+$A$183^0.3))^($A$186^0.1)</f>
        <v>0.51283213084876267</v>
      </c>
      <c r="L152" s="146"/>
      <c r="M152" s="493">
        <f>1-(($A$183^0.5)/(($A$182^0.5)+($A$183^0.4)))^($A$186^0.1)</f>
        <v>0.51098832052517063</v>
      </c>
      <c r="N152" s="149"/>
      <c r="O152" s="97"/>
      <c r="P152" s="179"/>
      <c r="V152" s="139"/>
      <c r="W152" s="139"/>
      <c r="X152" s="139"/>
      <c r="Y152" s="139"/>
      <c r="Z152" s="139"/>
      <c r="AA152" s="140"/>
      <c r="AN152" s="153"/>
      <c r="AO152" s="154"/>
    </row>
    <row r="153" spans="1:41" s="152" customFormat="1" ht="27.75" customHeight="1">
      <c r="B153" s="472"/>
      <c r="C153" s="472"/>
      <c r="D153" s="472"/>
      <c r="E153" s="472"/>
      <c r="F153" s="472"/>
      <c r="G153" s="472"/>
      <c r="H153" s="472"/>
      <c r="I153" s="472"/>
      <c r="J153" s="472"/>
      <c r="K153" s="472"/>
      <c r="L153" s="146"/>
      <c r="M153" s="472"/>
      <c r="N153" s="155"/>
      <c r="O153" s="97"/>
      <c r="P153" s="94"/>
      <c r="V153" s="139"/>
      <c r="W153" s="139"/>
      <c r="X153" s="139"/>
      <c r="Y153" s="139"/>
      <c r="Z153" s="139"/>
      <c r="AA153" s="140"/>
      <c r="AN153" s="153"/>
      <c r="AO153" s="154"/>
    </row>
    <row r="154" spans="1:41" ht="27.75" customHeight="1">
      <c r="B154" s="476" t="s">
        <v>37</v>
      </c>
      <c r="C154" s="479"/>
      <c r="D154" s="479">
        <v>0.3</v>
      </c>
      <c r="E154" s="479">
        <v>0.3</v>
      </c>
      <c r="F154" s="479">
        <v>0.4</v>
      </c>
      <c r="G154" s="479">
        <v>0.3</v>
      </c>
      <c r="H154" s="479">
        <v>0.4</v>
      </c>
      <c r="I154" s="479">
        <v>0.3</v>
      </c>
      <c r="J154" s="476" t="s">
        <v>37</v>
      </c>
      <c r="K154" s="493">
        <f>1-($A$182^0.3/($A$182^0.3+$A$183^0.3))^($A$186^0.4)</f>
        <v>0.4902025770614441</v>
      </c>
      <c r="L154" s="146"/>
      <c r="M154" s="493">
        <f>1-(($A$183^0.3)/(($A$182^0.3)+($A$183^0.4)))^($A$186^0.3)</f>
        <v>0.49161736345638818</v>
      </c>
      <c r="N154" s="149"/>
      <c r="O154" s="97"/>
      <c r="P154" s="97"/>
      <c r="S154" s="97"/>
      <c r="T154" s="95"/>
      <c r="U154" s="156"/>
      <c r="V154" s="139"/>
      <c r="W154" s="139"/>
      <c r="X154" s="139"/>
      <c r="Y154" s="139"/>
      <c r="Z154" s="139"/>
      <c r="AA154" s="140"/>
    </row>
    <row r="155" spans="1:41" ht="27.75" customHeight="1">
      <c r="B155" s="472"/>
      <c r="C155" s="472"/>
      <c r="D155" s="472"/>
      <c r="E155" s="472"/>
      <c r="F155" s="472"/>
      <c r="G155" s="472"/>
      <c r="H155" s="472"/>
      <c r="I155" s="472"/>
      <c r="J155" s="472"/>
      <c r="K155" s="472"/>
      <c r="L155" s="146"/>
      <c r="M155" s="472"/>
      <c r="N155" s="155"/>
      <c r="O155" s="97"/>
      <c r="P155" s="97"/>
      <c r="S155" s="132"/>
      <c r="T155" s="95"/>
      <c r="U155" s="156"/>
      <c r="V155" s="139"/>
      <c r="W155" s="139"/>
      <c r="X155" s="139"/>
      <c r="Y155" s="139"/>
      <c r="Z155" s="139"/>
      <c r="AA155" s="140"/>
    </row>
    <row r="156" spans="1:41" ht="27.75" customHeight="1">
      <c r="B156" s="485" t="s">
        <v>44</v>
      </c>
      <c r="C156" s="486"/>
      <c r="D156" s="486">
        <v>0.35</v>
      </c>
      <c r="E156" s="486">
        <v>0.35</v>
      </c>
      <c r="F156" s="486">
        <v>0.3</v>
      </c>
      <c r="G156" s="486">
        <v>0.2</v>
      </c>
      <c r="H156" s="486">
        <v>0.5</v>
      </c>
      <c r="I156" s="486">
        <v>0.3</v>
      </c>
      <c r="J156" s="485" t="s">
        <v>44</v>
      </c>
      <c r="K156" s="493">
        <f>1-($A$182^0.35/($A$182^0.35+$A$183^0.35))^($A$186^0.3)</f>
        <v>0.49123114886121921</v>
      </c>
      <c r="L156" s="146"/>
      <c r="M156" s="493">
        <f>1-(($A$183^0.2)/(($A$182^0.2)+($A$183^0.5)))^($A$186^0.3)</f>
        <v>0.47647969022949799</v>
      </c>
      <c r="N156" s="149"/>
      <c r="O156" s="97"/>
      <c r="P156" s="97"/>
      <c r="S156" s="97"/>
      <c r="T156" s="95"/>
      <c r="U156" s="156"/>
      <c r="V156" s="139"/>
      <c r="W156" s="139"/>
      <c r="X156" s="139"/>
      <c r="Y156" s="139"/>
      <c r="Z156" s="139"/>
      <c r="AA156" s="140"/>
    </row>
    <row r="157" spans="1:41" ht="27.75" customHeight="1">
      <c r="B157" s="472"/>
      <c r="C157" s="472"/>
      <c r="D157" s="472"/>
      <c r="E157" s="472"/>
      <c r="F157" s="472"/>
      <c r="G157" s="472"/>
      <c r="H157" s="472"/>
      <c r="I157" s="472"/>
      <c r="J157" s="472"/>
      <c r="K157" s="472"/>
      <c r="L157" s="146"/>
      <c r="M157" s="472"/>
      <c r="N157" s="155"/>
      <c r="O157" s="97"/>
      <c r="P157" s="139"/>
      <c r="Q157" s="139"/>
      <c r="R157" s="139"/>
      <c r="S157" s="97"/>
      <c r="T157" s="95"/>
      <c r="U157" s="156"/>
      <c r="V157" s="139"/>
      <c r="W157" s="139"/>
      <c r="X157" s="139"/>
      <c r="Y157" s="139"/>
      <c r="Z157" s="139"/>
      <c r="AA157" s="140"/>
    </row>
    <row r="158" spans="1:41" ht="27.75" customHeight="1">
      <c r="B158" s="476" t="s">
        <v>50</v>
      </c>
      <c r="C158" s="479"/>
      <c r="D158" s="479">
        <v>0.45</v>
      </c>
      <c r="E158" s="479">
        <v>0.45</v>
      </c>
      <c r="F158" s="479">
        <v>0.1</v>
      </c>
      <c r="G158" s="479">
        <v>0.4</v>
      </c>
      <c r="H158" s="479">
        <v>0.2</v>
      </c>
      <c r="I158" s="479">
        <v>0.4</v>
      </c>
      <c r="J158" s="476" t="s">
        <v>50</v>
      </c>
      <c r="K158" s="493">
        <f>1-($A$182^0.45/($A$182^0.45+$A$183^0.45))^($A$186^0.1)</f>
        <v>0.49329043453802601</v>
      </c>
      <c r="L158" s="146"/>
      <c r="M158" s="493">
        <f>1-(($A$183^0.4)/(($A$182^0.4)+($A$183^0.2)))^($A$186^0.4)</f>
        <v>0.51196026033353026</v>
      </c>
      <c r="N158" s="149"/>
      <c r="O158" s="94"/>
      <c r="P158" s="139"/>
      <c r="Q158" s="139"/>
      <c r="R158" s="139"/>
      <c r="S158" s="97"/>
      <c r="T158" s="95"/>
      <c r="U158" s="156"/>
      <c r="V158" s="139"/>
      <c r="W158" s="139"/>
      <c r="X158" s="139"/>
      <c r="Y158" s="139"/>
      <c r="Z158" s="139"/>
      <c r="AA158" s="140"/>
    </row>
    <row r="159" spans="1:41" ht="27.75" customHeight="1">
      <c r="B159" s="472"/>
      <c r="C159" s="472"/>
      <c r="D159" s="472"/>
      <c r="E159" s="472"/>
      <c r="F159" s="472"/>
      <c r="G159" s="472"/>
      <c r="H159" s="472"/>
      <c r="I159" s="472"/>
      <c r="J159" s="472"/>
      <c r="K159" s="472"/>
      <c r="L159" s="146"/>
      <c r="M159" s="472"/>
      <c r="N159" s="155"/>
      <c r="O159" s="94"/>
      <c r="P159" s="139"/>
      <c r="Q159" s="139"/>
      <c r="R159" s="139"/>
      <c r="S159" s="97"/>
      <c r="T159" s="95"/>
      <c r="U159" s="156"/>
      <c r="V159" s="139"/>
      <c r="W159" s="139"/>
      <c r="X159" s="139"/>
      <c r="Y159" s="139"/>
      <c r="Z159" s="139"/>
      <c r="AA159" s="140"/>
    </row>
    <row r="160" spans="1:41" ht="27.75" customHeight="1">
      <c r="B160" s="488" t="s">
        <v>54</v>
      </c>
      <c r="C160" s="486"/>
      <c r="D160" s="486">
        <v>0.5</v>
      </c>
      <c r="E160" s="486">
        <v>0.4</v>
      </c>
      <c r="F160" s="486">
        <v>0.1</v>
      </c>
      <c r="G160" s="486">
        <v>0.3</v>
      </c>
      <c r="H160" s="486">
        <v>0.3</v>
      </c>
      <c r="I160" s="486">
        <v>0.4</v>
      </c>
      <c r="J160" s="488" t="s">
        <v>54</v>
      </c>
      <c r="K160" s="493">
        <f>1-($A$182^0.5/($A$182^0.5+$A$183^0.4))^($A$186^0.1)</f>
        <v>0.49980515693677663</v>
      </c>
      <c r="L160" s="146"/>
      <c r="M160" s="493">
        <f>1-(($A$183^0.3)/(($A$182^0.3)+($A$183^0.3)))^($A$186^0.4)</f>
        <v>0.49697792106778882</v>
      </c>
      <c r="N160" s="149"/>
      <c r="O160" s="139"/>
      <c r="S160" s="158"/>
      <c r="T160" s="159"/>
      <c r="V160" s="139"/>
      <c r="W160" s="139"/>
      <c r="X160" s="139"/>
      <c r="Y160" s="139"/>
      <c r="Z160" s="139"/>
      <c r="AA160" s="140"/>
    </row>
    <row r="161" spans="1:41" ht="27.75" customHeight="1">
      <c r="B161" s="472"/>
      <c r="C161" s="472"/>
      <c r="D161" s="472"/>
      <c r="E161" s="472"/>
      <c r="F161" s="472"/>
      <c r="G161" s="472"/>
      <c r="H161" s="472"/>
      <c r="I161" s="472"/>
      <c r="J161" s="472"/>
      <c r="K161" s="472"/>
      <c r="L161" s="146"/>
      <c r="M161" s="472"/>
      <c r="N161" s="155"/>
      <c r="O161" s="127"/>
      <c r="S161" s="23"/>
      <c r="T161" s="23"/>
      <c r="U161" s="23"/>
      <c r="V161" s="139"/>
      <c r="W161" s="139"/>
      <c r="X161" s="139"/>
      <c r="Y161" s="139"/>
      <c r="Z161" s="139"/>
      <c r="AA161" s="140"/>
    </row>
    <row r="162" spans="1:41" s="103" customFormat="1" ht="27.75" customHeight="1">
      <c r="B162" s="476" t="s">
        <v>58</v>
      </c>
      <c r="C162" s="479"/>
      <c r="D162" s="479">
        <v>0.3</v>
      </c>
      <c r="E162" s="479">
        <v>0.3</v>
      </c>
      <c r="F162" s="479">
        <v>0.4</v>
      </c>
      <c r="G162" s="479">
        <v>0.25</v>
      </c>
      <c r="H162" s="479">
        <v>0.35</v>
      </c>
      <c r="I162" s="479">
        <v>3.4</v>
      </c>
      <c r="J162" s="476" t="s">
        <v>58</v>
      </c>
      <c r="K162" s="493">
        <f>1-($A$182^0.3/($A$182^0.3+$A$183^0.3))^($A$186^0.4)</f>
        <v>0.4902025770614441</v>
      </c>
      <c r="L162" s="146"/>
      <c r="M162" s="493">
        <f>1-(($A$183^0.25)/(($A$182^0.25)+($A$183^0.35)))^($A$186^0.4)</f>
        <v>0.48944315295810792</v>
      </c>
      <c r="N162" s="149"/>
      <c r="O162" s="160"/>
      <c r="P162" s="34"/>
      <c r="Q162" s="34"/>
      <c r="R162" s="34"/>
      <c r="S162" s="75"/>
      <c r="T162" s="75"/>
      <c r="U162" s="75"/>
      <c r="V162" s="139"/>
      <c r="W162" s="139"/>
      <c r="X162" s="139"/>
      <c r="Y162" s="139"/>
      <c r="Z162" s="139"/>
      <c r="AA162" s="140"/>
      <c r="AN162" s="105"/>
      <c r="AO162" s="106"/>
    </row>
    <row r="163" spans="1:41" s="103" customFormat="1" ht="41.25" customHeight="1">
      <c r="B163" s="472"/>
      <c r="C163" s="472"/>
      <c r="D163" s="472"/>
      <c r="E163" s="472"/>
      <c r="F163" s="472"/>
      <c r="G163" s="472"/>
      <c r="H163" s="472"/>
      <c r="I163" s="472"/>
      <c r="J163" s="472"/>
      <c r="K163" s="472"/>
      <c r="L163" s="146"/>
      <c r="M163" s="472"/>
      <c r="N163" s="155"/>
      <c r="O163" s="161"/>
      <c r="P163" s="34"/>
      <c r="Q163" s="34"/>
      <c r="R163" s="34"/>
      <c r="S163" s="75"/>
      <c r="T163" s="75"/>
      <c r="U163" s="75"/>
      <c r="V163" s="139"/>
      <c r="W163" s="139"/>
      <c r="X163" s="139"/>
      <c r="Y163" s="139"/>
      <c r="Z163" s="139"/>
      <c r="AA163" s="140"/>
      <c r="AN163" s="105"/>
      <c r="AO163" s="106"/>
    </row>
    <row r="164" spans="1:41">
      <c r="T164" s="34"/>
    </row>
    <row r="165" spans="1:41">
      <c r="T165" s="34"/>
    </row>
    <row r="166" spans="1:41">
      <c r="K166" s="155"/>
      <c r="L166" s="155"/>
      <c r="M166" s="155"/>
      <c r="T166" s="34"/>
    </row>
    <row r="167" spans="1:41">
      <c r="K167" s="155"/>
      <c r="L167" s="155"/>
      <c r="M167" s="155"/>
      <c r="T167" s="34"/>
    </row>
    <row r="168" spans="1:41">
      <c r="K168" s="155"/>
      <c r="L168" s="155"/>
      <c r="M168" s="155"/>
      <c r="T168" s="34"/>
    </row>
    <row r="169" spans="1:41">
      <c r="K169" s="155"/>
      <c r="L169" s="155"/>
      <c r="M169" s="155"/>
      <c r="T169" s="34"/>
    </row>
    <row r="170" spans="1:41" s="152" customFormat="1" ht="37.5" customHeight="1">
      <c r="A170" s="180" t="s">
        <v>222</v>
      </c>
      <c r="I170" s="103"/>
      <c r="J170" s="103"/>
      <c r="K170" s="103"/>
      <c r="L170" s="181"/>
      <c r="M170" s="181"/>
      <c r="N170" s="181"/>
      <c r="O170" s="181"/>
      <c r="P170" s="182"/>
      <c r="R170" s="76"/>
      <c r="AA170" s="2"/>
      <c r="AN170" s="153"/>
      <c r="AO170" s="154"/>
    </row>
    <row r="171" spans="1:41" s="152" customFormat="1" ht="48.75" customHeight="1">
      <c r="A171" s="509" t="s">
        <v>60</v>
      </c>
      <c r="B171" s="475"/>
      <c r="C171" s="509" t="s">
        <v>61</v>
      </c>
      <c r="D171" s="475"/>
      <c r="E171" s="509" t="s">
        <v>62</v>
      </c>
      <c r="F171" s="475"/>
      <c r="G171" s="509" t="s">
        <v>223</v>
      </c>
      <c r="H171" s="475"/>
      <c r="I171" s="509" t="s">
        <v>224</v>
      </c>
      <c r="J171" s="475"/>
      <c r="K171" s="509" t="s">
        <v>225</v>
      </c>
      <c r="L171" s="475"/>
      <c r="M171" s="509" t="s">
        <v>226</v>
      </c>
      <c r="N171" s="475"/>
      <c r="O171" s="509" t="s">
        <v>227</v>
      </c>
      <c r="P171" s="475"/>
      <c r="R171" s="23"/>
      <c r="S171" s="23"/>
      <c r="T171" s="23"/>
      <c r="U171" s="23"/>
      <c r="V171" s="23"/>
      <c r="W171" s="23"/>
      <c r="X171" s="23"/>
      <c r="Y171" s="23"/>
      <c r="Z171" s="23"/>
      <c r="AA171" s="183"/>
      <c r="AN171" s="153"/>
      <c r="AO171" s="154"/>
    </row>
    <row r="172" spans="1:41" s="152" customFormat="1" ht="38.25" customHeight="1">
      <c r="A172" s="509" t="s">
        <v>68</v>
      </c>
      <c r="B172" s="475"/>
      <c r="C172" s="529">
        <f>$A$190</f>
        <v>0.27530260469790729</v>
      </c>
      <c r="D172" s="475"/>
      <c r="E172" s="529">
        <f>$A$191</f>
        <v>0.2630746971288378</v>
      </c>
      <c r="F172" s="475"/>
      <c r="G172" s="529">
        <f>$A$189</f>
        <v>0.46162269817325502</v>
      </c>
      <c r="H172" s="475"/>
      <c r="I172" s="499"/>
      <c r="J172" s="475"/>
      <c r="K172" s="499"/>
      <c r="L172" s="475"/>
      <c r="M172" s="499"/>
      <c r="N172" s="475"/>
      <c r="O172" s="499">
        <f>SUM(C172:N172)</f>
        <v>1</v>
      </c>
      <c r="P172" s="475"/>
      <c r="R172" s="74"/>
      <c r="S172" s="184"/>
      <c r="T172" s="184"/>
      <c r="U172" s="184"/>
      <c r="V172" s="75"/>
      <c r="W172" s="75"/>
      <c r="X172" s="75"/>
      <c r="Y172" s="75"/>
      <c r="Z172" s="75"/>
      <c r="AA172" s="174"/>
      <c r="AN172" s="153"/>
      <c r="AO172" s="154"/>
    </row>
    <row r="173" spans="1:41" ht="48.75" customHeight="1">
      <c r="A173" s="541" t="s">
        <v>72</v>
      </c>
      <c r="B173" s="475"/>
      <c r="C173" s="555">
        <f>$A$192</f>
        <v>0.5073260073260073</v>
      </c>
      <c r="D173" s="475"/>
      <c r="E173" s="570">
        <f>$A$193</f>
        <v>0.49267399267399264</v>
      </c>
      <c r="F173" s="475"/>
      <c r="G173" s="509"/>
      <c r="H173" s="475"/>
      <c r="I173" s="509"/>
      <c r="J173" s="475"/>
      <c r="K173" s="509"/>
      <c r="L173" s="475"/>
      <c r="M173" s="509"/>
      <c r="N173" s="475"/>
      <c r="O173" s="499">
        <f>SUM(C173:N173)</f>
        <v>1</v>
      </c>
      <c r="P173" s="475"/>
      <c r="R173" s="74"/>
      <c r="S173" s="184"/>
      <c r="T173" s="184"/>
      <c r="U173" s="75"/>
      <c r="V173" s="75"/>
      <c r="W173" s="75"/>
      <c r="X173" s="75"/>
      <c r="Y173" s="75"/>
      <c r="Z173" s="75"/>
      <c r="AA173" s="174"/>
    </row>
    <row r="174" spans="1:41" ht="48.75" customHeight="1">
      <c r="A174" s="541" t="s">
        <v>228</v>
      </c>
      <c r="B174" s="475"/>
      <c r="C174" s="509"/>
      <c r="D174" s="475"/>
      <c r="E174" s="509"/>
      <c r="F174" s="475"/>
      <c r="G174" s="509"/>
      <c r="H174" s="475"/>
      <c r="I174" s="529">
        <f>$A$196</f>
        <v>0.43710528701362811</v>
      </c>
      <c r="J174" s="475"/>
      <c r="K174" s="555">
        <f>$A$197</f>
        <v>0.56289471298637195</v>
      </c>
      <c r="L174" s="475"/>
      <c r="M174" s="556">
        <f>$A$198</f>
        <v>0</v>
      </c>
      <c r="N174" s="475"/>
      <c r="O174" s="499">
        <f>SUM(I174:N174)</f>
        <v>1</v>
      </c>
      <c r="P174" s="475"/>
      <c r="R174" s="74"/>
      <c r="S174" s="75"/>
      <c r="T174" s="75"/>
      <c r="U174" s="75"/>
      <c r="V174" s="184"/>
      <c r="W174" s="184"/>
      <c r="X174" s="184"/>
      <c r="Y174" s="184"/>
      <c r="Z174" s="184"/>
      <c r="AA174" s="185"/>
    </row>
    <row r="175" spans="1:41" ht="27" customHeight="1">
      <c r="R175" s="12"/>
      <c r="S175" s="12"/>
      <c r="T175" s="12"/>
      <c r="U175" s="12"/>
      <c r="V175" s="12"/>
      <c r="W175" s="12"/>
      <c r="X175" s="12"/>
      <c r="Y175" s="12"/>
      <c r="Z175" s="12"/>
      <c r="AA175" s="186"/>
    </row>
    <row r="176" spans="1:41" ht="52.5" customHeight="1">
      <c r="E176" s="13" t="s">
        <v>212</v>
      </c>
      <c r="F176" s="222">
        <f>1-(($A$182/($A$182+$A$183))^$A$186)</f>
        <v>0.47286462369007765</v>
      </c>
      <c r="G176" s="13" t="s">
        <v>214</v>
      </c>
      <c r="H176" s="222">
        <f>1-(($A$183/($A$182+$A$183))^$A$186)</f>
        <v>0.49523991861466687</v>
      </c>
      <c r="R176" s="187"/>
      <c r="S176" s="187"/>
      <c r="T176" s="187"/>
      <c r="U176" s="187"/>
      <c r="V176" s="187"/>
      <c r="W176" s="187"/>
      <c r="X176" s="187"/>
      <c r="Y176" s="187"/>
      <c r="Z176" s="187"/>
      <c r="AA176" s="188"/>
    </row>
    <row r="177" spans="1:41" ht="27" customHeight="1">
      <c r="A177" s="546" t="s">
        <v>157</v>
      </c>
      <c r="B177" s="474"/>
      <c r="C177" s="475"/>
      <c r="D177" s="546" t="s">
        <v>229</v>
      </c>
      <c r="E177" s="474"/>
      <c r="F177" s="474"/>
      <c r="G177" s="475"/>
      <c r="H177" s="546" t="s">
        <v>230</v>
      </c>
      <c r="I177" s="474"/>
      <c r="J177" s="474"/>
      <c r="K177" s="474"/>
      <c r="L177" s="474"/>
      <c r="M177" s="474"/>
      <c r="N177" s="474"/>
      <c r="O177" s="474"/>
      <c r="P177" s="475"/>
      <c r="Q177" s="189"/>
      <c r="R177" s="190"/>
      <c r="S177" s="190"/>
      <c r="T177" s="190"/>
      <c r="U177" s="190"/>
      <c r="V177" s="190"/>
      <c r="W177" s="190"/>
      <c r="X177" s="190"/>
      <c r="Y177" s="190"/>
      <c r="Z177" s="190"/>
      <c r="AA177" s="191"/>
    </row>
    <row r="178" spans="1:41" ht="53.25" customHeight="1">
      <c r="A178" s="542">
        <f>IF(($D$17 * 0.4) + ($N$15 * 0.2) + ($S$15 * 0.1) + ($T$15 * 0.2) + ($U$15 * 0.1) &gt; 1, 1, ($D$17 * 0.4) + ($N$15 * 0.2) + ($S$15 * 0.1) + ($T$15 * 0.2) + ($U$15 * 0.1))</f>
        <v>0.83099999999999996</v>
      </c>
      <c r="B178" s="474"/>
      <c r="C178" s="475"/>
      <c r="D178" s="473" t="s">
        <v>231</v>
      </c>
      <c r="E178" s="474"/>
      <c r="F178" s="474"/>
      <c r="G178" s="475"/>
      <c r="H178" s="526" t="s">
        <v>232</v>
      </c>
      <c r="I178" s="474"/>
      <c r="J178" s="474"/>
      <c r="K178" s="474"/>
      <c r="L178" s="474"/>
      <c r="M178" s="474"/>
      <c r="N178" s="474"/>
      <c r="O178" s="474"/>
      <c r="P178" s="475"/>
      <c r="Q178" s="189"/>
      <c r="R178" s="190"/>
      <c r="S178" s="190"/>
      <c r="T178" s="190"/>
      <c r="U178" s="190"/>
      <c r="V178" s="190"/>
      <c r="W178" s="190"/>
      <c r="X178" s="190"/>
      <c r="Y178" s="190"/>
      <c r="Z178" s="190"/>
      <c r="AA178" s="191"/>
    </row>
    <row r="179" spans="1:41" s="103" customFormat="1" ht="42.75" customHeight="1">
      <c r="A179" s="514">
        <f>IF(($E$17 * 0.4) + ($M$15 * 0.2) + ($P$15 * 0.1) + ($Q$15 * 0.2) + ($R$15 * 0.1) &gt; 1, 1, ($E$17 * 0.4) + ($M$15 * 0.2) + ($P$15 * 0.1) + ($Q$15 * 0.2) + ($R$15 * 0.1))</f>
        <v>0.74500000000000011</v>
      </c>
      <c r="B179" s="474"/>
      <c r="C179" s="475"/>
      <c r="D179" s="473" t="s">
        <v>233</v>
      </c>
      <c r="E179" s="474"/>
      <c r="F179" s="474"/>
      <c r="G179" s="475"/>
      <c r="H179" s="487" t="s">
        <v>234</v>
      </c>
      <c r="I179" s="474"/>
      <c r="J179" s="474"/>
      <c r="K179" s="474"/>
      <c r="L179" s="474"/>
      <c r="M179" s="474"/>
      <c r="N179" s="474"/>
      <c r="O179" s="474"/>
      <c r="P179" s="475"/>
      <c r="Q179" s="189"/>
      <c r="R179" s="190"/>
      <c r="S179" s="190"/>
      <c r="T179" s="190"/>
      <c r="U179" s="190"/>
      <c r="V179" s="190"/>
      <c r="W179" s="190"/>
      <c r="X179" s="190"/>
      <c r="Y179" s="190"/>
      <c r="Z179" s="190"/>
      <c r="AA179" s="191"/>
      <c r="AN179" s="105"/>
      <c r="AO179" s="106"/>
    </row>
    <row r="180" spans="1:41" s="103" customFormat="1" ht="41.25" customHeight="1">
      <c r="A180" s="542">
        <f>IF(($D$23* 0.4) + ($N$21 * 0.2) + ($S$21 * 0.1) + ($T$21 * 0.2) + ($U$21 * 0.1) &gt; 1, 1, ($D$23* 0.4) + ($N$21 * 0.2) + ($S$21 * 0.1) + ($T$21 * 0.2) + ($U$21 * 0.1))</f>
        <v>0.80699999999999994</v>
      </c>
      <c r="B180" s="474"/>
      <c r="C180" s="475"/>
      <c r="D180" s="473" t="s">
        <v>235</v>
      </c>
      <c r="E180" s="474"/>
      <c r="F180" s="474"/>
      <c r="G180" s="475"/>
      <c r="H180" s="526" t="s">
        <v>236</v>
      </c>
      <c r="I180" s="474"/>
      <c r="J180" s="474"/>
      <c r="K180" s="474"/>
      <c r="L180" s="474"/>
      <c r="M180" s="474"/>
      <c r="N180" s="474"/>
      <c r="O180" s="474"/>
      <c r="P180" s="475"/>
      <c r="Q180" s="189"/>
      <c r="R180" s="190"/>
      <c r="S180" s="190"/>
      <c r="T180" s="190"/>
      <c r="U180" s="190"/>
      <c r="V180" s="190"/>
      <c r="W180" s="190"/>
      <c r="X180" s="190"/>
      <c r="Y180" s="190"/>
      <c r="Z180" s="190"/>
      <c r="AA180" s="191"/>
      <c r="AN180" s="105"/>
      <c r="AO180" s="106"/>
    </row>
    <row r="181" spans="1:41" s="103" customFormat="1" ht="41.25" customHeight="1">
      <c r="A181" s="514">
        <f>IF(($D$23 * 0.4) + ($M$21 * 0.2) + ($P$21 * 0.1) + ($Q$21 * 0.2) + ($R$21 * 0.1) &gt; 1, 1, ($D$23 * 0.4) + ($M$21 * 0.2) + ($P$21 * 0.1) + ($Q$21 * 0.2) + ($R$21 * 0.1))</f>
        <v>0.69900000000000007</v>
      </c>
      <c r="B181" s="474"/>
      <c r="C181" s="475"/>
      <c r="D181" s="473" t="s">
        <v>237</v>
      </c>
      <c r="E181" s="474"/>
      <c r="F181" s="474"/>
      <c r="G181" s="475"/>
      <c r="H181" s="487" t="s">
        <v>238</v>
      </c>
      <c r="I181" s="474"/>
      <c r="J181" s="474"/>
      <c r="K181" s="474"/>
      <c r="L181" s="474"/>
      <c r="M181" s="474"/>
      <c r="N181" s="474"/>
      <c r="O181" s="474"/>
      <c r="P181" s="475"/>
      <c r="Q181" s="192"/>
      <c r="R181" s="190"/>
      <c r="S181" s="190"/>
      <c r="T181" s="190"/>
      <c r="U181" s="190"/>
      <c r="V181" s="190"/>
      <c r="W181" s="190"/>
      <c r="X181" s="190"/>
      <c r="Y181" s="190"/>
      <c r="Z181" s="190"/>
      <c r="AA181" s="191"/>
      <c r="AN181" s="105"/>
      <c r="AO181" s="106"/>
    </row>
    <row r="182" spans="1:41" s="103" customFormat="1" ht="41.25" customHeight="1">
      <c r="A182" s="532">
        <f>IF((($A$178 + $A$179) / 2) &gt; 1, 1, (($A$178 + $A$179) / 2))</f>
        <v>0.78800000000000003</v>
      </c>
      <c r="B182" s="474"/>
      <c r="C182" s="475"/>
      <c r="D182" s="473" t="s">
        <v>239</v>
      </c>
      <c r="E182" s="474"/>
      <c r="F182" s="474"/>
      <c r="G182" s="475"/>
      <c r="H182" s="487" t="s">
        <v>240</v>
      </c>
      <c r="I182" s="474"/>
      <c r="J182" s="474"/>
      <c r="K182" s="474"/>
      <c r="L182" s="474"/>
      <c r="M182" s="474"/>
      <c r="N182" s="474"/>
      <c r="O182" s="474"/>
      <c r="P182" s="475"/>
      <c r="Q182" s="192"/>
      <c r="R182" s="190"/>
      <c r="S182" s="190"/>
      <c r="T182" s="190"/>
      <c r="U182" s="190"/>
      <c r="V182" s="190"/>
      <c r="W182" s="190"/>
      <c r="X182" s="190"/>
      <c r="Y182" s="190"/>
      <c r="Z182" s="190"/>
      <c r="AA182" s="191"/>
      <c r="AN182" s="105"/>
      <c r="AO182" s="106"/>
    </row>
    <row r="183" spans="1:41" s="103" customFormat="1" ht="41.25" customHeight="1">
      <c r="A183" s="531">
        <f>IF((($A$180 + $A$181) / 2)&gt;1,1,($A$180 + $A$181) / 2)</f>
        <v>0.753</v>
      </c>
      <c r="B183" s="474"/>
      <c r="C183" s="475"/>
      <c r="D183" s="473" t="s">
        <v>241</v>
      </c>
      <c r="E183" s="474"/>
      <c r="F183" s="474"/>
      <c r="G183" s="475"/>
      <c r="H183" s="487" t="s">
        <v>242</v>
      </c>
      <c r="I183" s="474"/>
      <c r="J183" s="474"/>
      <c r="K183" s="474"/>
      <c r="L183" s="474"/>
      <c r="M183" s="474"/>
      <c r="N183" s="474"/>
      <c r="O183" s="474"/>
      <c r="P183" s="475"/>
      <c r="Q183" s="192"/>
      <c r="R183" s="190"/>
      <c r="S183" s="190"/>
      <c r="T183" s="190"/>
      <c r="U183" s="190"/>
      <c r="V183" s="190"/>
      <c r="W183" s="190"/>
      <c r="X183" s="190"/>
      <c r="Y183" s="190"/>
      <c r="Z183" s="190"/>
      <c r="AA183" s="191"/>
      <c r="AN183" s="105"/>
      <c r="AO183" s="106"/>
    </row>
    <row r="184" spans="1:41" s="103" customFormat="1" ht="41.25" customHeight="1">
      <c r="A184" s="528">
        <f>IF(1 - (($A$178 - $A$180) / MAX($A$178, $A$180)) &gt; 1, 1, 1 - (($A$178 - $A$180) / MAX($A$178, $A$180)))</f>
        <v>0.97111913357400714</v>
      </c>
      <c r="B184" s="474"/>
      <c r="C184" s="475"/>
      <c r="D184" s="473" t="s">
        <v>243</v>
      </c>
      <c r="E184" s="474"/>
      <c r="F184" s="474"/>
      <c r="G184" s="475"/>
      <c r="H184" s="487" t="s">
        <v>244</v>
      </c>
      <c r="I184" s="474"/>
      <c r="J184" s="474"/>
      <c r="K184" s="474"/>
      <c r="L184" s="474"/>
      <c r="M184" s="474"/>
      <c r="N184" s="474"/>
      <c r="O184" s="474"/>
      <c r="P184" s="475"/>
      <c r="Q184" s="192"/>
      <c r="R184" s="190"/>
      <c r="S184" s="190"/>
      <c r="T184" s="190"/>
      <c r="U184" s="190"/>
      <c r="V184" s="190"/>
      <c r="W184" s="190"/>
      <c r="X184" s="190"/>
      <c r="Y184" s="190"/>
      <c r="Z184" s="190"/>
      <c r="AA184" s="191"/>
      <c r="AN184" s="105"/>
      <c r="AO184" s="106"/>
    </row>
    <row r="185" spans="1:41" s="103" customFormat="1" ht="41.25" customHeight="1">
      <c r="A185" s="528">
        <f>IF(1 - (($A$179 - $A$181) / MAX($A$179, $A$181)) &gt; 1, 1, 1 - (($A$179 - $A$181) / MAX($A$179, $A$181)))</f>
        <v>0.93825503355704698</v>
      </c>
      <c r="B185" s="474"/>
      <c r="C185" s="475"/>
      <c r="D185" s="473" t="s">
        <v>245</v>
      </c>
      <c r="E185" s="474"/>
      <c r="F185" s="474"/>
      <c r="G185" s="475"/>
      <c r="H185" s="487" t="s">
        <v>246</v>
      </c>
      <c r="I185" s="474"/>
      <c r="J185" s="474"/>
      <c r="K185" s="474"/>
      <c r="L185" s="474"/>
      <c r="M185" s="474"/>
      <c r="N185" s="474"/>
      <c r="O185" s="474"/>
      <c r="P185" s="475"/>
      <c r="Q185" s="192"/>
      <c r="R185" s="190"/>
      <c r="S185" s="190"/>
      <c r="T185" s="190"/>
      <c r="U185" s="190"/>
      <c r="V185" s="190"/>
      <c r="W185" s="190"/>
      <c r="X185" s="190"/>
      <c r="Y185" s="190"/>
      <c r="Z185" s="190"/>
      <c r="AA185" s="191"/>
      <c r="AN185" s="105"/>
      <c r="AO185" s="106"/>
    </row>
    <row r="186" spans="1:41" s="103" customFormat="1" ht="41.25" customHeight="1">
      <c r="A186" s="528">
        <f>IF((($A$184 + $A$185) / 2) &gt; 1, 1, (($A$184 + $A$185) / 2))</f>
        <v>0.95468708356552701</v>
      </c>
      <c r="B186" s="474"/>
      <c r="C186" s="475"/>
      <c r="D186" s="473" t="s">
        <v>247</v>
      </c>
      <c r="E186" s="474"/>
      <c r="F186" s="474"/>
      <c r="G186" s="475"/>
      <c r="H186" s="487" t="s">
        <v>248</v>
      </c>
      <c r="I186" s="474"/>
      <c r="J186" s="474"/>
      <c r="K186" s="474"/>
      <c r="L186" s="474"/>
      <c r="M186" s="474"/>
      <c r="N186" s="474"/>
      <c r="O186" s="474"/>
      <c r="P186" s="475"/>
      <c r="Q186" s="192"/>
      <c r="R186" s="190"/>
      <c r="S186" s="190"/>
      <c r="T186" s="190"/>
      <c r="U186" s="190"/>
      <c r="V186" s="190"/>
      <c r="W186" s="190"/>
      <c r="X186" s="190"/>
      <c r="Y186" s="190"/>
      <c r="Z186" s="190"/>
      <c r="AA186" s="191"/>
      <c r="AN186" s="105"/>
      <c r="AO186" s="106"/>
    </row>
    <row r="187" spans="1:41" s="103" customFormat="1" ht="41.25" customHeight="1">
      <c r="A187" s="528">
        <f>IF(1 - (($A$184 - $A$185) / MAX($A$184, $A$185)) &gt; 1, 1, 1 - (($A$184 - $A$185) / MAX($A$184, $A$185)))</f>
        <v>0.96615852897881793</v>
      </c>
      <c r="B187" s="474"/>
      <c r="C187" s="475"/>
      <c r="D187" s="473" t="s">
        <v>249</v>
      </c>
      <c r="E187" s="474"/>
      <c r="F187" s="474"/>
      <c r="G187" s="475"/>
      <c r="H187" s="487" t="s">
        <v>250</v>
      </c>
      <c r="I187" s="474"/>
      <c r="J187" s="474"/>
      <c r="K187" s="474"/>
      <c r="L187" s="474"/>
      <c r="M187" s="474"/>
      <c r="N187" s="474"/>
      <c r="O187" s="474"/>
      <c r="P187" s="475"/>
      <c r="Q187" s="192"/>
      <c r="R187" s="190"/>
      <c r="S187" s="190"/>
      <c r="T187" s="190"/>
      <c r="U187" s="190"/>
      <c r="V187" s="190"/>
      <c r="W187" s="190"/>
      <c r="X187" s="190"/>
      <c r="Y187" s="190"/>
      <c r="Z187" s="190"/>
      <c r="AA187" s="191"/>
      <c r="AN187" s="105"/>
      <c r="AO187" s="106"/>
    </row>
    <row r="188" spans="1:41" s="103" customFormat="1" ht="41.25" customHeight="1">
      <c r="A188" s="528">
        <f>IF(1 - (($A$182 - $A$183) / MAX($A$182, $A$183)) &gt; 1, 1, 1 - (($A$182 - $A$183) / MAX($A$182, $A$183)))</f>
        <v>0.95558375634517767</v>
      </c>
      <c r="B188" s="474"/>
      <c r="C188" s="475"/>
      <c r="D188" s="473" t="s">
        <v>251</v>
      </c>
      <c r="E188" s="474"/>
      <c r="F188" s="474"/>
      <c r="G188" s="475"/>
      <c r="H188" s="487" t="s">
        <v>252</v>
      </c>
      <c r="I188" s="474"/>
      <c r="J188" s="474"/>
      <c r="K188" s="474"/>
      <c r="L188" s="474"/>
      <c r="M188" s="474"/>
      <c r="N188" s="474"/>
      <c r="O188" s="474"/>
      <c r="P188" s="475"/>
      <c r="Q188" s="192"/>
      <c r="R188" s="190"/>
      <c r="S188" s="190"/>
      <c r="T188" s="190"/>
      <c r="U188" s="190"/>
      <c r="V188" s="190"/>
      <c r="W188" s="190"/>
      <c r="X188" s="190"/>
      <c r="Y188" s="190"/>
      <c r="Z188" s="190"/>
      <c r="AA188" s="191"/>
      <c r="AN188" s="105"/>
      <c r="AO188" s="106"/>
    </row>
    <row r="189" spans="1:41" s="103" customFormat="1" ht="41.25" customHeight="1">
      <c r="A189" s="549">
        <f>($A$186*$A$187*$A$188)/($A$184+$A$185)</f>
        <v>0.46162269817325502</v>
      </c>
      <c r="B189" s="474"/>
      <c r="C189" s="475"/>
      <c r="D189" s="473" t="s">
        <v>253</v>
      </c>
      <c r="E189" s="474"/>
      <c r="F189" s="474"/>
      <c r="G189" s="475"/>
      <c r="H189" s="487" t="s">
        <v>254</v>
      </c>
      <c r="I189" s="474"/>
      <c r="J189" s="474"/>
      <c r="K189" s="474"/>
      <c r="L189" s="474"/>
      <c r="M189" s="474"/>
      <c r="N189" s="474"/>
      <c r="O189" s="474"/>
      <c r="P189" s="475"/>
      <c r="Q189" s="192"/>
      <c r="R189" s="190"/>
      <c r="S189" s="190"/>
      <c r="T189" s="193"/>
      <c r="U189" s="193"/>
      <c r="V189" s="193"/>
      <c r="W189" s="193"/>
      <c r="X189" s="193"/>
      <c r="Y189" s="193"/>
      <c r="Z189" s="193"/>
      <c r="AA189" s="194"/>
      <c r="AN189" s="105"/>
      <c r="AO189" s="106"/>
    </row>
    <row r="190" spans="1:41" s="103" customFormat="1" ht="45" customHeight="1">
      <c r="A190" s="530">
        <f>(1-$A$189)*$A$182/($A$182+$A$183)</f>
        <v>0.27530260469790729</v>
      </c>
      <c r="B190" s="474"/>
      <c r="C190" s="475"/>
      <c r="D190" s="487" t="s">
        <v>255</v>
      </c>
      <c r="E190" s="474"/>
      <c r="F190" s="474"/>
      <c r="G190" s="475"/>
      <c r="H190" s="473" t="s">
        <v>256</v>
      </c>
      <c r="I190" s="474"/>
      <c r="J190" s="474"/>
      <c r="K190" s="474"/>
      <c r="L190" s="474"/>
      <c r="M190" s="474"/>
      <c r="N190" s="474"/>
      <c r="O190" s="474"/>
      <c r="P190" s="475"/>
      <c r="Q190" s="189"/>
      <c r="R190" s="190"/>
      <c r="S190" s="190"/>
      <c r="T190" s="190"/>
      <c r="U190" s="190"/>
      <c r="V190" s="190"/>
      <c r="W190" s="190"/>
      <c r="X190" s="190"/>
      <c r="Y190" s="190"/>
      <c r="Z190" s="190"/>
      <c r="AA190" s="191"/>
      <c r="AN190" s="105"/>
      <c r="AO190" s="106"/>
    </row>
    <row r="191" spans="1:41" s="103" customFormat="1" ht="41.25" customHeight="1">
      <c r="A191" s="530">
        <f>(1 - $A$189)*$A$183/($A$182+$A$183)</f>
        <v>0.2630746971288378</v>
      </c>
      <c r="B191" s="474"/>
      <c r="C191" s="475"/>
      <c r="D191" s="487" t="s">
        <v>257</v>
      </c>
      <c r="E191" s="474"/>
      <c r="F191" s="474"/>
      <c r="G191" s="475"/>
      <c r="H191" s="487" t="s">
        <v>258</v>
      </c>
      <c r="I191" s="474"/>
      <c r="J191" s="474"/>
      <c r="K191" s="474"/>
      <c r="L191" s="474"/>
      <c r="M191" s="474"/>
      <c r="N191" s="474"/>
      <c r="O191" s="474"/>
      <c r="P191" s="475"/>
      <c r="Q191" s="192"/>
      <c r="R191" s="190"/>
      <c r="S191" s="190"/>
      <c r="T191" s="190"/>
      <c r="U191" s="190"/>
      <c r="V191" s="190"/>
      <c r="W191" s="190"/>
      <c r="X191" s="190"/>
      <c r="Y191" s="190"/>
      <c r="Z191" s="190"/>
      <c r="AA191" s="191"/>
      <c r="AN191" s="105"/>
      <c r="AO191" s="106"/>
    </row>
    <row r="192" spans="1:41" s="103" customFormat="1" ht="41.25" customHeight="1">
      <c r="A192" s="530">
        <f>$A$178/($A$178+$A$180)</f>
        <v>0.5073260073260073</v>
      </c>
      <c r="B192" s="474"/>
      <c r="C192" s="475"/>
      <c r="D192" s="473" t="s">
        <v>259</v>
      </c>
      <c r="E192" s="474"/>
      <c r="F192" s="474"/>
      <c r="G192" s="475"/>
      <c r="H192" s="473" t="s">
        <v>260</v>
      </c>
      <c r="I192" s="474"/>
      <c r="J192" s="474"/>
      <c r="K192" s="474"/>
      <c r="L192" s="474"/>
      <c r="M192" s="474"/>
      <c r="N192" s="474"/>
      <c r="O192" s="474"/>
      <c r="P192" s="475"/>
      <c r="Q192" s="192"/>
      <c r="R192" s="190"/>
      <c r="S192" s="190"/>
      <c r="T192" s="190"/>
      <c r="U192" s="190"/>
      <c r="V192" s="190"/>
      <c r="W192" s="190"/>
      <c r="X192" s="190"/>
      <c r="Y192" s="190"/>
      <c r="Z192" s="190"/>
      <c r="AA192" s="191"/>
      <c r="AN192" s="105"/>
      <c r="AO192" s="106"/>
    </row>
    <row r="193" spans="1:41" s="103" customFormat="1" ht="41.25" customHeight="1">
      <c r="A193" s="530">
        <f>$A$180/($A$178+$A$180)</f>
        <v>0.49267399267399264</v>
      </c>
      <c r="B193" s="474"/>
      <c r="C193" s="475"/>
      <c r="D193" s="473" t="s">
        <v>261</v>
      </c>
      <c r="E193" s="474"/>
      <c r="F193" s="474"/>
      <c r="G193" s="475"/>
      <c r="H193" s="473" t="s">
        <v>262</v>
      </c>
      <c r="I193" s="474"/>
      <c r="J193" s="474"/>
      <c r="K193" s="474"/>
      <c r="L193" s="474"/>
      <c r="M193" s="474"/>
      <c r="N193" s="474"/>
      <c r="O193" s="474"/>
      <c r="P193" s="475"/>
      <c r="Q193" s="192"/>
      <c r="R193" s="190"/>
      <c r="S193" s="190"/>
      <c r="T193" s="190"/>
      <c r="U193" s="190"/>
      <c r="V193" s="190"/>
      <c r="W193" s="190"/>
      <c r="X193" s="190"/>
      <c r="Y193" s="190"/>
      <c r="Z193" s="190"/>
      <c r="AA193" s="191"/>
      <c r="AN193" s="105"/>
      <c r="AO193" s="106"/>
    </row>
    <row r="194" spans="1:41" s="103" customFormat="1" ht="41.25" customHeight="1">
      <c r="A194" s="569">
        <f>$A$179*$A$181</f>
        <v>0.52075500000000008</v>
      </c>
      <c r="B194" s="474"/>
      <c r="C194" s="475"/>
      <c r="D194" s="539" t="s">
        <v>263</v>
      </c>
      <c r="E194" s="474"/>
      <c r="F194" s="474"/>
      <c r="G194" s="475"/>
      <c r="H194" s="473" t="s">
        <v>264</v>
      </c>
      <c r="I194" s="474"/>
      <c r="J194" s="474"/>
      <c r="K194" s="474"/>
      <c r="L194" s="474"/>
      <c r="M194" s="474"/>
      <c r="N194" s="474"/>
      <c r="O194" s="474"/>
      <c r="P194" s="475"/>
      <c r="Q194" s="192"/>
      <c r="R194" s="190"/>
      <c r="S194" s="190"/>
      <c r="T194" s="190"/>
      <c r="U194" s="190"/>
      <c r="V194" s="190"/>
      <c r="W194" s="190"/>
      <c r="X194" s="190"/>
      <c r="Y194" s="190"/>
      <c r="Z194" s="190"/>
      <c r="AA194" s="191"/>
      <c r="AN194" s="105"/>
      <c r="AO194" s="106"/>
    </row>
    <row r="195" spans="1:41" s="103" customFormat="1" ht="41.25" customHeight="1">
      <c r="A195" s="540">
        <f>$A$178*$A$180</f>
        <v>0.67061699999999991</v>
      </c>
      <c r="B195" s="474"/>
      <c r="C195" s="475"/>
      <c r="D195" s="539" t="s">
        <v>265</v>
      </c>
      <c r="E195" s="474"/>
      <c r="F195" s="474"/>
      <c r="G195" s="475"/>
      <c r="H195" s="473" t="s">
        <v>266</v>
      </c>
      <c r="I195" s="474"/>
      <c r="J195" s="474"/>
      <c r="K195" s="474"/>
      <c r="L195" s="474"/>
      <c r="M195" s="474"/>
      <c r="N195" s="474"/>
      <c r="O195" s="474"/>
      <c r="P195" s="475"/>
      <c r="Q195" s="192"/>
      <c r="R195" s="190"/>
      <c r="S195" s="190"/>
      <c r="T195" s="190"/>
      <c r="U195" s="190"/>
      <c r="V195" s="190"/>
      <c r="W195" s="190"/>
      <c r="X195" s="190"/>
      <c r="Y195" s="190"/>
      <c r="Z195" s="190"/>
      <c r="AA195" s="191"/>
      <c r="AN195" s="105"/>
      <c r="AO195" s="106"/>
    </row>
    <row r="196" spans="1:41" s="103" customFormat="1" ht="41.25" customHeight="1">
      <c r="A196" s="530">
        <f>$A$194/($A$194+$A$195)</f>
        <v>0.43710528701362811</v>
      </c>
      <c r="B196" s="474"/>
      <c r="C196" s="475"/>
      <c r="D196" s="473" t="s">
        <v>16</v>
      </c>
      <c r="E196" s="474"/>
      <c r="F196" s="474"/>
      <c r="G196" s="475"/>
      <c r="H196" s="473" t="s">
        <v>267</v>
      </c>
      <c r="I196" s="474"/>
      <c r="J196" s="474"/>
      <c r="K196" s="474"/>
      <c r="L196" s="474"/>
      <c r="M196" s="474"/>
      <c r="N196" s="474"/>
      <c r="O196" s="474"/>
      <c r="P196" s="475"/>
      <c r="Q196" s="192"/>
      <c r="R196" s="190"/>
      <c r="S196" s="190"/>
      <c r="T196" s="190"/>
      <c r="U196" s="190"/>
      <c r="V196" s="190"/>
      <c r="W196" s="190"/>
      <c r="X196" s="190"/>
      <c r="Y196" s="190"/>
      <c r="Z196" s="190"/>
      <c r="AA196" s="191"/>
      <c r="AN196" s="105"/>
      <c r="AO196" s="106"/>
    </row>
    <row r="197" spans="1:41" s="103" customFormat="1" ht="41.25" customHeight="1">
      <c r="A197" s="530">
        <f>$A$195/($A$194+$A$195)</f>
        <v>0.56289471298637195</v>
      </c>
      <c r="B197" s="474"/>
      <c r="C197" s="475"/>
      <c r="D197" s="473" t="s">
        <v>268</v>
      </c>
      <c r="E197" s="474"/>
      <c r="F197" s="474"/>
      <c r="G197" s="475"/>
      <c r="H197" s="473" t="s">
        <v>269</v>
      </c>
      <c r="I197" s="474"/>
      <c r="J197" s="474"/>
      <c r="K197" s="474"/>
      <c r="L197" s="474"/>
      <c r="M197" s="474"/>
      <c r="N197" s="474"/>
      <c r="O197" s="474"/>
      <c r="P197" s="475"/>
      <c r="Q197" s="192"/>
      <c r="R197" s="190"/>
      <c r="S197" s="190"/>
      <c r="T197" s="190"/>
      <c r="U197" s="190"/>
      <c r="V197" s="190"/>
      <c r="W197" s="190"/>
      <c r="X197" s="190"/>
      <c r="Y197" s="190"/>
      <c r="Z197" s="190"/>
      <c r="AA197" s="191"/>
      <c r="AN197" s="105"/>
      <c r="AO197" s="106"/>
    </row>
    <row r="198" spans="1:41" s="103" customFormat="1" ht="41.25" customHeight="1">
      <c r="A198" s="527">
        <f>1-($A$196+$A$197)</f>
        <v>0</v>
      </c>
      <c r="B198" s="474"/>
      <c r="C198" s="475"/>
      <c r="D198" s="473" t="s">
        <v>51</v>
      </c>
      <c r="E198" s="474"/>
      <c r="F198" s="474"/>
      <c r="G198" s="475"/>
      <c r="H198" s="473" t="s">
        <v>270</v>
      </c>
      <c r="I198" s="474"/>
      <c r="J198" s="474"/>
      <c r="K198" s="474"/>
      <c r="L198" s="474"/>
      <c r="M198" s="474"/>
      <c r="N198" s="474"/>
      <c r="O198" s="474"/>
      <c r="P198" s="475"/>
      <c r="Q198" s="192"/>
      <c r="R198" s="190"/>
      <c r="S198" s="190"/>
      <c r="T198" s="190"/>
      <c r="U198" s="190"/>
      <c r="V198" s="190"/>
      <c r="W198" s="190"/>
      <c r="X198" s="190"/>
      <c r="Y198" s="190"/>
      <c r="Z198" s="190"/>
      <c r="AA198" s="191"/>
      <c r="AN198" s="105"/>
      <c r="AO198" s="106"/>
    </row>
    <row r="199" spans="1:41" s="103" customFormat="1" ht="41.25" customHeight="1">
      <c r="A199" s="195"/>
      <c r="B199" s="196"/>
      <c r="C199" s="196"/>
      <c r="D199" s="68"/>
      <c r="E199" s="68"/>
      <c r="F199" s="68"/>
      <c r="G199" s="68"/>
      <c r="H199" s="68"/>
      <c r="I199" s="68"/>
      <c r="J199" s="68"/>
      <c r="K199" s="68"/>
      <c r="L199" s="68"/>
      <c r="M199" s="68"/>
      <c r="N199" s="68"/>
      <c r="O199" s="68"/>
      <c r="P199" s="68"/>
      <c r="Q199" s="197"/>
      <c r="R199" s="197"/>
      <c r="S199" s="197"/>
      <c r="T199" s="197"/>
      <c r="U199" s="197"/>
      <c r="V199" s="197"/>
      <c r="W199" s="197"/>
      <c r="X199" s="197"/>
      <c r="Y199" s="197"/>
      <c r="Z199" s="197"/>
      <c r="AA199" s="198"/>
      <c r="AN199" s="105"/>
      <c r="AO199" s="106"/>
    </row>
    <row r="200" spans="1:41" s="103" customFormat="1" ht="41.25" customHeight="1">
      <c r="A200" s="567"/>
      <c r="B200" s="474"/>
      <c r="C200" s="475"/>
      <c r="D200" s="473"/>
      <c r="E200" s="474"/>
      <c r="F200" s="474"/>
      <c r="G200" s="475"/>
      <c r="I200" s="199"/>
      <c r="AA200" s="104"/>
      <c r="AN200" s="105"/>
      <c r="AO200" s="106"/>
    </row>
    <row r="201" spans="1:41">
      <c r="A201" s="58" t="s">
        <v>271</v>
      </c>
      <c r="B201" s="103"/>
      <c r="C201" s="103"/>
      <c r="E201" s="103"/>
      <c r="F201" s="103"/>
      <c r="G201" s="103"/>
      <c r="H201" s="103"/>
      <c r="I201" s="199"/>
      <c r="J201" s="103"/>
      <c r="K201" s="103"/>
      <c r="L201" s="103"/>
      <c r="M201" s="103"/>
      <c r="N201" s="103"/>
      <c r="O201" s="103"/>
      <c r="P201" s="103"/>
      <c r="Q201" s="103"/>
      <c r="R201" s="103"/>
    </row>
    <row r="202" spans="1:41">
      <c r="A202" s="103" t="s">
        <v>272</v>
      </c>
      <c r="B202" s="103"/>
      <c r="C202" s="103"/>
      <c r="E202" s="103"/>
      <c r="F202" s="103"/>
      <c r="G202" s="103"/>
      <c r="H202" s="103"/>
      <c r="I202" s="199"/>
      <c r="J202" s="103"/>
      <c r="K202" s="103"/>
      <c r="L202" s="103"/>
      <c r="M202" s="103"/>
      <c r="N202" s="103"/>
      <c r="O202" s="103"/>
      <c r="P202" s="103"/>
      <c r="Q202" s="103"/>
      <c r="R202" s="103"/>
    </row>
    <row r="203" spans="1:41">
      <c r="A203" t="s">
        <v>273</v>
      </c>
      <c r="F203" s="103"/>
      <c r="G203" s="103"/>
      <c r="H203" s="103"/>
      <c r="I203" s="103"/>
      <c r="J203" s="103"/>
      <c r="K203" s="103"/>
      <c r="L203" s="103"/>
      <c r="M203" s="103"/>
      <c r="N203" s="78"/>
      <c r="O203" s="103"/>
      <c r="P203" s="103"/>
      <c r="Q203" s="103"/>
      <c r="R203" s="103"/>
      <c r="S203" s="103"/>
      <c r="T203" s="103"/>
      <c r="U203" s="103"/>
      <c r="V203" s="103"/>
      <c r="W203" s="103"/>
      <c r="X203" s="103"/>
      <c r="Y203" s="103"/>
      <c r="Z203" s="103"/>
      <c r="AA203" s="104"/>
    </row>
    <row r="204" spans="1:41">
      <c r="A204" s="200" t="s">
        <v>274</v>
      </c>
    </row>
    <row r="206" spans="1:41" s="2" customFormat="1">
      <c r="G206" s="201"/>
      <c r="H206" s="201"/>
      <c r="I206" s="201"/>
      <c r="J206" s="201"/>
      <c r="K206" s="201"/>
      <c r="L206" s="201"/>
      <c r="M206" s="201"/>
      <c r="N206" s="201"/>
      <c r="O206" s="201"/>
      <c r="P206" s="201"/>
      <c r="Q206" s="201"/>
      <c r="R206" s="201"/>
      <c r="S206" s="201"/>
      <c r="AN206" s="202"/>
      <c r="AO206" s="203"/>
    </row>
    <row r="208" spans="1:41" ht="24" customHeight="1" thickBot="1"/>
    <row r="209" spans="1:41" ht="57.75" customHeight="1" thickBot="1">
      <c r="B209" s="536" t="s">
        <v>275</v>
      </c>
      <c r="C209" s="537"/>
      <c r="D209" s="538"/>
      <c r="E209" s="133"/>
      <c r="J209" s="94"/>
      <c r="K209" s="100"/>
      <c r="L209" s="100"/>
    </row>
    <row r="210" spans="1:41" s="103" customFormat="1" ht="43.5" customHeight="1">
      <c r="A210" s="134"/>
      <c r="B210" s="471" t="s">
        <v>146</v>
      </c>
      <c r="C210" s="560" t="s">
        <v>276</v>
      </c>
      <c r="D210" s="135" t="s">
        <v>277</v>
      </c>
      <c r="E210" s="136" t="s">
        <v>278</v>
      </c>
      <c r="F210" s="136"/>
      <c r="G210" s="136"/>
      <c r="H210" s="136"/>
      <c r="I210" s="136"/>
      <c r="J210" s="77"/>
      <c r="K210" s="516" t="s">
        <v>279</v>
      </c>
      <c r="L210" s="137"/>
      <c r="M210" s="516"/>
      <c r="N210" s="138"/>
      <c r="O210" s="81"/>
      <c r="P210" s="75"/>
      <c r="Q210" s="75"/>
      <c r="R210" s="75"/>
      <c r="S210" s="81"/>
      <c r="T210" s="75"/>
      <c r="U210" s="75"/>
      <c r="V210" s="139"/>
      <c r="W210" s="139"/>
      <c r="X210" s="139"/>
      <c r="Y210" s="139"/>
      <c r="Z210" s="139"/>
      <c r="AA210" s="140"/>
      <c r="AN210" s="105"/>
      <c r="AO210" s="106"/>
    </row>
    <row r="211" spans="1:41" s="103" customFormat="1" ht="63" customHeight="1">
      <c r="A211" s="134"/>
      <c r="B211" s="472"/>
      <c r="C211" s="472"/>
      <c r="D211" s="204" t="s">
        <v>232</v>
      </c>
      <c r="E211" s="204" t="s">
        <v>236</v>
      </c>
      <c r="F211" s="204"/>
      <c r="G211" s="136"/>
      <c r="H211" s="136"/>
      <c r="I211" s="136"/>
      <c r="J211" s="77"/>
      <c r="K211" s="472"/>
      <c r="L211" s="137"/>
      <c r="M211" s="472"/>
      <c r="N211" s="138"/>
      <c r="O211" s="81"/>
      <c r="P211" s="81"/>
      <c r="Q211" s="81"/>
      <c r="R211" s="62"/>
      <c r="S211" s="81"/>
      <c r="T211" s="81"/>
      <c r="U211" s="81"/>
      <c r="V211" s="139"/>
      <c r="W211" s="139"/>
      <c r="X211" s="139"/>
      <c r="Y211" s="139"/>
      <c r="Z211" s="139"/>
      <c r="AA211" s="140"/>
      <c r="AN211" s="105"/>
      <c r="AO211" s="106"/>
    </row>
    <row r="212" spans="1:41" s="103" customFormat="1" ht="81.75" customHeight="1">
      <c r="B212" s="142"/>
      <c r="C212" s="205" t="s">
        <v>280</v>
      </c>
      <c r="D212" s="206">
        <f>$A$178</f>
        <v>0.83099999999999996</v>
      </c>
      <c r="E212" s="206">
        <f>$A$180</f>
        <v>0.80699999999999994</v>
      </c>
      <c r="F212" s="206"/>
      <c r="G212" s="127"/>
      <c r="H212" s="144"/>
      <c r="I212" s="145"/>
      <c r="J212" s="77"/>
      <c r="K212" s="207" t="s">
        <v>281</v>
      </c>
      <c r="L212" s="208"/>
      <c r="M212" s="207"/>
      <c r="N212" s="138"/>
      <c r="O212" s="97"/>
      <c r="P212" s="100"/>
      <c r="Q212" s="101"/>
      <c r="R212" s="34"/>
      <c r="S212" s="97"/>
      <c r="T212" s="95"/>
      <c r="U212" s="100"/>
      <c r="V212" s="139"/>
      <c r="W212" s="139"/>
      <c r="X212" s="139"/>
      <c r="Y212" s="139"/>
      <c r="Z212" s="139"/>
      <c r="AA212" s="140"/>
      <c r="AN212" s="105"/>
      <c r="AO212" s="106"/>
    </row>
    <row r="213" spans="1:41" s="103" customFormat="1" ht="27.75" customHeight="1">
      <c r="B213" s="476" t="s">
        <v>30</v>
      </c>
      <c r="C213" s="481"/>
      <c r="D213" s="508">
        <v>0.6</v>
      </c>
      <c r="E213" s="479">
        <v>0.4</v>
      </c>
      <c r="F213" s="479"/>
      <c r="G213" s="479"/>
      <c r="H213" s="479"/>
      <c r="I213" s="479"/>
      <c r="J213" s="476" t="s">
        <v>30</v>
      </c>
      <c r="K213" s="480">
        <f>0.6*$A$178/(0.6*$A$178+ 0.4*$A$180)</f>
        <v>0.60701241782322857</v>
      </c>
      <c r="L213" s="146"/>
      <c r="M213" s="480"/>
      <c r="N213" s="149"/>
      <c r="O213" s="97"/>
      <c r="P213" s="100"/>
      <c r="Q213" s="100"/>
      <c r="R213" s="34"/>
      <c r="S213" s="97"/>
      <c r="T213" s="100"/>
      <c r="U213" s="101"/>
      <c r="V213" s="139"/>
      <c r="W213" s="139"/>
      <c r="X213" s="139"/>
      <c r="Y213" s="139"/>
      <c r="Z213" s="139"/>
      <c r="AA213" s="140"/>
      <c r="AN213" s="105"/>
      <c r="AO213" s="106"/>
    </row>
    <row r="214" spans="1:41" s="103" customFormat="1" ht="27.75" customHeight="1">
      <c r="B214" s="472"/>
      <c r="C214" s="472"/>
      <c r="D214" s="472"/>
      <c r="E214" s="472"/>
      <c r="F214" s="472"/>
      <c r="G214" s="472"/>
      <c r="H214" s="472"/>
      <c r="I214" s="472"/>
      <c r="J214" s="472"/>
      <c r="K214" s="472"/>
      <c r="L214" s="146"/>
      <c r="M214" s="472"/>
      <c r="N214" s="150"/>
      <c r="O214" s="97"/>
      <c r="P214" s="98"/>
      <c r="Q214" s="151"/>
      <c r="R214" s="34"/>
      <c r="S214" s="147"/>
      <c r="T214" s="100"/>
      <c r="U214" s="101"/>
      <c r="V214" s="139"/>
      <c r="W214" s="139"/>
      <c r="X214" s="139"/>
      <c r="Y214" s="139"/>
      <c r="Z214" s="139"/>
      <c r="AA214" s="140"/>
      <c r="AN214" s="105"/>
      <c r="AO214" s="106"/>
    </row>
    <row r="215" spans="1:41" s="152" customFormat="1" ht="27.75" customHeight="1">
      <c r="B215" s="485" t="s">
        <v>33</v>
      </c>
      <c r="C215" s="483"/>
      <c r="D215" s="486">
        <v>0.7</v>
      </c>
      <c r="E215" s="486">
        <v>0.3</v>
      </c>
      <c r="F215" s="486"/>
      <c r="G215" s="478"/>
      <c r="H215" s="478"/>
      <c r="I215" s="478"/>
      <c r="J215" s="485" t="s">
        <v>33</v>
      </c>
      <c r="K215" s="480">
        <f>0.7*$A$178/(0.7*$A$178+ 0.3* $A$180)</f>
        <v>0.70611798980335028</v>
      </c>
      <c r="L215" s="146"/>
      <c r="M215" s="484"/>
      <c r="N215" s="149"/>
      <c r="O215" s="97"/>
      <c r="P215" s="95"/>
      <c r="Q215" s="100"/>
      <c r="R215" s="34"/>
      <c r="V215" s="139"/>
      <c r="W215" s="139"/>
      <c r="X215" s="139"/>
      <c r="Y215" s="139"/>
      <c r="Z215" s="139"/>
      <c r="AA215" s="140"/>
      <c r="AN215" s="153"/>
      <c r="AO215" s="154"/>
    </row>
    <row r="216" spans="1:41" s="152" customFormat="1" ht="27.75" customHeight="1">
      <c r="B216" s="472"/>
      <c r="C216" s="472"/>
      <c r="D216" s="472"/>
      <c r="E216" s="472"/>
      <c r="F216" s="472"/>
      <c r="G216" s="472"/>
      <c r="H216" s="472"/>
      <c r="I216" s="472"/>
      <c r="J216" s="472"/>
      <c r="K216" s="472"/>
      <c r="L216" s="146"/>
      <c r="M216" s="472"/>
      <c r="N216" s="155"/>
      <c r="O216" s="97"/>
      <c r="P216" s="95"/>
      <c r="Q216" s="100"/>
      <c r="R216" s="34"/>
      <c r="V216" s="139"/>
      <c r="W216" s="139"/>
      <c r="X216" s="139"/>
      <c r="Y216" s="139"/>
      <c r="Z216" s="139"/>
      <c r="AA216" s="140"/>
      <c r="AN216" s="153"/>
      <c r="AO216" s="154"/>
    </row>
    <row r="217" spans="1:41" ht="27.75" customHeight="1">
      <c r="B217" s="476" t="s">
        <v>37</v>
      </c>
      <c r="C217" s="481"/>
      <c r="D217" s="479">
        <v>0.5</v>
      </c>
      <c r="E217" s="479">
        <v>0.5</v>
      </c>
      <c r="F217" s="479"/>
      <c r="G217" s="482"/>
      <c r="H217" s="482"/>
      <c r="I217" s="482"/>
      <c r="J217" s="476" t="s">
        <v>37</v>
      </c>
      <c r="K217" s="480">
        <f>0.5*$A$178/(0.5*$A$178+ 0.5* $A$180)</f>
        <v>0.5073260073260073</v>
      </c>
      <c r="L217" s="146"/>
      <c r="M217" s="484"/>
      <c r="N217" s="149"/>
      <c r="O217" s="97"/>
      <c r="P217" s="95"/>
      <c r="Q217" s="100"/>
      <c r="S217" s="97"/>
      <c r="T217" s="95"/>
      <c r="U217" s="156"/>
      <c r="V217" s="139"/>
      <c r="W217" s="139"/>
      <c r="X217" s="139"/>
      <c r="Y217" s="139"/>
      <c r="Z217" s="139"/>
      <c r="AA217" s="140"/>
    </row>
    <row r="218" spans="1:41" ht="27.75" customHeight="1">
      <c r="B218" s="472"/>
      <c r="C218" s="472"/>
      <c r="D218" s="472"/>
      <c r="E218" s="472"/>
      <c r="F218" s="472"/>
      <c r="G218" s="472"/>
      <c r="H218" s="472"/>
      <c r="I218" s="472"/>
      <c r="J218" s="472"/>
      <c r="K218" s="472"/>
      <c r="L218" s="146"/>
      <c r="M218" s="472"/>
      <c r="N218" s="155"/>
      <c r="O218" s="97"/>
      <c r="P218" s="95"/>
      <c r="Q218" s="95"/>
      <c r="R218" s="139"/>
      <c r="S218" s="132"/>
      <c r="T218" s="95"/>
      <c r="U218" s="156"/>
      <c r="V218" s="139"/>
      <c r="W218" s="139"/>
      <c r="X218" s="139"/>
      <c r="Y218" s="139"/>
      <c r="Z218" s="139"/>
      <c r="AA218" s="140"/>
    </row>
    <row r="219" spans="1:41" ht="27.75" customHeight="1">
      <c r="B219" s="485" t="s">
        <v>44</v>
      </c>
      <c r="C219" s="483"/>
      <c r="D219" s="486">
        <v>0.4</v>
      </c>
      <c r="E219" s="486">
        <v>0.6</v>
      </c>
      <c r="F219" s="486"/>
      <c r="G219" s="478"/>
      <c r="H219" s="478"/>
      <c r="I219" s="478"/>
      <c r="J219" s="485" t="s">
        <v>44</v>
      </c>
      <c r="K219" s="480">
        <f>0.4*$A$178/(0.4*$A$178+ 0.6* $A$180)</f>
        <v>0.40705363703159447</v>
      </c>
      <c r="L219" s="146"/>
      <c r="M219" s="484"/>
      <c r="N219" s="149"/>
      <c r="O219" s="97"/>
      <c r="P219" s="95"/>
      <c r="Q219" s="156"/>
      <c r="R219" s="139"/>
      <c r="S219" s="97"/>
      <c r="T219" s="95"/>
      <c r="U219" s="156"/>
      <c r="V219" s="139"/>
      <c r="W219" s="139"/>
      <c r="X219" s="139"/>
      <c r="Y219" s="139"/>
      <c r="Z219" s="139"/>
      <c r="AA219" s="140"/>
    </row>
    <row r="220" spans="1:41" ht="27.75" customHeight="1">
      <c r="B220" s="472"/>
      <c r="C220" s="472"/>
      <c r="D220" s="472"/>
      <c r="E220" s="472"/>
      <c r="F220" s="472"/>
      <c r="G220" s="472"/>
      <c r="H220" s="472"/>
      <c r="I220" s="472"/>
      <c r="J220" s="472"/>
      <c r="K220" s="472"/>
      <c r="L220" s="146"/>
      <c r="M220" s="472"/>
      <c r="N220" s="155"/>
      <c r="O220" s="97"/>
      <c r="P220" s="157"/>
      <c r="Q220" s="157"/>
      <c r="R220" s="139"/>
      <c r="S220" s="97"/>
      <c r="T220" s="95"/>
      <c r="U220" s="156"/>
      <c r="V220" s="139"/>
      <c r="W220" s="139"/>
      <c r="X220" s="139"/>
      <c r="Y220" s="139"/>
      <c r="Z220" s="139"/>
      <c r="AA220" s="140"/>
    </row>
    <row r="221" spans="1:41" ht="27.75" customHeight="1">
      <c r="B221" s="476" t="s">
        <v>50</v>
      </c>
      <c r="C221" s="481"/>
      <c r="D221" s="479">
        <v>0.55000000000000004</v>
      </c>
      <c r="E221" s="479">
        <v>0.45</v>
      </c>
      <c r="F221" s="479"/>
      <c r="G221" s="482"/>
      <c r="H221" s="482"/>
      <c r="I221" s="482"/>
      <c r="J221" s="476" t="s">
        <v>50</v>
      </c>
      <c r="K221" s="480">
        <f>0.55*$A$178/(0.55*$A$178+ 0.45*$A$180)</f>
        <v>0.55724213606437456</v>
      </c>
      <c r="L221" s="146"/>
      <c r="M221" s="484"/>
      <c r="N221" s="149"/>
      <c r="O221" s="94"/>
      <c r="P221" s="100"/>
      <c r="Q221" s="100"/>
      <c r="R221" s="139"/>
      <c r="S221" s="97"/>
      <c r="T221" s="95"/>
      <c r="U221" s="156"/>
      <c r="V221" s="139"/>
      <c r="W221" s="139"/>
      <c r="X221" s="139"/>
      <c r="Y221" s="139"/>
      <c r="Z221" s="139"/>
      <c r="AA221" s="140"/>
    </row>
    <row r="222" spans="1:41" ht="27.75" customHeight="1">
      <c r="B222" s="472"/>
      <c r="C222" s="472"/>
      <c r="D222" s="472"/>
      <c r="E222" s="472"/>
      <c r="F222" s="472"/>
      <c r="G222" s="472"/>
      <c r="H222" s="472"/>
      <c r="I222" s="472"/>
      <c r="J222" s="472"/>
      <c r="K222" s="472"/>
      <c r="L222" s="146"/>
      <c r="M222" s="472"/>
      <c r="N222" s="155"/>
      <c r="O222" s="94"/>
      <c r="P222" s="100"/>
      <c r="Q222" s="100"/>
      <c r="R222" s="139"/>
      <c r="S222" s="97"/>
      <c r="T222" s="95"/>
      <c r="U222" s="156"/>
      <c r="V222" s="139"/>
      <c r="W222" s="139"/>
      <c r="X222" s="139"/>
      <c r="Y222" s="139"/>
      <c r="Z222" s="139"/>
      <c r="AA222" s="140"/>
    </row>
    <row r="223" spans="1:41" ht="27.75" customHeight="1">
      <c r="B223" s="488" t="s">
        <v>54</v>
      </c>
      <c r="C223" s="483"/>
      <c r="D223" s="486">
        <v>0.5</v>
      </c>
      <c r="E223" s="486">
        <v>0.5</v>
      </c>
      <c r="F223" s="486"/>
      <c r="G223" s="478"/>
      <c r="H223" s="478"/>
      <c r="I223" s="478"/>
      <c r="J223" s="488" t="s">
        <v>54</v>
      </c>
      <c r="K223" s="480">
        <f>0.5*$A$178/(0.5*$A$178+ 0.5* $A$180)</f>
        <v>0.5073260073260073</v>
      </c>
      <c r="L223" s="146"/>
      <c r="M223" s="484"/>
      <c r="N223" s="209"/>
      <c r="O223" s="139"/>
      <c r="P223" s="139"/>
      <c r="Q223" s="139"/>
      <c r="R223" s="139"/>
      <c r="S223" s="158"/>
      <c r="T223" s="159"/>
      <c r="V223" s="139"/>
      <c r="W223" s="139"/>
      <c r="X223" s="139"/>
      <c r="Y223" s="139"/>
      <c r="Z223" s="139"/>
      <c r="AA223" s="140"/>
    </row>
    <row r="224" spans="1:41" ht="27.75" customHeight="1">
      <c r="B224" s="472"/>
      <c r="C224" s="472"/>
      <c r="D224" s="472"/>
      <c r="E224" s="472"/>
      <c r="F224" s="472"/>
      <c r="G224" s="472"/>
      <c r="H224" s="472"/>
      <c r="I224" s="472"/>
      <c r="J224" s="472"/>
      <c r="K224" s="472"/>
      <c r="L224" s="146"/>
      <c r="M224" s="472"/>
      <c r="N224" s="155"/>
      <c r="O224" s="127"/>
      <c r="P224" s="139"/>
      <c r="Q224" s="139"/>
      <c r="R224" s="139"/>
      <c r="S224" s="23"/>
      <c r="T224" s="23"/>
      <c r="U224" s="23"/>
      <c r="V224" s="139"/>
      <c r="W224" s="139"/>
      <c r="X224" s="139"/>
      <c r="Y224" s="139"/>
      <c r="Z224" s="139"/>
      <c r="AA224" s="140"/>
    </row>
    <row r="225" spans="1:41" s="103" customFormat="1" ht="27.75" customHeight="1">
      <c r="B225" s="476" t="s">
        <v>58</v>
      </c>
      <c r="C225" s="481"/>
      <c r="D225" s="479">
        <v>0.45</v>
      </c>
      <c r="E225" s="479">
        <v>0.55000000000000004</v>
      </c>
      <c r="F225" s="479"/>
      <c r="G225" s="482"/>
      <c r="H225" s="482"/>
      <c r="I225" s="482"/>
      <c r="J225" s="476" t="s">
        <v>58</v>
      </c>
      <c r="K225" s="480">
        <f>0.45*$A$178/(0.45*$A$178+ 0.55* $A$180)</f>
        <v>0.45726338958180479</v>
      </c>
      <c r="L225" s="146"/>
      <c r="M225" s="484"/>
      <c r="N225" s="149"/>
      <c r="O225" s="160"/>
      <c r="P225" s="139"/>
      <c r="Q225" s="139"/>
      <c r="R225" s="139"/>
      <c r="S225" s="75"/>
      <c r="T225" s="75"/>
      <c r="U225" s="75"/>
      <c r="V225" s="139"/>
      <c r="W225" s="139"/>
      <c r="X225" s="139"/>
      <c r="Y225" s="139"/>
      <c r="Z225" s="139"/>
      <c r="AA225" s="140"/>
      <c r="AN225" s="105"/>
      <c r="AO225" s="106"/>
    </row>
    <row r="226" spans="1:41" s="103" customFormat="1" ht="41.25" customHeight="1">
      <c r="B226" s="472"/>
      <c r="C226" s="472"/>
      <c r="D226" s="472"/>
      <c r="E226" s="472"/>
      <c r="F226" s="472"/>
      <c r="G226" s="472"/>
      <c r="H226" s="472"/>
      <c r="I226" s="472"/>
      <c r="J226" s="472"/>
      <c r="K226" s="472"/>
      <c r="L226" s="146"/>
      <c r="M226" s="472"/>
      <c r="N226" s="155"/>
      <c r="O226" s="161"/>
      <c r="P226" s="139"/>
      <c r="Q226" s="139"/>
      <c r="R226" s="139"/>
      <c r="S226" s="75"/>
      <c r="T226" s="75"/>
      <c r="U226" s="75"/>
      <c r="V226" s="139"/>
      <c r="W226" s="139"/>
      <c r="X226" s="139"/>
      <c r="Y226" s="139"/>
      <c r="Z226" s="139"/>
      <c r="AA226" s="140"/>
      <c r="AN226" s="105"/>
      <c r="AO226" s="106"/>
    </row>
    <row r="228" spans="1:41" s="210" customFormat="1">
      <c r="G228" s="211"/>
      <c r="H228" s="211"/>
      <c r="I228" s="211"/>
      <c r="J228" s="211"/>
      <c r="K228" s="211"/>
      <c r="L228" s="211"/>
      <c r="M228" s="211"/>
      <c r="N228" s="211"/>
      <c r="O228" s="211"/>
      <c r="P228" s="211"/>
      <c r="Q228" s="211"/>
      <c r="R228" s="211"/>
      <c r="S228" s="211"/>
      <c r="AA228" s="2"/>
      <c r="AN228" s="212"/>
      <c r="AO228" s="213"/>
    </row>
    <row r="230" spans="1:41" ht="24" customHeight="1" thickBot="1"/>
    <row r="231" spans="1:41" ht="63" customHeight="1" thickBot="1">
      <c r="B231" s="568" t="s">
        <v>282</v>
      </c>
      <c r="C231" s="537"/>
      <c r="D231" s="538"/>
      <c r="E231" s="133"/>
      <c r="J231" s="94"/>
      <c r="K231" s="100"/>
      <c r="L231" s="100"/>
    </row>
    <row r="232" spans="1:41" s="103" customFormat="1" ht="43.5" customHeight="1">
      <c r="A232" s="134"/>
      <c r="B232" s="471" t="s">
        <v>146</v>
      </c>
      <c r="C232" s="560" t="s">
        <v>283</v>
      </c>
      <c r="D232" s="136" t="s">
        <v>278</v>
      </c>
      <c r="E232" s="135" t="s">
        <v>277</v>
      </c>
      <c r="F232" s="136"/>
      <c r="G232" s="136"/>
      <c r="H232" s="136"/>
      <c r="I232" s="136"/>
      <c r="J232" s="77"/>
      <c r="K232" s="516" t="s">
        <v>284</v>
      </c>
      <c r="L232" s="137"/>
      <c r="M232" s="516"/>
      <c r="N232" s="138"/>
      <c r="O232" s="81"/>
      <c r="P232" s="75"/>
      <c r="Q232" s="75"/>
      <c r="R232" s="75"/>
      <c r="S232" s="81"/>
      <c r="T232" s="75"/>
      <c r="U232" s="75"/>
      <c r="V232" s="139"/>
      <c r="W232" s="139"/>
      <c r="X232" s="139"/>
      <c r="Y232" s="139"/>
      <c r="Z232" s="139"/>
      <c r="AA232" s="140"/>
      <c r="AN232" s="105"/>
      <c r="AO232" s="106"/>
    </row>
    <row r="233" spans="1:41" s="103" customFormat="1" ht="63" customHeight="1">
      <c r="A233" s="134"/>
      <c r="B233" s="472"/>
      <c r="C233" s="472"/>
      <c r="D233" s="204" t="s">
        <v>236</v>
      </c>
      <c r="E233" s="204" t="s">
        <v>232</v>
      </c>
      <c r="F233" s="136"/>
      <c r="G233" s="136"/>
      <c r="H233" s="136"/>
      <c r="I233" s="136"/>
      <c r="J233" s="77"/>
      <c r="K233" s="472"/>
      <c r="L233" s="137"/>
      <c r="M233" s="472"/>
      <c r="N233" s="138"/>
      <c r="O233" s="81"/>
      <c r="P233" s="81"/>
      <c r="Q233" s="81"/>
      <c r="R233" s="62"/>
      <c r="S233" s="81"/>
      <c r="T233" s="81"/>
      <c r="U233" s="81"/>
      <c r="V233" s="139"/>
      <c r="W233" s="139"/>
      <c r="X233" s="139"/>
      <c r="Y233" s="139"/>
      <c r="Z233" s="139"/>
      <c r="AA233" s="140"/>
      <c r="AN233" s="105"/>
      <c r="AO233" s="106"/>
    </row>
    <row r="234" spans="1:41" s="103" customFormat="1" ht="61.5" customHeight="1">
      <c r="B234" s="142"/>
      <c r="C234" s="205" t="s">
        <v>285</v>
      </c>
      <c r="D234" s="206">
        <f>$A$180</f>
        <v>0.80699999999999994</v>
      </c>
      <c r="E234" s="206">
        <f>$A$178</f>
        <v>0.83099999999999996</v>
      </c>
      <c r="F234" s="141"/>
      <c r="G234" s="141"/>
      <c r="H234" s="144"/>
      <c r="I234" s="214"/>
      <c r="J234" s="77"/>
      <c r="K234" s="207" t="s">
        <v>286</v>
      </c>
      <c r="L234" s="208"/>
      <c r="M234" s="207"/>
      <c r="N234" s="138"/>
      <c r="O234" s="97"/>
      <c r="P234" s="100"/>
      <c r="Q234" s="101"/>
      <c r="R234" s="34"/>
      <c r="S234" s="97"/>
      <c r="T234" s="95"/>
      <c r="U234" s="100"/>
      <c r="V234" s="139"/>
      <c r="W234" s="139"/>
      <c r="X234" s="139"/>
      <c r="Y234" s="139"/>
      <c r="Z234" s="139"/>
      <c r="AA234" s="140"/>
      <c r="AN234" s="105"/>
      <c r="AO234" s="106"/>
    </row>
    <row r="235" spans="1:41" s="103" customFormat="1" ht="27.75" customHeight="1">
      <c r="B235" s="476" t="s">
        <v>30</v>
      </c>
      <c r="C235" s="481"/>
      <c r="D235" s="479">
        <v>0.4</v>
      </c>
      <c r="E235" s="508">
        <v>0.6</v>
      </c>
      <c r="F235" s="479"/>
      <c r="G235" s="479"/>
      <c r="H235" s="479"/>
      <c r="I235" s="479"/>
      <c r="J235" s="476" t="s">
        <v>30</v>
      </c>
      <c r="K235" s="480">
        <f>0.4*$A$180/(0.6*$A$178+0.4*$A$180)</f>
        <v>0.39298758217677138</v>
      </c>
      <c r="L235" s="146"/>
      <c r="M235" s="480"/>
      <c r="N235" s="149"/>
      <c r="O235" s="97"/>
      <c r="P235" s="100"/>
      <c r="Q235" s="100"/>
      <c r="R235" s="34"/>
      <c r="S235" s="97"/>
      <c r="T235" s="100"/>
      <c r="U235" s="101"/>
      <c r="V235" s="139"/>
      <c r="W235" s="139"/>
      <c r="X235" s="139"/>
      <c r="Y235" s="139"/>
      <c r="Z235" s="139"/>
      <c r="AA235" s="140"/>
      <c r="AN235" s="105"/>
      <c r="AO235" s="106"/>
    </row>
    <row r="236" spans="1:41" s="103" customFormat="1" ht="27.75" customHeight="1">
      <c r="B236" s="472"/>
      <c r="C236" s="472"/>
      <c r="D236" s="472"/>
      <c r="E236" s="472"/>
      <c r="F236" s="472"/>
      <c r="G236" s="472"/>
      <c r="H236" s="472"/>
      <c r="I236" s="472"/>
      <c r="J236" s="472"/>
      <c r="K236" s="472"/>
      <c r="L236" s="146"/>
      <c r="M236" s="472"/>
      <c r="N236" s="150"/>
      <c r="O236" s="97"/>
      <c r="P236" s="98"/>
      <c r="Q236" s="151"/>
      <c r="R236" s="34"/>
      <c r="S236" s="147"/>
      <c r="T236" s="100"/>
      <c r="U236" s="101"/>
      <c r="V236" s="139"/>
      <c r="W236" s="139"/>
      <c r="X236" s="139"/>
      <c r="Y236" s="139"/>
      <c r="Z236" s="139"/>
      <c r="AA236" s="140"/>
      <c r="AN236" s="105"/>
      <c r="AO236" s="106"/>
    </row>
    <row r="237" spans="1:41" s="152" customFormat="1" ht="27.75" customHeight="1">
      <c r="B237" s="485" t="s">
        <v>33</v>
      </c>
      <c r="C237" s="483"/>
      <c r="D237" s="486">
        <v>0.3</v>
      </c>
      <c r="E237" s="486">
        <v>0.7</v>
      </c>
      <c r="F237" s="478"/>
      <c r="G237" s="478"/>
      <c r="H237" s="478"/>
      <c r="I237" s="478"/>
      <c r="J237" s="485" t="s">
        <v>33</v>
      </c>
      <c r="K237" s="480">
        <f>0.3*$A$180/(0.7*$A$178+0.3*$A$180)</f>
        <v>0.29388201019664972</v>
      </c>
      <c r="L237" s="146"/>
      <c r="M237" s="484"/>
      <c r="N237" s="149"/>
      <c r="O237" s="97"/>
      <c r="P237" s="95"/>
      <c r="Q237" s="100"/>
      <c r="R237" s="34"/>
      <c r="V237" s="139"/>
      <c r="W237" s="139"/>
      <c r="X237" s="139"/>
      <c r="Y237" s="139"/>
      <c r="Z237" s="139"/>
      <c r="AA237" s="140"/>
      <c r="AN237" s="153"/>
      <c r="AO237" s="154"/>
    </row>
    <row r="238" spans="1:41" s="152" customFormat="1" ht="27.75" customHeight="1">
      <c r="B238" s="472"/>
      <c r="C238" s="472"/>
      <c r="D238" s="472"/>
      <c r="E238" s="472"/>
      <c r="F238" s="472"/>
      <c r="G238" s="472"/>
      <c r="H238" s="472"/>
      <c r="I238" s="472"/>
      <c r="J238" s="472"/>
      <c r="K238" s="472"/>
      <c r="L238" s="146"/>
      <c r="M238" s="472"/>
      <c r="N238" s="155"/>
      <c r="O238" s="97"/>
      <c r="P238" s="95"/>
      <c r="Q238" s="100"/>
      <c r="R238" s="34"/>
      <c r="V238" s="139"/>
      <c r="W238" s="139"/>
      <c r="X238" s="139"/>
      <c r="Y238" s="139"/>
      <c r="Z238" s="139"/>
      <c r="AA238" s="140"/>
      <c r="AN238" s="153"/>
      <c r="AO238" s="154"/>
    </row>
    <row r="239" spans="1:41" ht="27.75" customHeight="1">
      <c r="B239" s="476" t="s">
        <v>37</v>
      </c>
      <c r="C239" s="481"/>
      <c r="D239" s="479">
        <v>0.45</v>
      </c>
      <c r="E239" s="479">
        <v>0.55000000000000004</v>
      </c>
      <c r="F239" s="482"/>
      <c r="G239" s="482"/>
      <c r="H239" s="482"/>
      <c r="I239" s="482"/>
      <c r="J239" s="476" t="s">
        <v>37</v>
      </c>
      <c r="K239" s="480">
        <f>0.45*$A$180/(0.55*$A$178+0.45*$A$180)</f>
        <v>0.44275786393562538</v>
      </c>
      <c r="L239" s="146"/>
      <c r="M239" s="484"/>
      <c r="N239" s="149"/>
      <c r="O239" s="97"/>
      <c r="P239" s="95"/>
      <c r="Q239" s="100"/>
      <c r="S239" s="97"/>
      <c r="T239" s="95"/>
      <c r="U239" s="156"/>
      <c r="V239" s="139"/>
      <c r="W239" s="139"/>
      <c r="X239" s="139"/>
      <c r="Y239" s="139"/>
      <c r="Z239" s="139"/>
      <c r="AA239" s="140"/>
    </row>
    <row r="240" spans="1:41" ht="27.75" customHeight="1">
      <c r="B240" s="472"/>
      <c r="C240" s="472"/>
      <c r="D240" s="472"/>
      <c r="E240" s="472"/>
      <c r="F240" s="472"/>
      <c r="G240" s="472"/>
      <c r="H240" s="472"/>
      <c r="I240" s="472"/>
      <c r="J240" s="472"/>
      <c r="K240" s="472"/>
      <c r="L240" s="146"/>
      <c r="M240" s="472"/>
      <c r="N240" s="155"/>
      <c r="O240" s="97"/>
      <c r="P240" s="95"/>
      <c r="Q240" s="95"/>
      <c r="R240" s="139"/>
      <c r="S240" s="132"/>
      <c r="T240" s="95"/>
      <c r="U240" s="156"/>
      <c r="V240" s="139"/>
      <c r="W240" s="139"/>
      <c r="X240" s="139"/>
      <c r="Y240" s="139"/>
      <c r="Z240" s="139"/>
      <c r="AA240" s="140"/>
    </row>
    <row r="241" spans="1:41" ht="27.75" customHeight="1">
      <c r="B241" s="485" t="s">
        <v>44</v>
      </c>
      <c r="C241" s="483"/>
      <c r="D241" s="486">
        <v>0.6</v>
      </c>
      <c r="E241" s="486">
        <v>0.4</v>
      </c>
      <c r="F241" s="478"/>
      <c r="G241" s="478"/>
      <c r="H241" s="478"/>
      <c r="I241" s="478"/>
      <c r="J241" s="485" t="s">
        <v>44</v>
      </c>
      <c r="K241" s="480">
        <f>0.6*$A$180/(0.4*$A$178+0.6*$A$180)</f>
        <v>0.59294636296840553</v>
      </c>
      <c r="L241" s="146"/>
      <c r="M241" s="484"/>
      <c r="N241" s="149"/>
      <c r="O241" s="97"/>
      <c r="P241" s="95"/>
      <c r="Q241" s="156"/>
      <c r="R241" s="139"/>
      <c r="S241" s="97"/>
      <c r="T241" s="95"/>
      <c r="U241" s="156"/>
      <c r="V241" s="139"/>
      <c r="W241" s="139"/>
      <c r="X241" s="139"/>
      <c r="Y241" s="139"/>
      <c r="Z241" s="139"/>
      <c r="AA241" s="140"/>
    </row>
    <row r="242" spans="1:41" ht="27.75" customHeight="1">
      <c r="B242" s="472"/>
      <c r="C242" s="472"/>
      <c r="D242" s="472"/>
      <c r="E242" s="472"/>
      <c r="F242" s="472"/>
      <c r="G242" s="472"/>
      <c r="H242" s="472"/>
      <c r="I242" s="472"/>
      <c r="J242" s="472"/>
      <c r="K242" s="472"/>
      <c r="L242" s="146"/>
      <c r="M242" s="472"/>
      <c r="N242" s="155"/>
      <c r="O242" s="97"/>
      <c r="P242" s="157"/>
      <c r="Q242" s="157"/>
      <c r="R242" s="139"/>
      <c r="S242" s="97"/>
      <c r="T242" s="95"/>
      <c r="U242" s="156"/>
      <c r="V242" s="139"/>
      <c r="W242" s="139"/>
      <c r="X242" s="139"/>
      <c r="Y242" s="139"/>
      <c r="Z242" s="139"/>
      <c r="AA242" s="140"/>
    </row>
    <row r="243" spans="1:41" ht="27.75" customHeight="1">
      <c r="B243" s="476" t="s">
        <v>50</v>
      </c>
      <c r="C243" s="481"/>
      <c r="D243" s="479">
        <v>0.5</v>
      </c>
      <c r="E243" s="479">
        <v>0.5</v>
      </c>
      <c r="F243" s="482"/>
      <c r="G243" s="482"/>
      <c r="H243" s="482"/>
      <c r="I243" s="482"/>
      <c r="J243" s="476" t="s">
        <v>50</v>
      </c>
      <c r="K243" s="480">
        <f>0.5*$A$180/(0.5*$A$178+0.5*$A$180)</f>
        <v>0.49267399267399264</v>
      </c>
      <c r="L243" s="146"/>
      <c r="M243" s="484"/>
      <c r="N243" s="149"/>
      <c r="O243" s="94"/>
      <c r="P243" s="100"/>
      <c r="Q243" s="100"/>
      <c r="R243" s="139"/>
      <c r="S243" s="97"/>
      <c r="T243" s="95"/>
      <c r="U243" s="156"/>
      <c r="V243" s="139"/>
      <c r="W243" s="139"/>
      <c r="X243" s="139"/>
      <c r="Y243" s="139"/>
      <c r="Z243" s="139"/>
      <c r="AA243" s="140"/>
    </row>
    <row r="244" spans="1:41" ht="27.75" customHeight="1">
      <c r="B244" s="472"/>
      <c r="C244" s="472"/>
      <c r="D244" s="472"/>
      <c r="E244" s="472"/>
      <c r="F244" s="472"/>
      <c r="G244" s="472"/>
      <c r="H244" s="472"/>
      <c r="I244" s="472"/>
      <c r="J244" s="472"/>
      <c r="K244" s="472"/>
      <c r="L244" s="146"/>
      <c r="M244" s="472"/>
      <c r="N244" s="155"/>
      <c r="O244" s="94"/>
      <c r="P244" s="100"/>
      <c r="Q244" s="100"/>
      <c r="R244" s="139"/>
      <c r="S244" s="97"/>
      <c r="T244" s="95"/>
      <c r="U244" s="156"/>
      <c r="V244" s="139"/>
      <c r="W244" s="139"/>
      <c r="X244" s="139"/>
      <c r="Y244" s="139"/>
      <c r="Z244" s="139"/>
      <c r="AA244" s="140"/>
    </row>
    <row r="245" spans="1:41" ht="27.75" customHeight="1">
      <c r="B245" s="488" t="s">
        <v>54</v>
      </c>
      <c r="C245" s="483"/>
      <c r="D245" s="486">
        <v>0.48</v>
      </c>
      <c r="E245" s="486">
        <v>0.52</v>
      </c>
      <c r="F245" s="478"/>
      <c r="G245" s="478"/>
      <c r="H245" s="478"/>
      <c r="I245" s="478"/>
      <c r="J245" s="488" t="s">
        <v>54</v>
      </c>
      <c r="K245" s="480">
        <f>0.48*$A$180/(0.52*$A$178+0.48*$A$180)</f>
        <v>0.47268999853565674</v>
      </c>
      <c r="L245" s="146"/>
      <c r="M245" s="484"/>
      <c r="N245" s="209"/>
      <c r="O245" s="139"/>
      <c r="P245" s="139"/>
      <c r="Q245" s="139"/>
      <c r="R245" s="139"/>
      <c r="S245" s="158"/>
      <c r="T245" s="159"/>
      <c r="V245" s="139"/>
      <c r="W245" s="139"/>
      <c r="X245" s="139"/>
      <c r="Y245" s="139"/>
      <c r="Z245" s="139"/>
      <c r="AA245" s="140"/>
    </row>
    <row r="246" spans="1:41" ht="27.75" customHeight="1">
      <c r="B246" s="472"/>
      <c r="C246" s="472"/>
      <c r="D246" s="472"/>
      <c r="E246" s="472"/>
      <c r="F246" s="472"/>
      <c r="G246" s="472"/>
      <c r="H246" s="472"/>
      <c r="I246" s="472"/>
      <c r="J246" s="472"/>
      <c r="K246" s="472"/>
      <c r="L246" s="146"/>
      <c r="M246" s="472"/>
      <c r="N246" s="155"/>
      <c r="O246" s="127"/>
      <c r="P246" s="139"/>
      <c r="Q246" s="139"/>
      <c r="R246" s="139"/>
      <c r="S246" s="23"/>
      <c r="T246" s="23"/>
      <c r="U246" s="23"/>
      <c r="V246" s="139"/>
      <c r="W246" s="139"/>
      <c r="X246" s="139"/>
      <c r="Y246" s="139"/>
      <c r="Z246" s="139"/>
      <c r="AA246" s="140"/>
    </row>
    <row r="247" spans="1:41" s="103" customFormat="1" ht="27.75" customHeight="1">
      <c r="B247" s="476" t="s">
        <v>58</v>
      </c>
      <c r="C247" s="481"/>
      <c r="D247" s="479">
        <v>0.65</v>
      </c>
      <c r="E247" s="479">
        <v>0.35</v>
      </c>
      <c r="F247" s="482"/>
      <c r="G247" s="482"/>
      <c r="H247" s="482"/>
      <c r="I247" s="482"/>
      <c r="J247" s="476" t="s">
        <v>58</v>
      </c>
      <c r="K247" s="480">
        <f>0.65*$A$180/(0.35*$A$178+0.65*$A$180)</f>
        <v>0.64330389992641646</v>
      </c>
      <c r="L247" s="146"/>
      <c r="M247" s="484"/>
      <c r="N247" s="149"/>
      <c r="O247" s="160"/>
      <c r="P247" s="139"/>
      <c r="Q247" s="139"/>
      <c r="R247" s="139"/>
      <c r="S247" s="75"/>
      <c r="T247" s="75"/>
      <c r="U247" s="75"/>
      <c r="V247" s="139"/>
      <c r="W247" s="139"/>
      <c r="X247" s="139"/>
      <c r="Y247" s="139"/>
      <c r="Z247" s="139"/>
      <c r="AA247" s="140"/>
      <c r="AN247" s="105"/>
      <c r="AO247" s="106"/>
    </row>
    <row r="248" spans="1:41" s="103" customFormat="1" ht="41.25" customHeight="1">
      <c r="B248" s="472"/>
      <c r="C248" s="472"/>
      <c r="D248" s="472"/>
      <c r="E248" s="472"/>
      <c r="F248" s="472"/>
      <c r="G248" s="472"/>
      <c r="H248" s="472"/>
      <c r="I248" s="472"/>
      <c r="J248" s="472"/>
      <c r="K248" s="472"/>
      <c r="L248" s="146"/>
      <c r="M248" s="472"/>
      <c r="N248" s="155"/>
      <c r="O248" s="161"/>
      <c r="P248" s="139"/>
      <c r="Q248" s="139"/>
      <c r="R248" s="139"/>
      <c r="S248" s="75"/>
      <c r="T248" s="75"/>
      <c r="U248" s="75"/>
      <c r="V248" s="139"/>
      <c r="W248" s="139"/>
      <c r="X248" s="139"/>
      <c r="Y248" s="139"/>
      <c r="Z248" s="139"/>
      <c r="AA248" s="140"/>
      <c r="AN248" s="105"/>
      <c r="AO248" s="106"/>
    </row>
    <row r="250" spans="1:41" s="215" customFormat="1">
      <c r="G250" s="216"/>
      <c r="H250" s="216"/>
      <c r="I250" s="216"/>
      <c r="J250" s="216"/>
      <c r="K250" s="216"/>
      <c r="L250" s="216"/>
      <c r="M250" s="216"/>
      <c r="N250" s="216"/>
      <c r="O250" s="216"/>
      <c r="P250" s="216"/>
      <c r="Q250" s="216"/>
      <c r="R250" s="216"/>
      <c r="S250" s="216"/>
      <c r="AA250" s="2"/>
      <c r="AN250" s="217"/>
      <c r="AO250" s="218"/>
    </row>
    <row r="252" spans="1:41" ht="24" customHeight="1" thickBot="1"/>
    <row r="253" spans="1:41" ht="66.75" customHeight="1" thickBot="1">
      <c r="B253" s="543" t="s">
        <v>287</v>
      </c>
      <c r="C253" s="537"/>
      <c r="D253" s="538"/>
      <c r="E253" s="133"/>
      <c r="J253" s="94"/>
      <c r="K253" s="100"/>
      <c r="L253" s="100"/>
    </row>
    <row r="254" spans="1:41" s="103" customFormat="1" ht="43.5" customHeight="1">
      <c r="A254" s="134"/>
      <c r="B254" s="471" t="s">
        <v>146</v>
      </c>
      <c r="C254" s="560" t="s">
        <v>276</v>
      </c>
      <c r="D254" s="135" t="s">
        <v>277</v>
      </c>
      <c r="E254" s="135" t="s">
        <v>278</v>
      </c>
      <c r="F254" s="136" t="s">
        <v>288</v>
      </c>
      <c r="G254" s="136" t="s">
        <v>289</v>
      </c>
      <c r="H254" s="136"/>
      <c r="I254" s="136"/>
      <c r="J254" s="77"/>
      <c r="K254" s="516" t="s">
        <v>290</v>
      </c>
      <c r="L254" s="137"/>
      <c r="M254" s="516" t="s">
        <v>291</v>
      </c>
      <c r="N254" s="138"/>
      <c r="O254" s="81"/>
      <c r="P254" s="75"/>
      <c r="Q254" s="75"/>
      <c r="R254" s="75"/>
      <c r="S254" s="81"/>
      <c r="T254" s="75"/>
      <c r="U254" s="75"/>
      <c r="V254" s="139"/>
      <c r="W254" s="139"/>
      <c r="X254" s="139"/>
      <c r="Y254" s="139"/>
      <c r="Z254" s="139"/>
      <c r="AA254" s="140"/>
      <c r="AN254" s="105"/>
      <c r="AO254" s="106"/>
    </row>
    <row r="255" spans="1:41" s="103" customFormat="1" ht="63" customHeight="1">
      <c r="A255" s="134"/>
      <c r="B255" s="472"/>
      <c r="C255" s="472"/>
      <c r="D255" s="204" t="s">
        <v>232</v>
      </c>
      <c r="E255" s="204" t="s">
        <v>236</v>
      </c>
      <c r="F255" s="204" t="s">
        <v>234</v>
      </c>
      <c r="G255" s="204" t="s">
        <v>238</v>
      </c>
      <c r="H255" s="136"/>
      <c r="I255" s="136"/>
      <c r="J255" s="77"/>
      <c r="K255" s="472"/>
      <c r="L255" s="137"/>
      <c r="M255" s="472"/>
      <c r="N255" s="138"/>
      <c r="O255" s="81"/>
      <c r="P255" s="81"/>
      <c r="Q255" s="81"/>
      <c r="R255" s="62"/>
      <c r="S255" s="81"/>
      <c r="T255" s="81"/>
      <c r="U255" s="81"/>
      <c r="V255" s="139"/>
      <c r="W255" s="139"/>
      <c r="X255" s="139"/>
      <c r="Y255" s="139"/>
      <c r="Z255" s="139"/>
      <c r="AA255" s="140"/>
      <c r="AN255" s="105"/>
      <c r="AO255" s="106"/>
    </row>
    <row r="256" spans="1:41" s="103" customFormat="1" ht="81.75" customHeight="1">
      <c r="B256" s="142"/>
      <c r="C256" s="205" t="s">
        <v>280</v>
      </c>
      <c r="D256" s="219">
        <f>$A$178</f>
        <v>0.83099999999999996</v>
      </c>
      <c r="E256" s="219">
        <f>$A$180</f>
        <v>0.80699999999999994</v>
      </c>
      <c r="F256" s="220">
        <f>$A$179</f>
        <v>0.74500000000000011</v>
      </c>
      <c r="G256" s="220">
        <f>$A$181</f>
        <v>0.69900000000000007</v>
      </c>
      <c r="H256" s="145"/>
      <c r="I256" s="145"/>
      <c r="J256" s="77"/>
      <c r="K256" s="207" t="s">
        <v>292</v>
      </c>
      <c r="L256" s="208"/>
      <c r="M256" s="207" t="s">
        <v>293</v>
      </c>
      <c r="N256" s="138"/>
      <c r="O256" s="97"/>
      <c r="P256" s="100"/>
      <c r="Q256" s="101"/>
      <c r="R256" s="34"/>
      <c r="S256" s="97"/>
      <c r="T256" s="95"/>
      <c r="U256" s="100"/>
      <c r="V256" s="139"/>
      <c r="W256" s="139"/>
      <c r="X256" s="139"/>
      <c r="Y256" s="139"/>
      <c r="Z256" s="139"/>
      <c r="AA256" s="140"/>
      <c r="AN256" s="105"/>
      <c r="AO256" s="106"/>
    </row>
    <row r="257" spans="2:41" s="103" customFormat="1" ht="27.75" customHeight="1">
      <c r="B257" s="476" t="s">
        <v>30</v>
      </c>
      <c r="C257" s="481"/>
      <c r="D257" s="508">
        <v>0.4</v>
      </c>
      <c r="E257" s="479">
        <v>0.35</v>
      </c>
      <c r="F257" s="479">
        <v>0.15</v>
      </c>
      <c r="G257" s="479">
        <v>0.1</v>
      </c>
      <c r="I257" s="479"/>
      <c r="J257" s="476" t="s">
        <v>30</v>
      </c>
      <c r="K257" s="480">
        <f>(0.4*$A$178*0.35*$A$180) / ((0.15*$A$179*0.1*$A$181) + (0.4*$A$178*0.35*$A$180))</f>
        <v>0.92319074456989947</v>
      </c>
      <c r="L257" s="146"/>
      <c r="M257" s="480">
        <f>1-$K$257</f>
        <v>7.6809255430100531E-2</v>
      </c>
      <c r="N257" s="149"/>
      <c r="O257" s="97"/>
      <c r="P257" s="100"/>
      <c r="Q257" s="100"/>
      <c r="R257" s="34"/>
      <c r="S257" s="97"/>
      <c r="T257" s="100"/>
      <c r="U257" s="101"/>
      <c r="V257" s="139"/>
      <c r="W257" s="139"/>
      <c r="X257" s="139"/>
      <c r="Y257" s="139"/>
      <c r="Z257" s="139"/>
      <c r="AA257" s="140"/>
      <c r="AN257" s="105"/>
      <c r="AO257" s="106"/>
    </row>
    <row r="258" spans="2:41" s="103" customFormat="1" ht="27.75" customHeight="1">
      <c r="B258" s="472"/>
      <c r="C258" s="472"/>
      <c r="D258" s="472"/>
      <c r="E258" s="472"/>
      <c r="F258" s="472"/>
      <c r="G258" s="472"/>
      <c r="I258" s="472"/>
      <c r="J258" s="472"/>
      <c r="K258" s="472"/>
      <c r="L258" s="146"/>
      <c r="M258" s="472"/>
      <c r="N258" s="150"/>
      <c r="O258" s="97"/>
      <c r="P258" s="98"/>
      <c r="Q258" s="151"/>
      <c r="R258" s="34"/>
      <c r="S258" s="147"/>
      <c r="T258" s="100"/>
      <c r="U258" s="101"/>
      <c r="V258" s="139"/>
      <c r="W258" s="139"/>
      <c r="X258" s="139"/>
      <c r="Y258" s="139"/>
      <c r="Z258" s="139"/>
      <c r="AA258" s="140"/>
      <c r="AN258" s="105"/>
      <c r="AO258" s="106"/>
    </row>
    <row r="259" spans="2:41" s="152" customFormat="1" ht="27.75" customHeight="1">
      <c r="B259" s="485" t="s">
        <v>33</v>
      </c>
      <c r="C259" s="483"/>
      <c r="D259" s="486">
        <v>0.5</v>
      </c>
      <c r="E259" s="486">
        <v>0.2</v>
      </c>
      <c r="F259" s="486">
        <v>0.2</v>
      </c>
      <c r="G259" s="478">
        <v>0.1</v>
      </c>
      <c r="I259" s="478"/>
      <c r="J259" s="485" t="s">
        <v>33</v>
      </c>
      <c r="K259" s="480">
        <f>(0.5*$A$178*0.2*$A$180) / ((0.2*$A$179*0.1*$A$181) + (0.5*$A$178*0.2*$A$180))</f>
        <v>0.86557137104268622</v>
      </c>
      <c r="L259" s="146"/>
      <c r="M259" s="480">
        <f>1-$K$259</f>
        <v>0.13442862895731378</v>
      </c>
      <c r="N259" s="149"/>
      <c r="O259" s="97"/>
      <c r="P259" s="95"/>
      <c r="Q259" s="100"/>
      <c r="R259" s="34"/>
      <c r="V259" s="139"/>
      <c r="W259" s="139"/>
      <c r="X259" s="139"/>
      <c r="Y259" s="139"/>
      <c r="Z259" s="139"/>
      <c r="AA259" s="140"/>
      <c r="AN259" s="153"/>
      <c r="AO259" s="154"/>
    </row>
    <row r="260" spans="2:41" s="152" customFormat="1" ht="27.75" customHeight="1">
      <c r="B260" s="472"/>
      <c r="C260" s="472"/>
      <c r="D260" s="472"/>
      <c r="E260" s="472"/>
      <c r="F260" s="472"/>
      <c r="G260" s="472"/>
      <c r="I260" s="472"/>
      <c r="J260" s="472"/>
      <c r="K260" s="472"/>
      <c r="L260" s="146"/>
      <c r="M260" s="472"/>
      <c r="N260" s="155"/>
      <c r="O260" s="97"/>
      <c r="P260" s="95"/>
      <c r="Q260" s="100"/>
      <c r="R260" s="34"/>
      <c r="V260" s="139"/>
      <c r="W260" s="139"/>
      <c r="X260" s="139"/>
      <c r="Y260" s="139"/>
      <c r="Z260" s="139"/>
      <c r="AA260" s="140"/>
      <c r="AN260" s="153"/>
      <c r="AO260" s="154"/>
    </row>
    <row r="261" spans="2:41" ht="27.75" customHeight="1">
      <c r="B261" s="476" t="s">
        <v>37</v>
      </c>
      <c r="C261" s="481"/>
      <c r="D261" s="479">
        <v>0.35</v>
      </c>
      <c r="E261" s="479">
        <v>0.3</v>
      </c>
      <c r="F261" s="479">
        <v>0.2</v>
      </c>
      <c r="G261" s="482">
        <v>0.15</v>
      </c>
      <c r="I261" s="482"/>
      <c r="J261" s="476" t="s">
        <v>37</v>
      </c>
      <c r="K261" s="480">
        <f>(0.35*$A$178*0.3*$A$180) / ((0.2*$A$179*0.15*$A$181) + (0.35*$A$178*0.3*$A$180))</f>
        <v>0.81842031901578649</v>
      </c>
      <c r="L261" s="146"/>
      <c r="M261" s="480">
        <f>1-$K$261</f>
        <v>0.18157968098421351</v>
      </c>
      <c r="N261" s="149"/>
      <c r="O261" s="97"/>
      <c r="P261" s="95"/>
      <c r="Q261" s="100"/>
      <c r="S261" s="97"/>
      <c r="T261" s="95"/>
      <c r="U261" s="156"/>
      <c r="V261" s="139"/>
      <c r="W261" s="139"/>
      <c r="X261" s="139"/>
      <c r="Y261" s="139"/>
      <c r="Z261" s="139"/>
      <c r="AA261" s="140"/>
    </row>
    <row r="262" spans="2:41" ht="27.75" customHeight="1">
      <c r="B262" s="472"/>
      <c r="C262" s="472"/>
      <c r="D262" s="472"/>
      <c r="E262" s="472"/>
      <c r="F262" s="472"/>
      <c r="G262" s="472"/>
      <c r="I262" s="472"/>
      <c r="J262" s="472"/>
      <c r="K262" s="472"/>
      <c r="L262" s="146"/>
      <c r="M262" s="472"/>
      <c r="N262" s="155"/>
      <c r="O262" s="97"/>
      <c r="P262" s="95"/>
      <c r="Q262" s="95"/>
      <c r="R262" s="139"/>
      <c r="S262" s="132"/>
      <c r="T262" s="95"/>
      <c r="U262" s="156"/>
      <c r="V262" s="139"/>
      <c r="W262" s="139"/>
      <c r="X262" s="139"/>
      <c r="Y262" s="139"/>
      <c r="Z262" s="139"/>
      <c r="AA262" s="140"/>
    </row>
    <row r="263" spans="2:41" ht="27.75" customHeight="1">
      <c r="B263" s="485" t="s">
        <v>44</v>
      </c>
      <c r="C263" s="483"/>
      <c r="D263" s="486">
        <v>0.25</v>
      </c>
      <c r="E263" s="486">
        <v>0.2</v>
      </c>
      <c r="F263" s="486">
        <v>0.3</v>
      </c>
      <c r="G263" s="478">
        <v>0.25</v>
      </c>
      <c r="I263" s="478"/>
      <c r="J263" s="485" t="s">
        <v>44</v>
      </c>
      <c r="K263" s="480">
        <f>(0.25*$A$178*0.2*$A$180) / ((0.3*$A$179*0.25*$A$181) + (0.25*$A$178*0.2*$A$180))</f>
        <v>0.46193713171590545</v>
      </c>
      <c r="L263" s="146"/>
      <c r="M263" s="480">
        <f>1-$K$263</f>
        <v>0.53806286828409455</v>
      </c>
      <c r="N263" s="149"/>
      <c r="O263" s="97"/>
      <c r="P263" s="95"/>
      <c r="Q263" s="156"/>
      <c r="R263" s="139"/>
      <c r="S263" s="97"/>
      <c r="T263" s="95"/>
      <c r="U263" s="156"/>
      <c r="V263" s="139"/>
      <c r="W263" s="139"/>
      <c r="X263" s="139"/>
      <c r="Y263" s="139"/>
      <c r="Z263" s="139"/>
      <c r="AA263" s="140"/>
    </row>
    <row r="264" spans="2:41" ht="27.75" customHeight="1">
      <c r="B264" s="472"/>
      <c r="C264" s="472"/>
      <c r="D264" s="472"/>
      <c r="E264" s="472"/>
      <c r="F264" s="472"/>
      <c r="G264" s="472"/>
      <c r="I264" s="472"/>
      <c r="J264" s="472"/>
      <c r="K264" s="472"/>
      <c r="L264" s="146"/>
      <c r="M264" s="472"/>
      <c r="N264" s="155"/>
      <c r="O264" s="97"/>
      <c r="P264" s="157"/>
      <c r="Q264" s="157"/>
      <c r="R264" s="139"/>
      <c r="S264" s="97"/>
      <c r="T264" s="95"/>
      <c r="U264" s="156"/>
      <c r="V264" s="139"/>
      <c r="W264" s="139"/>
      <c r="X264" s="139"/>
      <c r="Y264" s="139"/>
      <c r="Z264" s="139"/>
      <c r="AA264" s="140"/>
    </row>
    <row r="265" spans="2:41" ht="27.75" customHeight="1">
      <c r="B265" s="476" t="s">
        <v>50</v>
      </c>
      <c r="C265" s="481"/>
      <c r="D265" s="479">
        <v>0.4</v>
      </c>
      <c r="E265" s="479">
        <v>0.3</v>
      </c>
      <c r="F265" s="479">
        <v>0.2</v>
      </c>
      <c r="G265" s="482">
        <v>0.1</v>
      </c>
      <c r="I265" s="482"/>
      <c r="J265" s="476" t="s">
        <v>50</v>
      </c>
      <c r="K265" s="480">
        <f>(0.4*$A$178*0.3*$A$180) / ((0.2*$A$179*0.1*$A$181) + (0.4*$A$178*0.3*$A$180))</f>
        <v>0.88540875180467093</v>
      </c>
      <c r="L265" s="146"/>
      <c r="M265" s="480">
        <f>1-$K$265</f>
        <v>0.11459124819532907</v>
      </c>
      <c r="N265" s="149"/>
      <c r="O265" s="94"/>
      <c r="P265" s="100"/>
      <c r="Q265" s="100"/>
      <c r="R265" s="139"/>
      <c r="S265" s="97"/>
      <c r="T265" s="95"/>
      <c r="U265" s="156"/>
      <c r="V265" s="139"/>
      <c r="W265" s="139"/>
      <c r="X265" s="139"/>
      <c r="Y265" s="139"/>
      <c r="Z265" s="139"/>
      <c r="AA265" s="140"/>
    </row>
    <row r="266" spans="2:41" ht="27.75" customHeight="1">
      <c r="B266" s="472"/>
      <c r="C266" s="472"/>
      <c r="D266" s="472"/>
      <c r="E266" s="472"/>
      <c r="F266" s="472"/>
      <c r="G266" s="472"/>
      <c r="I266" s="472"/>
      <c r="J266" s="472"/>
      <c r="K266" s="472"/>
      <c r="L266" s="146"/>
      <c r="M266" s="472"/>
      <c r="N266" s="155"/>
      <c r="O266" s="94"/>
      <c r="P266" s="100"/>
      <c r="Q266" s="100"/>
      <c r="R266" s="139"/>
      <c r="S266" s="97"/>
      <c r="T266" s="95"/>
      <c r="U266" s="156"/>
      <c r="V266" s="139"/>
      <c r="W266" s="139"/>
      <c r="X266" s="139"/>
      <c r="Y266" s="139"/>
      <c r="Z266" s="139"/>
      <c r="AA266" s="140"/>
    </row>
    <row r="267" spans="2:41" ht="27.75" customHeight="1">
      <c r="B267" s="488" t="s">
        <v>54</v>
      </c>
      <c r="C267" s="483"/>
      <c r="D267" s="486">
        <v>0.45</v>
      </c>
      <c r="E267" s="486">
        <v>0.3</v>
      </c>
      <c r="F267" s="486">
        <v>0.15</v>
      </c>
      <c r="G267" s="478">
        <v>0.1</v>
      </c>
      <c r="I267" s="478"/>
      <c r="J267" s="488" t="s">
        <v>54</v>
      </c>
      <c r="K267" s="480">
        <f>(0.45*$A$178*0.3*$A$180) / ((0.15*$A$179*0.1*$A$181) + (0.45*$A$178*0.3*$A$180))</f>
        <v>0.92057191333903154</v>
      </c>
      <c r="L267" s="146"/>
      <c r="M267" s="480">
        <f>1-$K$267</f>
        <v>7.9428086660968455E-2</v>
      </c>
      <c r="N267" s="209"/>
      <c r="O267" s="139"/>
      <c r="P267" s="139"/>
      <c r="Q267" s="139"/>
      <c r="R267" s="139"/>
      <c r="S267" s="158"/>
      <c r="T267" s="159"/>
      <c r="V267" s="139"/>
      <c r="W267" s="139"/>
      <c r="X267" s="139"/>
      <c r="Y267" s="139"/>
      <c r="Z267" s="139"/>
      <c r="AA267" s="140"/>
    </row>
    <row r="268" spans="2:41" ht="27.75" customHeight="1">
      <c r="B268" s="472"/>
      <c r="C268" s="472"/>
      <c r="D268" s="472"/>
      <c r="E268" s="472"/>
      <c r="F268" s="472"/>
      <c r="G268" s="472"/>
      <c r="I268" s="472"/>
      <c r="J268" s="472"/>
      <c r="K268" s="472"/>
      <c r="L268" s="146"/>
      <c r="M268" s="472"/>
      <c r="N268" s="155"/>
      <c r="O268" s="127"/>
      <c r="P268" s="139"/>
      <c r="Q268" s="139"/>
      <c r="R268" s="139"/>
      <c r="S268" s="23"/>
      <c r="T268" s="23"/>
      <c r="U268" s="23"/>
      <c r="V268" s="139"/>
      <c r="W268" s="139"/>
      <c r="X268" s="139"/>
      <c r="Y268" s="139"/>
      <c r="Z268" s="139"/>
      <c r="AA268" s="140"/>
    </row>
    <row r="269" spans="2:41" s="103" customFormat="1" ht="27.75" customHeight="1">
      <c r="B269" s="476" t="s">
        <v>58</v>
      </c>
      <c r="C269" s="481"/>
      <c r="D269" s="479">
        <v>0.2</v>
      </c>
      <c r="E269" s="479">
        <v>0.15</v>
      </c>
      <c r="F269" s="479">
        <v>0.35</v>
      </c>
      <c r="G269" s="482">
        <v>0.3</v>
      </c>
      <c r="I269" s="482"/>
      <c r="J269" s="476" t="s">
        <v>58</v>
      </c>
      <c r="K269" s="480">
        <f>(0.2*$A$178*0.15*$A$180) / ((0.35*$A$179*0.3*$A$181) + (0.2*$A$178*0.15*$A$180))</f>
        <v>0.26897200231263529</v>
      </c>
      <c r="L269" s="146"/>
      <c r="M269" s="480">
        <f>1-$K$269</f>
        <v>0.73102799768736471</v>
      </c>
      <c r="N269" s="149"/>
      <c r="O269" s="160"/>
      <c r="P269" s="139"/>
      <c r="Q269" s="139"/>
      <c r="R269" s="139"/>
      <c r="S269" s="75"/>
      <c r="T269" s="75"/>
      <c r="U269" s="75"/>
      <c r="V269" s="139"/>
      <c r="W269" s="139"/>
      <c r="X269" s="139"/>
      <c r="Y269" s="139"/>
      <c r="Z269" s="139"/>
      <c r="AA269" s="140"/>
      <c r="AN269" s="105"/>
      <c r="AO269" s="106"/>
    </row>
    <row r="270" spans="2:41" s="103" customFormat="1" ht="41.25" customHeight="1">
      <c r="B270" s="472"/>
      <c r="C270" s="472"/>
      <c r="D270" s="472"/>
      <c r="E270" s="472"/>
      <c r="F270" s="472"/>
      <c r="G270" s="472"/>
      <c r="I270" s="472"/>
      <c r="J270" s="472"/>
      <c r="K270" s="472"/>
      <c r="L270" s="146"/>
      <c r="M270" s="472"/>
      <c r="N270" s="155"/>
      <c r="O270" s="161"/>
      <c r="P270" s="139"/>
      <c r="Q270" s="139"/>
      <c r="R270" s="139"/>
      <c r="S270" s="75"/>
      <c r="T270" s="75"/>
      <c r="U270" s="75"/>
      <c r="V270" s="139"/>
      <c r="W270" s="139"/>
      <c r="X270" s="139"/>
      <c r="Y270" s="139"/>
      <c r="Z270" s="139"/>
      <c r="AA270" s="140"/>
      <c r="AN270" s="105"/>
      <c r="AO270" s="106"/>
    </row>
  </sheetData>
  <mergeCells count="701">
    <mergeCell ref="E235:E236"/>
    <mergeCell ref="C210:C211"/>
    <mergeCell ref="M219:M220"/>
    <mergeCell ref="B263:B264"/>
    <mergeCell ref="B152:B153"/>
    <mergeCell ref="A192:C192"/>
    <mergeCell ref="C172:D172"/>
    <mergeCell ref="D188:G188"/>
    <mergeCell ref="K261:K262"/>
    <mergeCell ref="G221:G222"/>
    <mergeCell ref="K245:K246"/>
    <mergeCell ref="D235:D236"/>
    <mergeCell ref="C254:C255"/>
    <mergeCell ref="J219:J220"/>
    <mergeCell ref="E247:E248"/>
    <mergeCell ref="G247:G248"/>
    <mergeCell ref="M235:M236"/>
    <mergeCell ref="D156:D157"/>
    <mergeCell ref="E257:E258"/>
    <mergeCell ref="B235:B236"/>
    <mergeCell ref="B158:B159"/>
    <mergeCell ref="A171:B171"/>
    <mergeCell ref="I160:I161"/>
    <mergeCell ref="C225:C226"/>
    <mergeCell ref="K232:K233"/>
    <mergeCell ref="B231:D231"/>
    <mergeCell ref="K88:K89"/>
    <mergeCell ref="M232:M233"/>
    <mergeCell ref="K116:K117"/>
    <mergeCell ref="M116:M117"/>
    <mergeCell ref="B225:B226"/>
    <mergeCell ref="I221:I222"/>
    <mergeCell ref="D225:D226"/>
    <mergeCell ref="J124:J125"/>
    <mergeCell ref="A173:B173"/>
    <mergeCell ref="E223:E224"/>
    <mergeCell ref="B122:B123"/>
    <mergeCell ref="G223:G224"/>
    <mergeCell ref="C221:C222"/>
    <mergeCell ref="E150:E151"/>
    <mergeCell ref="A189:C189"/>
    <mergeCell ref="H90:I91"/>
    <mergeCell ref="G116:G117"/>
    <mergeCell ref="C171:D171"/>
    <mergeCell ref="E171:F171"/>
    <mergeCell ref="A194:C194"/>
    <mergeCell ref="J55:J56"/>
    <mergeCell ref="A181:C181"/>
    <mergeCell ref="C173:D173"/>
    <mergeCell ref="E173:F173"/>
    <mergeCell ref="C213:C214"/>
    <mergeCell ref="F122:F123"/>
    <mergeCell ref="E154:E155"/>
    <mergeCell ref="F120:F121"/>
    <mergeCell ref="H120:H121"/>
    <mergeCell ref="H184:P184"/>
    <mergeCell ref="I172:J172"/>
    <mergeCell ref="K118:K119"/>
    <mergeCell ref="D80:E81"/>
    <mergeCell ref="K172:L172"/>
    <mergeCell ref="K74:K75"/>
    <mergeCell ref="I116:I117"/>
    <mergeCell ref="E152:E153"/>
    <mergeCell ref="B160:B161"/>
    <mergeCell ref="M118:M119"/>
    <mergeCell ref="K55:K56"/>
    <mergeCell ref="D193:G193"/>
    <mergeCell ref="D2:E2"/>
    <mergeCell ref="C47:C48"/>
    <mergeCell ref="F45:G45"/>
    <mergeCell ref="F49:G50"/>
    <mergeCell ref="A200:C200"/>
    <mergeCell ref="I219:I220"/>
    <mergeCell ref="C51:C52"/>
    <mergeCell ref="G154:G155"/>
    <mergeCell ref="F78:G79"/>
    <mergeCell ref="H78:I79"/>
    <mergeCell ref="F53:G54"/>
    <mergeCell ref="F46:G46"/>
    <mergeCell ref="H53:I54"/>
    <mergeCell ref="D198:G198"/>
    <mergeCell ref="C59:C60"/>
    <mergeCell ref="H187:P187"/>
    <mergeCell ref="M35:Q35"/>
    <mergeCell ref="A188:C188"/>
    <mergeCell ref="A190:C190"/>
    <mergeCell ref="D186:G186"/>
    <mergeCell ref="B162:B163"/>
    <mergeCell ref="H124:H125"/>
    <mergeCell ref="G152:G153"/>
    <mergeCell ref="D162:D163"/>
    <mergeCell ref="D217:D218"/>
    <mergeCell ref="AH24:AQ72"/>
    <mergeCell ref="F80:G81"/>
    <mergeCell ref="B45:B46"/>
    <mergeCell ref="M76:N76"/>
    <mergeCell ref="F55:G56"/>
    <mergeCell ref="F257:F258"/>
    <mergeCell ref="C174:D174"/>
    <mergeCell ref="H55:I56"/>
    <mergeCell ref="E174:F174"/>
    <mergeCell ref="A197:C197"/>
    <mergeCell ref="D181:G181"/>
    <mergeCell ref="I124:I125"/>
    <mergeCell ref="K124:K125"/>
    <mergeCell ref="H192:P192"/>
    <mergeCell ref="K213:K214"/>
    <mergeCell ref="G237:G238"/>
    <mergeCell ref="G126:G127"/>
    <mergeCell ref="I237:I238"/>
    <mergeCell ref="B145:D145"/>
    <mergeCell ref="I126:I127"/>
    <mergeCell ref="K126:K127"/>
    <mergeCell ref="F154:F155"/>
    <mergeCell ref="K59:K60"/>
    <mergeCell ref="I213:I214"/>
    <mergeCell ref="D154:D155"/>
    <mergeCell ref="I215:I216"/>
    <mergeCell ref="M78:M79"/>
    <mergeCell ref="B269:B270"/>
    <mergeCell ref="D84:E85"/>
    <mergeCell ref="F84:G85"/>
    <mergeCell ref="D3:E3"/>
    <mergeCell ref="D194:G194"/>
    <mergeCell ref="E269:E270"/>
    <mergeCell ref="B47:B48"/>
    <mergeCell ref="B267:B268"/>
    <mergeCell ref="I263:I264"/>
    <mergeCell ref="B100:Q100"/>
    <mergeCell ref="K267:K268"/>
    <mergeCell ref="K254:K255"/>
    <mergeCell ref="C232:C233"/>
    <mergeCell ref="H195:P195"/>
    <mergeCell ref="M254:M255"/>
    <mergeCell ref="I265:I266"/>
    <mergeCell ref="H189:P189"/>
    <mergeCell ref="D152:D153"/>
    <mergeCell ref="G265:G266"/>
    <mergeCell ref="F267:F268"/>
    <mergeCell ref="M173:N173"/>
    <mergeCell ref="E156:E157"/>
    <mergeCell ref="H194:P194"/>
    <mergeCell ref="K174:L174"/>
    <mergeCell ref="M174:N174"/>
    <mergeCell ref="J118:J119"/>
    <mergeCell ref="F156:F157"/>
    <mergeCell ref="I152:I153"/>
    <mergeCell ref="J90:J91"/>
    <mergeCell ref="G122:G123"/>
    <mergeCell ref="E122:E123"/>
    <mergeCell ref="K173:L173"/>
    <mergeCell ref="K269:K270"/>
    <mergeCell ref="M269:M270"/>
    <mergeCell ref="M36:Q36"/>
    <mergeCell ref="H197:P197"/>
    <mergeCell ref="D49:E50"/>
    <mergeCell ref="F74:G75"/>
    <mergeCell ref="H74:I75"/>
    <mergeCell ref="H126:H127"/>
    <mergeCell ref="M122:M123"/>
    <mergeCell ref="J259:J260"/>
    <mergeCell ref="J126:J127"/>
    <mergeCell ref="D200:G200"/>
    <mergeCell ref="K235:K236"/>
    <mergeCell ref="G158:G159"/>
    <mergeCell ref="I158:I159"/>
    <mergeCell ref="K158:K159"/>
    <mergeCell ref="B42:D42"/>
    <mergeCell ref="A193:C193"/>
    <mergeCell ref="B43:B44"/>
    <mergeCell ref="G160:G161"/>
    <mergeCell ref="F221:F222"/>
    <mergeCell ref="M210:M211"/>
    <mergeCell ref="J263:J264"/>
    <mergeCell ref="D86:E87"/>
    <mergeCell ref="M267:M268"/>
    <mergeCell ref="K90:K91"/>
    <mergeCell ref="A184:C184"/>
    <mergeCell ref="J45:J46"/>
    <mergeCell ref="M217:M218"/>
    <mergeCell ref="K82:K83"/>
    <mergeCell ref="C57:C58"/>
    <mergeCell ref="H158:H159"/>
    <mergeCell ref="O174:P174"/>
    <mergeCell ref="B112:B113"/>
    <mergeCell ref="H185:P185"/>
    <mergeCell ref="J47:J48"/>
    <mergeCell ref="H142:K142"/>
    <mergeCell ref="C86:C87"/>
    <mergeCell ref="B114:B115"/>
    <mergeCell ref="G215:G216"/>
    <mergeCell ref="J76:J77"/>
    <mergeCell ref="D241:D242"/>
    <mergeCell ref="H108:K108"/>
    <mergeCell ref="F241:F242"/>
    <mergeCell ref="H122:H123"/>
    <mergeCell ref="J51:J52"/>
    <mergeCell ref="D243:D244"/>
    <mergeCell ref="D267:D268"/>
    <mergeCell ref="D247:D248"/>
    <mergeCell ref="A187:C187"/>
    <mergeCell ref="H88:I89"/>
    <mergeCell ref="Q74:Q75"/>
    <mergeCell ref="F152:F153"/>
    <mergeCell ref="K148:K149"/>
    <mergeCell ref="C82:C83"/>
    <mergeCell ref="G261:G262"/>
    <mergeCell ref="K225:K226"/>
    <mergeCell ref="M154:M155"/>
    <mergeCell ref="I261:I262"/>
    <mergeCell ref="M225:M226"/>
    <mergeCell ref="J158:J159"/>
    <mergeCell ref="K162:K163"/>
    <mergeCell ref="K156:K157"/>
    <mergeCell ref="E118:E119"/>
    <mergeCell ref="G118:G119"/>
    <mergeCell ref="B111:D111"/>
    <mergeCell ref="B103:Q103"/>
    <mergeCell ref="H221:H222"/>
    <mergeCell ref="M257:M258"/>
    <mergeCell ref="C162:C163"/>
    <mergeCell ref="H139:K139"/>
    <mergeCell ref="D177:G177"/>
    <mergeCell ref="E243:E244"/>
    <mergeCell ref="E219:E220"/>
    <mergeCell ref="A177:C177"/>
    <mergeCell ref="B78:B79"/>
    <mergeCell ref="C7:D8"/>
    <mergeCell ref="J269:J270"/>
    <mergeCell ref="H198:P198"/>
    <mergeCell ref="D178:G178"/>
    <mergeCell ref="D269:D270"/>
    <mergeCell ref="G259:G260"/>
    <mergeCell ref="I259:I260"/>
    <mergeCell ref="F59:G60"/>
    <mergeCell ref="H59:I60"/>
    <mergeCell ref="H69:K69"/>
    <mergeCell ref="H37:K37"/>
    <mergeCell ref="D57:E58"/>
    <mergeCell ref="E128:E129"/>
    <mergeCell ref="G128:G129"/>
    <mergeCell ref="C152:C153"/>
    <mergeCell ref="M80:M81"/>
    <mergeCell ref="I118:I119"/>
    <mergeCell ref="G172:H172"/>
    <mergeCell ref="K47:K48"/>
    <mergeCell ref="H38:K38"/>
    <mergeCell ref="M162:M163"/>
    <mergeCell ref="H82:I83"/>
    <mergeCell ref="A182:C182"/>
    <mergeCell ref="J43:J44"/>
    <mergeCell ref="D128:D129"/>
    <mergeCell ref="F128:F129"/>
    <mergeCell ref="F223:F224"/>
    <mergeCell ref="D150:D151"/>
    <mergeCell ref="H223:H224"/>
    <mergeCell ref="F150:F151"/>
    <mergeCell ref="A172:B172"/>
    <mergeCell ref="C78:C79"/>
    <mergeCell ref="B217:B218"/>
    <mergeCell ref="M156:M157"/>
    <mergeCell ref="C112:C113"/>
    <mergeCell ref="M128:M129"/>
    <mergeCell ref="F90:G91"/>
    <mergeCell ref="K171:L171"/>
    <mergeCell ref="C154:C155"/>
    <mergeCell ref="M171:N171"/>
    <mergeCell ref="H215:H216"/>
    <mergeCell ref="K76:K77"/>
    <mergeCell ref="J215:J216"/>
    <mergeCell ref="K51:K52"/>
    <mergeCell ref="A10:B10"/>
    <mergeCell ref="H160:H161"/>
    <mergeCell ref="J160:J161"/>
    <mergeCell ref="D47:E48"/>
    <mergeCell ref="F47:G48"/>
    <mergeCell ref="B82:B83"/>
    <mergeCell ref="B57:B58"/>
    <mergeCell ref="B86:B87"/>
    <mergeCell ref="D77:E77"/>
    <mergeCell ref="B102:Q102"/>
    <mergeCell ref="B59:B60"/>
    <mergeCell ref="F86:G87"/>
    <mergeCell ref="H39:J39"/>
    <mergeCell ref="C156:C157"/>
    <mergeCell ref="B73:D73"/>
    <mergeCell ref="B90:B91"/>
    <mergeCell ref="J74:J75"/>
    <mergeCell ref="C84:C85"/>
    <mergeCell ref="D45:E45"/>
    <mergeCell ref="K53:K54"/>
    <mergeCell ref="K45:K46"/>
    <mergeCell ref="H71:K71"/>
    <mergeCell ref="M223:M224"/>
    <mergeCell ref="M77:N77"/>
    <mergeCell ref="K243:K244"/>
    <mergeCell ref="M243:M244"/>
    <mergeCell ref="K217:K218"/>
    <mergeCell ref="B49:B50"/>
    <mergeCell ref="K237:K238"/>
    <mergeCell ref="M237:M238"/>
    <mergeCell ref="D122:D123"/>
    <mergeCell ref="K239:K240"/>
    <mergeCell ref="M239:M240"/>
    <mergeCell ref="J237:J238"/>
    <mergeCell ref="B80:B81"/>
    <mergeCell ref="I173:J173"/>
    <mergeCell ref="G150:G151"/>
    <mergeCell ref="H235:H236"/>
    <mergeCell ref="J235:J236"/>
    <mergeCell ref="K49:K50"/>
    <mergeCell ref="C118:C119"/>
    <mergeCell ref="C80:C81"/>
    <mergeCell ref="F82:G83"/>
    <mergeCell ref="J239:J240"/>
    <mergeCell ref="H237:H238"/>
    <mergeCell ref="B237:B238"/>
    <mergeCell ref="C269:C270"/>
    <mergeCell ref="D53:E54"/>
    <mergeCell ref="D46:E46"/>
    <mergeCell ref="B243:B244"/>
    <mergeCell ref="K84:K85"/>
    <mergeCell ref="H141:K141"/>
    <mergeCell ref="A195:C195"/>
    <mergeCell ref="D55:E56"/>
    <mergeCell ref="H219:H220"/>
    <mergeCell ref="A174:B174"/>
    <mergeCell ref="B88:B89"/>
    <mergeCell ref="D191:G191"/>
    <mergeCell ref="J225:J226"/>
    <mergeCell ref="K86:K87"/>
    <mergeCell ref="G124:G125"/>
    <mergeCell ref="K257:K258"/>
    <mergeCell ref="A180:C180"/>
    <mergeCell ref="G213:G214"/>
    <mergeCell ref="C237:C238"/>
    <mergeCell ref="J162:J163"/>
    <mergeCell ref="E237:E238"/>
    <mergeCell ref="H245:H246"/>
    <mergeCell ref="B253:D253"/>
    <mergeCell ref="B247:B248"/>
    <mergeCell ref="C11:D11"/>
    <mergeCell ref="M150:M151"/>
    <mergeCell ref="J154:J155"/>
    <mergeCell ref="E11:F11"/>
    <mergeCell ref="B154:B155"/>
    <mergeCell ref="H179:P179"/>
    <mergeCell ref="J120:J121"/>
    <mergeCell ref="B221:B222"/>
    <mergeCell ref="B209:D209"/>
    <mergeCell ref="H43:I44"/>
    <mergeCell ref="H76:I76"/>
    <mergeCell ref="F116:F117"/>
    <mergeCell ref="K112:K113"/>
    <mergeCell ref="G219:G220"/>
    <mergeCell ref="H116:H117"/>
    <mergeCell ref="M112:M113"/>
    <mergeCell ref="H180:P180"/>
    <mergeCell ref="D124:D125"/>
    <mergeCell ref="M152:M153"/>
    <mergeCell ref="C30:C31"/>
    <mergeCell ref="E124:E125"/>
    <mergeCell ref="D30:D31"/>
    <mergeCell ref="K146:K147"/>
    <mergeCell ref="C49:C50"/>
    <mergeCell ref="C6:D6"/>
    <mergeCell ref="J82:J83"/>
    <mergeCell ref="B156:B157"/>
    <mergeCell ref="C128:C129"/>
    <mergeCell ref="K241:K242"/>
    <mergeCell ref="H118:H119"/>
    <mergeCell ref="M241:M242"/>
    <mergeCell ref="M114:M115"/>
    <mergeCell ref="D192:G192"/>
    <mergeCell ref="K114:K115"/>
    <mergeCell ref="H7:M7"/>
    <mergeCell ref="H67:K67"/>
    <mergeCell ref="K43:K44"/>
    <mergeCell ref="C43:C44"/>
    <mergeCell ref="J57:J58"/>
    <mergeCell ref="F51:G52"/>
    <mergeCell ref="M120:M121"/>
    <mergeCell ref="E120:E121"/>
    <mergeCell ref="C120:C121"/>
    <mergeCell ref="K57:K58"/>
    <mergeCell ref="D221:D222"/>
    <mergeCell ref="D195:G195"/>
    <mergeCell ref="D189:G189"/>
    <mergeCell ref="A186:C186"/>
    <mergeCell ref="H51:I52"/>
    <mergeCell ref="E265:E266"/>
    <mergeCell ref="A198:C198"/>
    <mergeCell ref="F124:F125"/>
    <mergeCell ref="K247:K248"/>
    <mergeCell ref="M247:M248"/>
    <mergeCell ref="H182:P182"/>
    <mergeCell ref="F213:F214"/>
    <mergeCell ref="D74:E75"/>
    <mergeCell ref="I122:I123"/>
    <mergeCell ref="D126:D127"/>
    <mergeCell ref="D259:D260"/>
    <mergeCell ref="F126:F127"/>
    <mergeCell ref="K122:K123"/>
    <mergeCell ref="F259:F260"/>
    <mergeCell ref="H190:P190"/>
    <mergeCell ref="G235:G236"/>
    <mergeCell ref="B239:B240"/>
    <mergeCell ref="I235:I236"/>
    <mergeCell ref="K120:K121"/>
    <mergeCell ref="D82:E83"/>
    <mergeCell ref="H183:P183"/>
    <mergeCell ref="D263:D264"/>
    <mergeCell ref="C263:C264"/>
    <mergeCell ref="A7:B8"/>
    <mergeCell ref="K265:K266"/>
    <mergeCell ref="H193:P193"/>
    <mergeCell ref="G173:H173"/>
    <mergeCell ref="E213:E214"/>
    <mergeCell ref="C259:C260"/>
    <mergeCell ref="M245:M246"/>
    <mergeCell ref="J84:J85"/>
    <mergeCell ref="H191:P191"/>
    <mergeCell ref="J78:J79"/>
    <mergeCell ref="J122:J123"/>
    <mergeCell ref="E259:E260"/>
    <mergeCell ref="H178:P178"/>
    <mergeCell ref="C261:C262"/>
    <mergeCell ref="I154:I155"/>
    <mergeCell ref="E261:E262"/>
    <mergeCell ref="F158:F159"/>
    <mergeCell ref="K154:K155"/>
    <mergeCell ref="J245:J246"/>
    <mergeCell ref="B223:B224"/>
    <mergeCell ref="D239:D240"/>
    <mergeCell ref="D158:D159"/>
    <mergeCell ref="H188:P188"/>
    <mergeCell ref="J261:J262"/>
    <mergeCell ref="AC24:AF36"/>
    <mergeCell ref="A6:B6"/>
    <mergeCell ref="B120:B121"/>
    <mergeCell ref="D120:D121"/>
    <mergeCell ref="J86:J87"/>
    <mergeCell ref="J257:J258"/>
    <mergeCell ref="I225:I226"/>
    <mergeCell ref="G162:G163"/>
    <mergeCell ref="C10:D10"/>
    <mergeCell ref="G156:G157"/>
    <mergeCell ref="E10:F10"/>
    <mergeCell ref="D160:D161"/>
    <mergeCell ref="I156:I157"/>
    <mergeCell ref="M172:N172"/>
    <mergeCell ref="F160:F161"/>
    <mergeCell ref="O172:P172"/>
    <mergeCell ref="K78:K79"/>
    <mergeCell ref="P74:P75"/>
    <mergeCell ref="P43:P44"/>
    <mergeCell ref="C53:C54"/>
    <mergeCell ref="H49:I50"/>
    <mergeCell ref="D237:D238"/>
    <mergeCell ref="F237:F238"/>
    <mergeCell ref="H140:K140"/>
    <mergeCell ref="M263:M264"/>
    <mergeCell ref="J267:J268"/>
    <mergeCell ref="D90:E91"/>
    <mergeCell ref="M213:M214"/>
    <mergeCell ref="H217:H218"/>
    <mergeCell ref="E116:E117"/>
    <mergeCell ref="J217:J218"/>
    <mergeCell ref="M265:M266"/>
    <mergeCell ref="H154:H155"/>
    <mergeCell ref="K215:K216"/>
    <mergeCell ref="H181:P181"/>
    <mergeCell ref="B101:Q101"/>
    <mergeCell ref="I128:I129"/>
    <mergeCell ref="K128:K129"/>
    <mergeCell ref="M261:M262"/>
    <mergeCell ref="M148:M149"/>
    <mergeCell ref="I120:I121"/>
    <mergeCell ref="J152:J153"/>
    <mergeCell ref="D183:G183"/>
    <mergeCell ref="D245:D246"/>
    <mergeCell ref="D213:D214"/>
    <mergeCell ref="E245:E246"/>
    <mergeCell ref="D187:G187"/>
    <mergeCell ref="G239:G240"/>
    <mergeCell ref="H35:K35"/>
    <mergeCell ref="H186:P186"/>
    <mergeCell ref="B106:Q106"/>
    <mergeCell ref="H128:H129"/>
    <mergeCell ref="M124:M125"/>
    <mergeCell ref="I162:I163"/>
    <mergeCell ref="J128:J129"/>
    <mergeCell ref="F118:F119"/>
    <mergeCell ref="B128:B129"/>
    <mergeCell ref="B126:B127"/>
    <mergeCell ref="H45:I45"/>
    <mergeCell ref="M126:M127"/>
    <mergeCell ref="D88:E89"/>
    <mergeCell ref="F88:G89"/>
    <mergeCell ref="C150:C151"/>
    <mergeCell ref="C158:C159"/>
    <mergeCell ref="H80:I81"/>
    <mergeCell ref="H68:K68"/>
    <mergeCell ref="M82:M83"/>
    <mergeCell ref="G171:H171"/>
    <mergeCell ref="I171:J171"/>
    <mergeCell ref="B104:Q104"/>
    <mergeCell ref="A179:C179"/>
    <mergeCell ref="O171:P171"/>
    <mergeCell ref="M215:M216"/>
    <mergeCell ref="H138:K138"/>
    <mergeCell ref="C160:C161"/>
    <mergeCell ref="E160:E161"/>
    <mergeCell ref="M146:M147"/>
    <mergeCell ref="Q43:Q44"/>
    <mergeCell ref="C215:C216"/>
    <mergeCell ref="E215:E216"/>
    <mergeCell ref="H162:H163"/>
    <mergeCell ref="H150:H151"/>
    <mergeCell ref="J150:J151"/>
    <mergeCell ref="A178:C178"/>
    <mergeCell ref="G120:G121"/>
    <mergeCell ref="H47:I48"/>
    <mergeCell ref="K150:K151"/>
    <mergeCell ref="M158:M159"/>
    <mergeCell ref="D215:D216"/>
    <mergeCell ref="F215:F216"/>
    <mergeCell ref="E172:F172"/>
    <mergeCell ref="D197:G197"/>
    <mergeCell ref="C126:C127"/>
    <mergeCell ref="E126:E127"/>
    <mergeCell ref="I174:J174"/>
    <mergeCell ref="D182:G182"/>
    <mergeCell ref="C267:C268"/>
    <mergeCell ref="E267:E268"/>
    <mergeCell ref="F265:F266"/>
    <mergeCell ref="B259:B260"/>
    <mergeCell ref="C257:C258"/>
    <mergeCell ref="B210:B211"/>
    <mergeCell ref="F235:F236"/>
    <mergeCell ref="G225:G226"/>
    <mergeCell ref="J223:J224"/>
    <mergeCell ref="E225:E226"/>
    <mergeCell ref="F261:F262"/>
    <mergeCell ref="G241:G242"/>
    <mergeCell ref="B241:B242"/>
    <mergeCell ref="F219:F220"/>
    <mergeCell ref="C223:C224"/>
    <mergeCell ref="I239:I240"/>
    <mergeCell ref="E221:E222"/>
    <mergeCell ref="J247:J248"/>
    <mergeCell ref="D223:D224"/>
    <mergeCell ref="G217:G218"/>
    <mergeCell ref="I217:I218"/>
    <mergeCell ref="J243:J244"/>
    <mergeCell ref="H247:H248"/>
    <mergeCell ref="H241:H242"/>
    <mergeCell ref="B265:B266"/>
    <mergeCell ref="D265:D266"/>
    <mergeCell ref="B150:B151"/>
    <mergeCell ref="B232:B233"/>
    <mergeCell ref="B219:B220"/>
    <mergeCell ref="B245:B246"/>
    <mergeCell ref="C265:C266"/>
    <mergeCell ref="F263:F264"/>
    <mergeCell ref="I243:I244"/>
    <mergeCell ref="F243:F244"/>
    <mergeCell ref="H243:H244"/>
    <mergeCell ref="D190:G190"/>
    <mergeCell ref="I223:I224"/>
    <mergeCell ref="A185:C185"/>
    <mergeCell ref="G174:H174"/>
    <mergeCell ref="B215:B216"/>
    <mergeCell ref="C235:C236"/>
    <mergeCell ref="E263:E264"/>
    <mergeCell ref="A196:C196"/>
    <mergeCell ref="A183:C183"/>
    <mergeCell ref="E241:E242"/>
    <mergeCell ref="F245:F246"/>
    <mergeCell ref="D257:D258"/>
    <mergeCell ref="C247:C248"/>
    <mergeCell ref="A11:B11"/>
    <mergeCell ref="H57:I58"/>
    <mergeCell ref="H84:I85"/>
    <mergeCell ref="J49:J50"/>
    <mergeCell ref="D43:E44"/>
    <mergeCell ref="F43:G44"/>
    <mergeCell ref="H86:I87"/>
    <mergeCell ref="D76:E76"/>
    <mergeCell ref="B116:B117"/>
    <mergeCell ref="F76:G76"/>
    <mergeCell ref="D116:D117"/>
    <mergeCell ref="C116:C117"/>
    <mergeCell ref="H77:I77"/>
    <mergeCell ref="J116:J117"/>
    <mergeCell ref="J53:J54"/>
    <mergeCell ref="C88:C89"/>
    <mergeCell ref="H46:I46"/>
    <mergeCell ref="C90:C91"/>
    <mergeCell ref="C55:C56"/>
    <mergeCell ref="J80:J81"/>
    <mergeCell ref="F57:G58"/>
    <mergeCell ref="B74:B75"/>
    <mergeCell ref="J59:J60"/>
    <mergeCell ref="H33:K33"/>
    <mergeCell ref="H34:K34"/>
    <mergeCell ref="H143:K143"/>
    <mergeCell ref="D59:E60"/>
    <mergeCell ref="B105:Q105"/>
    <mergeCell ref="M37:Q37"/>
    <mergeCell ref="O173:P173"/>
    <mergeCell ref="B55:B56"/>
    <mergeCell ref="M259:M260"/>
    <mergeCell ref="H36:K36"/>
    <mergeCell ref="D179:G179"/>
    <mergeCell ref="M221:M222"/>
    <mergeCell ref="B107:Q107"/>
    <mergeCell ref="I245:I246"/>
    <mergeCell ref="C245:C246"/>
    <mergeCell ref="B213:B214"/>
    <mergeCell ref="C74:C75"/>
    <mergeCell ref="M38:Q38"/>
    <mergeCell ref="C239:C240"/>
    <mergeCell ref="F225:F226"/>
    <mergeCell ref="K221:K222"/>
    <mergeCell ref="I257:I258"/>
    <mergeCell ref="G257:G258"/>
    <mergeCell ref="H225:H226"/>
    <mergeCell ref="K80:K81"/>
    <mergeCell ref="M160:M161"/>
    <mergeCell ref="B124:B125"/>
    <mergeCell ref="J213:J214"/>
    <mergeCell ref="E162:E163"/>
    <mergeCell ref="A191:C191"/>
    <mergeCell ref="F77:G77"/>
    <mergeCell ref="B53:B54"/>
    <mergeCell ref="B118:B119"/>
    <mergeCell ref="D118:D119"/>
    <mergeCell ref="B76:B77"/>
    <mergeCell ref="D185:G185"/>
    <mergeCell ref="H70:K70"/>
    <mergeCell ref="H196:P196"/>
    <mergeCell ref="K152:K153"/>
    <mergeCell ref="K210:K211"/>
    <mergeCell ref="J88:J89"/>
    <mergeCell ref="B84:B85"/>
    <mergeCell ref="C122:C123"/>
    <mergeCell ref="B146:B147"/>
    <mergeCell ref="B148:B149"/>
    <mergeCell ref="H177:P177"/>
    <mergeCell ref="C124:C125"/>
    <mergeCell ref="H66:K66"/>
    <mergeCell ref="D196:G196"/>
    <mergeCell ref="B261:B262"/>
    <mergeCell ref="D261:D262"/>
    <mergeCell ref="F162:F163"/>
    <mergeCell ref="D184:G184"/>
    <mergeCell ref="A12:B12"/>
    <mergeCell ref="E158:E159"/>
    <mergeCell ref="D51:E52"/>
    <mergeCell ref="C219:C220"/>
    <mergeCell ref="C12:D12"/>
    <mergeCell ref="B51:B52"/>
    <mergeCell ref="E12:F12"/>
    <mergeCell ref="B257:B258"/>
    <mergeCell ref="G245:G246"/>
    <mergeCell ref="B254:B255"/>
    <mergeCell ref="F217:F218"/>
    <mergeCell ref="G243:G244"/>
    <mergeCell ref="D219:D220"/>
    <mergeCell ref="F247:F248"/>
    <mergeCell ref="D78:E79"/>
    <mergeCell ref="C217:C218"/>
    <mergeCell ref="E217:E218"/>
    <mergeCell ref="F239:F240"/>
    <mergeCell ref="C243:C244"/>
    <mergeCell ref="C241:C242"/>
    <mergeCell ref="K223:K224"/>
    <mergeCell ref="I150:I151"/>
    <mergeCell ref="H156:H157"/>
    <mergeCell ref="J156:J157"/>
    <mergeCell ref="E239:E240"/>
    <mergeCell ref="F269:F270"/>
    <mergeCell ref="I267:I268"/>
    <mergeCell ref="D180:G180"/>
    <mergeCell ref="H152:H153"/>
    <mergeCell ref="I247:I248"/>
    <mergeCell ref="I269:I270"/>
    <mergeCell ref="I241:I242"/>
    <mergeCell ref="K160:K161"/>
    <mergeCell ref="J221:J222"/>
    <mergeCell ref="G267:G268"/>
    <mergeCell ref="J265:J266"/>
    <mergeCell ref="G269:G270"/>
    <mergeCell ref="K263:K264"/>
    <mergeCell ref="K259:K260"/>
    <mergeCell ref="J241:J242"/>
    <mergeCell ref="G263:G264"/>
    <mergeCell ref="K219:K220"/>
    <mergeCell ref="H213:H214"/>
    <mergeCell ref="H239:H240"/>
  </mergeCells>
  <hyperlinks>
    <hyperlink ref="J12" r:id="rId1" xr:uid="{00000000-0004-0000-0100-000000000000}"/>
  </hyperlinks>
  <pageMargins left="0.7" right="0.7" top="0.75" bottom="0.75" header="0.3" footer="0.3"/>
  <pageSetup paperSize="9" orientation="portrait"/>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7"/>
  <sheetViews>
    <sheetView topLeftCell="A7" zoomScale="80" zoomScaleNormal="80" workbookViewId="0">
      <selection activeCell="B19" sqref="B19:D38"/>
    </sheetView>
  </sheetViews>
  <sheetFormatPr baseColWidth="10" defaultColWidth="159.5703125" defaultRowHeight="12.75"/>
  <cols>
    <col min="1" max="1" width="20.42578125" style="286" bestFit="1" customWidth="1"/>
    <col min="2" max="3" width="34.85546875" style="286" customWidth="1"/>
    <col min="4" max="4" width="83.5703125" style="286" customWidth="1"/>
    <col min="5" max="5" width="10.42578125" style="286" bestFit="1" customWidth="1"/>
    <col min="6" max="6" width="20.7109375" style="286" bestFit="1" customWidth="1"/>
    <col min="7" max="7" width="15.28515625" style="286" bestFit="1" customWidth="1"/>
    <col min="8" max="8" width="18.5703125" style="286" bestFit="1" customWidth="1"/>
    <col min="9" max="9" width="15.140625" style="286" bestFit="1" customWidth="1"/>
    <col min="10" max="10" width="18.42578125" style="286" bestFit="1" customWidth="1"/>
    <col min="11" max="50" width="159.5703125" style="286" customWidth="1"/>
    <col min="51" max="16384" width="159.5703125" style="286"/>
  </cols>
  <sheetData>
    <row r="1" spans="1:10" ht="26.25" customHeight="1">
      <c r="A1" s="573" t="s">
        <v>300</v>
      </c>
      <c r="B1" s="572"/>
      <c r="C1" s="572"/>
      <c r="D1" s="572"/>
      <c r="E1" s="572"/>
      <c r="F1" s="572"/>
      <c r="G1" s="572"/>
      <c r="H1" s="572"/>
      <c r="I1" s="572"/>
      <c r="J1" s="572"/>
    </row>
    <row r="2" spans="1:10" ht="15.75" customHeight="1">
      <c r="A2" s="287" t="s">
        <v>32</v>
      </c>
      <c r="B2" s="465" t="str">
        <f>'Sin Botones'!$H$4</f>
        <v>Genoa vs Lecce</v>
      </c>
      <c r="C2" s="288"/>
      <c r="D2" s="288"/>
      <c r="E2" s="288"/>
      <c r="F2" s="288"/>
      <c r="G2" s="288"/>
      <c r="H2" s="288"/>
      <c r="I2" s="288"/>
      <c r="J2" s="288"/>
    </row>
    <row r="3" spans="1:10" ht="15.75" customHeight="1">
      <c r="A3" s="287" t="s">
        <v>35</v>
      </c>
      <c r="B3" s="465" t="str">
        <f>'Sin Botones'!$H$5</f>
        <v>14th March at 08:45pm</v>
      </c>
      <c r="C3" s="307"/>
      <c r="D3" s="307"/>
      <c r="E3" s="288"/>
      <c r="F3" s="288"/>
      <c r="G3" s="288"/>
      <c r="H3" s="288"/>
      <c r="I3" s="288"/>
      <c r="J3" s="288"/>
    </row>
    <row r="4" spans="1:10" ht="15.75" customHeight="1">
      <c r="A4" s="287" t="s">
        <v>42</v>
      </c>
      <c r="B4" s="465" t="str">
        <f>'Sin Botones'!$H$6</f>
        <v>Serie A</v>
      </c>
      <c r="C4" s="307"/>
      <c r="D4" s="307"/>
      <c r="E4" s="288"/>
      <c r="F4" s="288"/>
      <c r="G4" s="288"/>
      <c r="H4" s="288"/>
      <c r="I4" s="288"/>
      <c r="J4" s="288"/>
    </row>
    <row r="5" spans="1:10" ht="41.25" customHeight="1">
      <c r="A5" s="580" t="s">
        <v>301</v>
      </c>
      <c r="B5" s="572"/>
      <c r="C5" s="572"/>
      <c r="D5" s="572"/>
      <c r="E5" s="572"/>
      <c r="F5" s="572"/>
      <c r="G5" s="572"/>
      <c r="H5" s="572"/>
      <c r="I5" s="572"/>
      <c r="J5" s="572"/>
    </row>
    <row r="6" spans="1:10" ht="23.25" customHeight="1">
      <c r="A6" s="577" t="s">
        <v>302</v>
      </c>
      <c r="B6" s="572"/>
      <c r="C6" s="572"/>
      <c r="D6" s="572"/>
      <c r="E6" s="572"/>
      <c r="F6" s="572"/>
      <c r="G6" s="572"/>
      <c r="H6" s="572"/>
      <c r="I6" s="572"/>
      <c r="J6" s="572"/>
    </row>
    <row r="7" spans="1:10" ht="29.25" customHeight="1">
      <c r="A7" s="579"/>
      <c r="B7" s="572"/>
      <c r="C7" s="572"/>
      <c r="D7" s="572"/>
      <c r="E7" s="572"/>
      <c r="F7" s="572"/>
      <c r="G7" s="572"/>
      <c r="H7" s="572"/>
      <c r="I7" s="572"/>
      <c r="J7" s="572"/>
    </row>
    <row r="8" spans="1:10" ht="33" customHeight="1">
      <c r="A8" s="289" t="s">
        <v>303</v>
      </c>
      <c r="B8" s="290">
        <f>$A$7</f>
        <v>0</v>
      </c>
      <c r="C8" s="458" t="e">
        <f>CHOOSE($B$8, "Partido Abierto", "Partido Desequilibrado", "Partido de Rivalidad (Derbi)", "Partido Defensivo", "Partido de Alta Presión (Finales o Clasificación Crítica)", "Partido de Trámite", "Partido Cerrado")</f>
        <v>#VALUE!</v>
      </c>
      <c r="D8" s="315"/>
      <c r="E8" s="315"/>
      <c r="F8" s="315"/>
      <c r="G8" s="315"/>
      <c r="H8" s="315"/>
      <c r="I8" s="315"/>
      <c r="J8" s="315"/>
    </row>
    <row r="9" spans="1:10" ht="26.25" customHeight="1">
      <c r="A9" s="573" t="s">
        <v>304</v>
      </c>
      <c r="B9" s="572"/>
      <c r="C9" s="572"/>
      <c r="D9" s="572"/>
      <c r="E9" s="572"/>
      <c r="F9" s="572"/>
      <c r="G9" s="572"/>
      <c r="H9" s="572"/>
      <c r="I9" s="572"/>
      <c r="J9" s="572"/>
    </row>
    <row r="10" spans="1:10" ht="25.5" customHeight="1">
      <c r="A10" s="584" t="s">
        <v>305</v>
      </c>
      <c r="B10" s="572"/>
      <c r="C10" s="572"/>
      <c r="D10" s="572"/>
      <c r="E10" s="572"/>
      <c r="F10" s="572"/>
      <c r="G10" s="572"/>
      <c r="H10" s="572"/>
      <c r="I10" s="572"/>
      <c r="J10" s="572"/>
    </row>
    <row r="11" spans="1:10" s="293" customFormat="1" ht="12" customHeight="1">
      <c r="A11" s="291" t="s">
        <v>32</v>
      </c>
      <c r="B11" s="465" t="str">
        <f>'Sin Botones'!$H$4</f>
        <v>Genoa vs Lecce</v>
      </c>
      <c r="C11" s="312"/>
      <c r="D11" s="312"/>
      <c r="E11" s="312"/>
      <c r="F11" s="312"/>
      <c r="G11" s="313"/>
      <c r="H11" s="292"/>
      <c r="I11" s="292"/>
      <c r="J11" s="292"/>
    </row>
    <row r="12" spans="1:10" s="293" customFormat="1" ht="12" customHeight="1">
      <c r="A12" s="292" t="s">
        <v>35</v>
      </c>
      <c r="B12" s="465" t="str">
        <f>'Sin Botones'!$H$5</f>
        <v>14th March at 08:45pm</v>
      </c>
      <c r="C12" s="314"/>
      <c r="D12" s="314"/>
      <c r="E12" s="314"/>
      <c r="F12" s="314"/>
      <c r="G12" s="314"/>
      <c r="H12" s="292"/>
      <c r="I12" s="292"/>
      <c r="J12" s="292"/>
    </row>
    <row r="13" spans="1:10" s="293" customFormat="1" ht="12" customHeight="1">
      <c r="A13" s="292" t="s">
        <v>42</v>
      </c>
      <c r="B13" s="465" t="str">
        <f>'Sin Botones'!$H$6</f>
        <v>Serie A</v>
      </c>
      <c r="C13" s="314"/>
      <c r="D13" s="314"/>
      <c r="E13" s="314"/>
      <c r="F13" s="314"/>
      <c r="G13" s="314"/>
      <c r="H13" s="292"/>
      <c r="I13" s="292"/>
      <c r="J13" s="292"/>
    </row>
    <row r="14" spans="1:10">
      <c r="A14" s="582"/>
      <c r="B14" s="572"/>
      <c r="C14" s="572"/>
      <c r="D14" s="572"/>
      <c r="E14" s="572"/>
      <c r="F14" s="572"/>
      <c r="G14" s="572"/>
      <c r="H14" s="572"/>
      <c r="I14" s="572"/>
      <c r="J14" s="572"/>
    </row>
    <row r="15" spans="1:10" ht="98.25" customHeight="1">
      <c r="A15" s="586" t="s">
        <v>306</v>
      </c>
      <c r="B15" s="572"/>
      <c r="C15" s="572"/>
      <c r="D15" s="572"/>
      <c r="E15" s="572"/>
      <c r="F15" s="572"/>
      <c r="G15" s="572"/>
      <c r="H15" s="572"/>
      <c r="I15" s="572"/>
      <c r="J15" s="572"/>
    </row>
    <row r="16" spans="1:10" ht="31.5" customHeight="1">
      <c r="A16" s="317" t="s">
        <v>307</v>
      </c>
      <c r="B16" s="316"/>
      <c r="C16" s="316"/>
      <c r="D16" s="316"/>
      <c r="E16" s="576" t="e">
        <f>$C$8</f>
        <v>#VALUE!</v>
      </c>
      <c r="F16" s="572"/>
      <c r="G16" s="572"/>
      <c r="H16" s="318"/>
      <c r="I16" s="318"/>
      <c r="J16" s="318"/>
    </row>
    <row r="17" spans="1:4" ht="15.75" customHeight="1">
      <c r="A17" s="581" t="s">
        <v>308</v>
      </c>
      <c r="B17" s="572"/>
      <c r="C17" s="572"/>
      <c r="D17" s="572"/>
    </row>
    <row r="18" spans="1:4" ht="25.5" customHeight="1">
      <c r="A18" s="332" t="s">
        <v>309</v>
      </c>
      <c r="B18" s="332" t="s">
        <v>310</v>
      </c>
      <c r="C18" s="332" t="s">
        <v>311</v>
      </c>
      <c r="D18" s="332" t="s">
        <v>312</v>
      </c>
    </row>
    <row r="19" spans="1:4" ht="26.25" customHeight="1">
      <c r="A19" s="335" t="s">
        <v>313</v>
      </c>
      <c r="B19" s="336"/>
      <c r="C19" s="336"/>
      <c r="D19" s="336"/>
    </row>
    <row r="20" spans="1:4" ht="26.25" customHeight="1">
      <c r="A20" s="334" t="s">
        <v>314</v>
      </c>
      <c r="B20" s="337"/>
      <c r="C20" s="337"/>
      <c r="D20" s="337"/>
    </row>
    <row r="21" spans="1:4" ht="26.25" customHeight="1">
      <c r="A21" s="333" t="s">
        <v>315</v>
      </c>
      <c r="B21" s="336"/>
      <c r="C21" s="336"/>
      <c r="D21" s="336"/>
    </row>
    <row r="22" spans="1:4" ht="26.25" customHeight="1">
      <c r="A22" s="334" t="s">
        <v>316</v>
      </c>
      <c r="B22" s="337"/>
      <c r="C22" s="337"/>
      <c r="D22" s="337"/>
    </row>
    <row r="23" spans="1:4" ht="26.25" customHeight="1">
      <c r="A23" s="333" t="s">
        <v>317</v>
      </c>
      <c r="B23" s="336"/>
      <c r="C23" s="336"/>
      <c r="D23" s="336"/>
    </row>
    <row r="24" spans="1:4" ht="26.25" customHeight="1">
      <c r="A24" s="334" t="s">
        <v>318</v>
      </c>
      <c r="B24" s="337"/>
      <c r="C24" s="337"/>
      <c r="D24" s="337"/>
    </row>
    <row r="25" spans="1:4" ht="26.25" customHeight="1">
      <c r="A25" s="333" t="s">
        <v>319</v>
      </c>
      <c r="B25" s="336"/>
      <c r="C25" s="336"/>
      <c r="D25" s="336"/>
    </row>
    <row r="26" spans="1:4" ht="26.25" customHeight="1">
      <c r="A26" s="334" t="s">
        <v>320</v>
      </c>
      <c r="B26" s="337"/>
      <c r="C26" s="337"/>
      <c r="D26" s="337"/>
    </row>
    <row r="27" spans="1:4" ht="26.25" customHeight="1">
      <c r="A27" s="333" t="s">
        <v>321</v>
      </c>
      <c r="B27" s="336"/>
      <c r="C27" s="336"/>
      <c r="D27" s="336"/>
    </row>
    <row r="28" spans="1:4" ht="26.25" customHeight="1">
      <c r="A28" s="334" t="s">
        <v>322</v>
      </c>
      <c r="B28" s="337"/>
      <c r="C28" s="337"/>
      <c r="D28" s="337"/>
    </row>
    <row r="29" spans="1:4" ht="26.25" customHeight="1">
      <c r="A29" s="333" t="s">
        <v>323</v>
      </c>
      <c r="B29" s="336"/>
      <c r="C29" s="336"/>
      <c r="D29" s="336"/>
    </row>
    <row r="30" spans="1:4" ht="26.25" customHeight="1">
      <c r="A30" s="334" t="s">
        <v>324</v>
      </c>
      <c r="B30" s="337"/>
      <c r="C30" s="337"/>
      <c r="D30" s="337"/>
    </row>
    <row r="31" spans="1:4" ht="26.25" customHeight="1">
      <c r="A31" s="333" t="s">
        <v>325</v>
      </c>
      <c r="B31" s="336"/>
      <c r="C31" s="336"/>
      <c r="D31" s="336"/>
    </row>
    <row r="32" spans="1:4" ht="26.25" customHeight="1">
      <c r="A32" s="335" t="s">
        <v>326</v>
      </c>
      <c r="B32" s="337"/>
      <c r="C32" s="337"/>
      <c r="D32" s="337"/>
    </row>
    <row r="33" spans="1:10" ht="26.25" customHeight="1">
      <c r="A33" s="333" t="s">
        <v>327</v>
      </c>
      <c r="B33" s="336"/>
      <c r="C33" s="336"/>
      <c r="D33" s="336"/>
    </row>
    <row r="34" spans="1:10" ht="26.25" customHeight="1">
      <c r="A34" s="335" t="s">
        <v>328</v>
      </c>
      <c r="B34" s="337"/>
      <c r="C34" s="337"/>
      <c r="D34" s="337"/>
    </row>
    <row r="35" spans="1:10" ht="26.25" customHeight="1">
      <c r="A35" s="333" t="s">
        <v>329</v>
      </c>
      <c r="B35" s="336"/>
      <c r="C35" s="336"/>
      <c r="D35" s="336"/>
    </row>
    <row r="36" spans="1:10" ht="26.25" customHeight="1">
      <c r="A36" s="334" t="s">
        <v>330</v>
      </c>
      <c r="B36" s="337"/>
      <c r="C36" s="337"/>
      <c r="D36" s="337"/>
    </row>
    <row r="37" spans="1:10" ht="26.25" customHeight="1">
      <c r="A37" s="333" t="s">
        <v>331</v>
      </c>
      <c r="B37" s="336"/>
      <c r="C37" s="336"/>
      <c r="D37" s="336"/>
    </row>
    <row r="38" spans="1:10" ht="26.25" customHeight="1">
      <c r="A38" s="334" t="s">
        <v>332</v>
      </c>
      <c r="B38" s="337"/>
      <c r="C38" s="337"/>
      <c r="D38" s="337"/>
      <c r="E38" s="295"/>
      <c r="F38" s="295"/>
      <c r="G38" s="295"/>
      <c r="H38" s="295"/>
      <c r="I38" s="295"/>
      <c r="J38" s="295"/>
    </row>
    <row r="39" spans="1:10" ht="380.25" customHeight="1">
      <c r="A39" s="585" t="s">
        <v>333</v>
      </c>
      <c r="B39" s="572"/>
      <c r="C39" s="572"/>
      <c r="D39" s="572"/>
      <c r="E39" s="295"/>
      <c r="F39" s="295"/>
      <c r="G39" s="295"/>
      <c r="H39" s="295"/>
      <c r="I39" s="295"/>
      <c r="J39" s="295"/>
    </row>
    <row r="40" spans="1:10" ht="31.5" customHeight="1">
      <c r="A40" s="576" t="e">
        <f>$C$8</f>
        <v>#VALUE!</v>
      </c>
      <c r="B40" s="572"/>
      <c r="C40" s="572"/>
      <c r="D40" s="316"/>
      <c r="E40" s="583"/>
      <c r="F40" s="572"/>
      <c r="G40" s="572"/>
    </row>
    <row r="41" spans="1:10" ht="26.25" customHeight="1">
      <c r="A41" s="573" t="s">
        <v>334</v>
      </c>
      <c r="B41" s="572"/>
      <c r="C41" s="572"/>
      <c r="D41" s="572"/>
      <c r="E41" s="572"/>
      <c r="F41" s="572"/>
      <c r="G41" s="572"/>
      <c r="H41" s="572"/>
      <c r="I41" s="572"/>
      <c r="J41" s="572"/>
    </row>
    <row r="42" spans="1:10">
      <c r="A42" s="287" t="s">
        <v>335</v>
      </c>
    </row>
    <row r="43" spans="1:10" ht="25.5" customHeight="1">
      <c r="A43" s="329" t="s">
        <v>336</v>
      </c>
      <c r="B43" s="330" t="s">
        <v>337</v>
      </c>
      <c r="C43" s="330" t="s">
        <v>338</v>
      </c>
      <c r="D43" s="331" t="s">
        <v>312</v>
      </c>
    </row>
    <row r="44" spans="1:10" ht="25.5" customHeight="1">
      <c r="A44" s="319" t="s">
        <v>313</v>
      </c>
      <c r="B44" s="320"/>
      <c r="C44" s="320"/>
      <c r="D44" s="321"/>
    </row>
    <row r="45" spans="1:10" ht="69" customHeight="1">
      <c r="A45" s="322" t="s">
        <v>314</v>
      </c>
      <c r="B45" s="323">
        <v>5</v>
      </c>
      <c r="C45" s="323">
        <v>3</v>
      </c>
      <c r="D45" s="324" t="s">
        <v>339</v>
      </c>
    </row>
    <row r="46" spans="1:10" ht="69" customHeight="1">
      <c r="A46" s="325" t="s">
        <v>315</v>
      </c>
      <c r="B46" s="320">
        <v>4</v>
      </c>
      <c r="C46" s="320">
        <v>3</v>
      </c>
      <c r="D46" s="321" t="s">
        <v>340</v>
      </c>
    </row>
    <row r="47" spans="1:10" ht="69" customHeight="1">
      <c r="A47" s="322" t="s">
        <v>316</v>
      </c>
      <c r="B47" s="323">
        <v>5</v>
      </c>
      <c r="C47" s="323">
        <v>2</v>
      </c>
      <c r="D47" s="324" t="s">
        <v>341</v>
      </c>
    </row>
    <row r="48" spans="1:10" ht="69" customHeight="1">
      <c r="A48" s="325" t="s">
        <v>317</v>
      </c>
      <c r="B48" s="320">
        <v>4</v>
      </c>
      <c r="C48" s="320">
        <v>2</v>
      </c>
      <c r="D48" s="321" t="s">
        <v>342</v>
      </c>
    </row>
    <row r="49" spans="1:4" ht="69" customHeight="1">
      <c r="A49" s="322" t="s">
        <v>318</v>
      </c>
      <c r="B49" s="323">
        <v>4</v>
      </c>
      <c r="C49" s="323">
        <v>2</v>
      </c>
      <c r="D49" s="324" t="s">
        <v>343</v>
      </c>
    </row>
    <row r="50" spans="1:4" ht="69" customHeight="1">
      <c r="A50" s="325" t="s">
        <v>319</v>
      </c>
      <c r="B50" s="320">
        <v>5</v>
      </c>
      <c r="C50" s="320">
        <v>3</v>
      </c>
      <c r="D50" s="321" t="s">
        <v>344</v>
      </c>
    </row>
    <row r="51" spans="1:4" ht="69" customHeight="1">
      <c r="A51" s="322" t="s">
        <v>320</v>
      </c>
      <c r="B51" s="323"/>
      <c r="C51" s="323"/>
      <c r="D51" s="324"/>
    </row>
    <row r="52" spans="1:4" ht="69" customHeight="1">
      <c r="A52" s="325" t="s">
        <v>321</v>
      </c>
      <c r="B52" s="320">
        <v>5</v>
      </c>
      <c r="C52" s="320">
        <v>3</v>
      </c>
      <c r="D52" s="321" t="s">
        <v>345</v>
      </c>
    </row>
    <row r="53" spans="1:4" ht="69" customHeight="1">
      <c r="A53" s="322" t="s">
        <v>322</v>
      </c>
      <c r="B53" s="323">
        <v>5</v>
      </c>
      <c r="C53" s="323">
        <v>3</v>
      </c>
      <c r="D53" s="324" t="s">
        <v>346</v>
      </c>
    </row>
    <row r="54" spans="1:4" ht="69" customHeight="1">
      <c r="A54" s="325" t="s">
        <v>323</v>
      </c>
      <c r="B54" s="320">
        <v>5</v>
      </c>
      <c r="C54" s="320">
        <v>3</v>
      </c>
      <c r="D54" s="321" t="s">
        <v>347</v>
      </c>
    </row>
    <row r="55" spans="1:4" ht="69" customHeight="1">
      <c r="A55" s="322" t="s">
        <v>324</v>
      </c>
      <c r="B55" s="323">
        <v>4</v>
      </c>
      <c r="C55" s="323">
        <v>2</v>
      </c>
      <c r="D55" s="324" t="s">
        <v>348</v>
      </c>
    </row>
    <row r="56" spans="1:4" ht="69" customHeight="1">
      <c r="A56" s="325" t="s">
        <v>325</v>
      </c>
      <c r="B56" s="320">
        <v>5</v>
      </c>
      <c r="C56" s="320">
        <v>2</v>
      </c>
      <c r="D56" s="321" t="s">
        <v>349</v>
      </c>
    </row>
    <row r="57" spans="1:4" ht="69" customHeight="1">
      <c r="A57" s="319" t="s">
        <v>326</v>
      </c>
      <c r="B57" s="323"/>
      <c r="C57" s="323"/>
      <c r="D57" s="324"/>
    </row>
    <row r="58" spans="1:4" ht="69" customHeight="1">
      <c r="A58" s="325" t="s">
        <v>327</v>
      </c>
      <c r="B58" s="320">
        <v>4</v>
      </c>
      <c r="C58" s="320">
        <v>3</v>
      </c>
      <c r="D58" s="321" t="s">
        <v>350</v>
      </c>
    </row>
    <row r="59" spans="1:4" ht="69" customHeight="1">
      <c r="A59" s="319" t="s">
        <v>328</v>
      </c>
      <c r="B59" s="323">
        <v>3</v>
      </c>
      <c r="C59" s="323">
        <v>3</v>
      </c>
      <c r="D59" s="324" t="s">
        <v>351</v>
      </c>
    </row>
    <row r="60" spans="1:4" ht="69" customHeight="1">
      <c r="A60" s="325" t="s">
        <v>329</v>
      </c>
      <c r="B60" s="320">
        <v>5</v>
      </c>
      <c r="C60" s="320">
        <v>2</v>
      </c>
      <c r="D60" s="321" t="s">
        <v>352</v>
      </c>
    </row>
    <row r="61" spans="1:4" ht="69" customHeight="1">
      <c r="A61" s="322" t="s">
        <v>330</v>
      </c>
      <c r="B61" s="323">
        <v>5</v>
      </c>
      <c r="C61" s="323">
        <v>2</v>
      </c>
      <c r="D61" s="324" t="s">
        <v>353</v>
      </c>
    </row>
    <row r="62" spans="1:4" ht="69" customHeight="1">
      <c r="A62" s="325" t="s">
        <v>331</v>
      </c>
      <c r="B62" s="320">
        <v>3</v>
      </c>
      <c r="C62" s="320">
        <v>3</v>
      </c>
      <c r="D62" s="321" t="s">
        <v>354</v>
      </c>
    </row>
    <row r="63" spans="1:4" ht="69" customHeight="1">
      <c r="A63" s="326" t="s">
        <v>332</v>
      </c>
      <c r="B63" s="327">
        <v>4</v>
      </c>
      <c r="C63" s="327">
        <v>2</v>
      </c>
      <c r="D63" s="328" t="s">
        <v>355</v>
      </c>
    </row>
    <row r="64" spans="1:4">
      <c r="A64" s="296"/>
    </row>
    <row r="65" spans="1:10" ht="28.5" customHeight="1">
      <c r="A65" s="578" t="s">
        <v>356</v>
      </c>
      <c r="B65" s="572"/>
      <c r="C65" s="572"/>
      <c r="D65" s="572"/>
      <c r="E65" s="572"/>
      <c r="F65" s="572"/>
      <c r="G65" s="572"/>
      <c r="H65" s="572"/>
      <c r="I65" s="572"/>
      <c r="J65" s="572"/>
    </row>
    <row r="66" spans="1:10">
      <c r="A66" s="296" t="s">
        <v>357</v>
      </c>
    </row>
    <row r="67" spans="1:10" ht="15.75" customHeight="1">
      <c r="A67" s="288" t="s">
        <v>32</v>
      </c>
      <c r="B67" s="465" t="str">
        <f>'Sin Botones'!$H$4</f>
        <v>Genoa vs Lecce</v>
      </c>
      <c r="C67" s="288"/>
      <c r="D67" s="288"/>
      <c r="E67" s="288"/>
      <c r="F67" s="288"/>
      <c r="G67" s="288"/>
      <c r="H67" s="288"/>
      <c r="I67" s="288"/>
      <c r="J67" s="288"/>
    </row>
    <row r="68" spans="1:10" ht="15.75" customHeight="1">
      <c r="A68" s="288" t="s">
        <v>35</v>
      </c>
      <c r="B68" s="465" t="str">
        <f>'Sin Botones'!$H$5</f>
        <v>14th March at 08:45pm</v>
      </c>
      <c r="C68" s="288"/>
      <c r="D68" s="288"/>
      <c r="E68" s="288"/>
      <c r="F68" s="288"/>
      <c r="G68" s="288"/>
      <c r="H68" s="288"/>
      <c r="I68" s="288"/>
      <c r="J68" s="288"/>
    </row>
    <row r="69" spans="1:10" ht="15.75" customHeight="1">
      <c r="A69" s="288" t="s">
        <v>42</v>
      </c>
      <c r="B69" s="465" t="str">
        <f>'Sin Botones'!$H$6</f>
        <v>Serie A</v>
      </c>
      <c r="C69" s="288"/>
      <c r="D69" s="288"/>
      <c r="E69" s="288"/>
      <c r="F69" s="288"/>
      <c r="G69" s="288"/>
      <c r="H69" s="288"/>
      <c r="I69" s="288"/>
      <c r="J69" s="288"/>
    </row>
    <row r="70" spans="1:10">
      <c r="A70" s="297" t="s">
        <v>358</v>
      </c>
      <c r="B70" s="298"/>
      <c r="C70" s="298"/>
      <c r="D70" s="298"/>
      <c r="E70" s="298"/>
      <c r="F70" s="298"/>
      <c r="G70" s="298"/>
      <c r="H70" s="298"/>
      <c r="I70" s="298"/>
      <c r="J70" s="298"/>
    </row>
    <row r="71" spans="1:10" ht="27.75" customHeight="1">
      <c r="A71" s="311" t="s">
        <v>16</v>
      </c>
      <c r="B71" s="311" t="s">
        <v>17</v>
      </c>
      <c r="C71" s="311" t="s">
        <v>18</v>
      </c>
      <c r="D71" s="310" t="s">
        <v>299</v>
      </c>
      <c r="E71" s="310" t="s">
        <v>65</v>
      </c>
      <c r="F71" s="311" t="s">
        <v>66</v>
      </c>
      <c r="G71" s="311" t="s">
        <v>22</v>
      </c>
      <c r="H71" s="311" t="s">
        <v>23</v>
      </c>
      <c r="I71" s="311" t="s">
        <v>24</v>
      </c>
      <c r="J71" s="311" t="s">
        <v>25</v>
      </c>
    </row>
    <row r="72" spans="1:10" ht="27.75" customHeight="1">
      <c r="A72" s="308">
        <f t="array" ref="A72:J72">Tabla_Categorías[]</f>
        <v>0.33447899159663869</v>
      </c>
      <c r="B72" s="309">
        <v>0.70611798980335028</v>
      </c>
      <c r="C72" s="309">
        <v>0.29388201019664972</v>
      </c>
      <c r="D72" s="309">
        <v>0.86557137104268622</v>
      </c>
      <c r="E72" s="309">
        <v>0.13442862895731378</v>
      </c>
      <c r="F72" s="309">
        <v>0.74497768527456087</v>
      </c>
      <c r="G72" s="309">
        <v>0.24405146747497974</v>
      </c>
      <c r="H72" s="309">
        <v>0.24118795417306507</v>
      </c>
      <c r="I72" s="309">
        <v>0.51283213084876267</v>
      </c>
      <c r="J72" s="309">
        <v>0.51098832052517063</v>
      </c>
    </row>
    <row r="73" spans="1:10" ht="31.5" customHeight="1">
      <c r="A73" s="575" t="s">
        <v>359</v>
      </c>
      <c r="B73" s="572"/>
      <c r="C73" s="572"/>
      <c r="D73" s="572"/>
      <c r="E73" s="572"/>
      <c r="F73" s="572"/>
      <c r="G73" s="572"/>
      <c r="H73" s="572"/>
      <c r="I73" s="572"/>
      <c r="J73" s="572"/>
    </row>
    <row r="74" spans="1:10" ht="26.25" customHeight="1">
      <c r="A74" s="571" t="s">
        <v>360</v>
      </c>
      <c r="B74" s="572"/>
      <c r="C74" s="572"/>
      <c r="D74" s="572"/>
      <c r="E74" s="572"/>
      <c r="F74" s="572"/>
      <c r="G74" s="572"/>
      <c r="H74" s="572"/>
      <c r="I74" s="572"/>
      <c r="J74" s="572"/>
    </row>
    <row r="75" spans="1:10">
      <c r="A75" s="287" t="s">
        <v>361</v>
      </c>
    </row>
    <row r="76" spans="1:10" ht="25.5" customHeight="1">
      <c r="A76" s="295" t="s">
        <v>26</v>
      </c>
      <c r="B76" s="295" t="s">
        <v>27</v>
      </c>
      <c r="C76" s="295" t="s">
        <v>28</v>
      </c>
      <c r="D76" s="295" t="s">
        <v>29</v>
      </c>
    </row>
    <row r="77" spans="1:10" ht="114.75" customHeight="1">
      <c r="A77" s="295" t="s">
        <v>16</v>
      </c>
      <c r="B77" s="295" t="s">
        <v>362</v>
      </c>
      <c r="C77" s="295" t="s">
        <v>363</v>
      </c>
      <c r="D77" s="295" t="s">
        <v>31</v>
      </c>
    </row>
    <row r="78" spans="1:10" ht="89.25" customHeight="1">
      <c r="A78" s="295" t="s">
        <v>17</v>
      </c>
      <c r="B78" s="295" t="s">
        <v>364</v>
      </c>
      <c r="C78" s="295" t="s">
        <v>365</v>
      </c>
      <c r="D78" s="295" t="s">
        <v>34</v>
      </c>
    </row>
    <row r="79" spans="1:10" ht="102" customHeight="1">
      <c r="A79" s="295" t="s">
        <v>18</v>
      </c>
      <c r="B79" s="295" t="s">
        <v>366</v>
      </c>
      <c r="C79" s="295" t="s">
        <v>367</v>
      </c>
      <c r="D79" s="295" t="s">
        <v>38</v>
      </c>
    </row>
    <row r="80" spans="1:10" ht="204" customHeight="1">
      <c r="A80" s="295" t="s">
        <v>45</v>
      </c>
      <c r="B80" s="295" t="s">
        <v>368</v>
      </c>
      <c r="C80" s="295" t="s">
        <v>369</v>
      </c>
      <c r="D80" s="295" t="s">
        <v>46</v>
      </c>
    </row>
    <row r="81" spans="1:10" ht="127.5" customHeight="1">
      <c r="A81" s="295" t="s">
        <v>51</v>
      </c>
      <c r="B81" s="295" t="s">
        <v>370</v>
      </c>
      <c r="C81" s="295" t="s">
        <v>371</v>
      </c>
      <c r="D81" s="295" t="s">
        <v>52</v>
      </c>
    </row>
    <row r="82" spans="1:10" ht="102" customHeight="1">
      <c r="A82" s="295" t="s">
        <v>55</v>
      </c>
      <c r="B82" s="295" t="s">
        <v>372</v>
      </c>
      <c r="C82" s="295" t="s">
        <v>373</v>
      </c>
      <c r="D82" s="295" t="s">
        <v>56</v>
      </c>
    </row>
    <row r="83" spans="1:10" ht="114.75" customHeight="1">
      <c r="A83" s="295" t="s">
        <v>22</v>
      </c>
      <c r="B83" s="295" t="s">
        <v>374</v>
      </c>
      <c r="C83" s="295" t="s">
        <v>375</v>
      </c>
      <c r="D83" s="295" t="s">
        <v>59</v>
      </c>
    </row>
    <row r="84" spans="1:10" ht="140.25" customHeight="1">
      <c r="A84" s="295" t="s">
        <v>23</v>
      </c>
      <c r="B84" s="295" t="s">
        <v>376</v>
      </c>
      <c r="C84" s="295" t="s">
        <v>377</v>
      </c>
      <c r="D84" s="295" t="s">
        <v>67</v>
      </c>
    </row>
    <row r="85" spans="1:10" ht="127.5" customHeight="1">
      <c r="A85" s="295" t="s">
        <v>24</v>
      </c>
      <c r="B85" s="295" t="s">
        <v>378</v>
      </c>
      <c r="C85" s="295" t="s">
        <v>379</v>
      </c>
      <c r="D85" s="295" t="s">
        <v>71</v>
      </c>
    </row>
    <row r="86" spans="1:10" ht="165.75" customHeight="1">
      <c r="A86" s="295" t="s">
        <v>25</v>
      </c>
      <c r="B86" s="295" t="s">
        <v>380</v>
      </c>
      <c r="C86" s="295" t="s">
        <v>381</v>
      </c>
      <c r="D86" s="295" t="s">
        <v>75</v>
      </c>
    </row>
    <row r="87" spans="1:10">
      <c r="A87" s="287" t="s">
        <v>382</v>
      </c>
    </row>
    <row r="88" spans="1:10" ht="28.5" customHeight="1">
      <c r="A88" s="578" t="s">
        <v>383</v>
      </c>
      <c r="B88" s="572"/>
      <c r="C88" s="572"/>
      <c r="D88" s="572"/>
      <c r="E88" s="572"/>
      <c r="F88" s="572"/>
      <c r="G88" s="572"/>
      <c r="H88" s="572"/>
      <c r="I88" s="572"/>
      <c r="J88" s="572"/>
    </row>
    <row r="89" spans="1:10">
      <c r="A89" s="574" t="s">
        <v>384</v>
      </c>
      <c r="B89" s="572"/>
      <c r="C89" s="572"/>
      <c r="D89" s="572"/>
      <c r="E89" s="572"/>
      <c r="F89" s="572"/>
      <c r="G89" s="572"/>
      <c r="H89" s="572"/>
      <c r="I89" s="572"/>
      <c r="J89" s="572"/>
    </row>
    <row r="90" spans="1:10" ht="26.25" customHeight="1">
      <c r="A90" s="571" t="s">
        <v>385</v>
      </c>
      <c r="B90" s="572"/>
      <c r="C90" s="572"/>
      <c r="D90" s="572"/>
      <c r="E90" s="572"/>
      <c r="F90" s="572"/>
      <c r="G90" s="572"/>
      <c r="H90" s="572"/>
      <c r="I90" s="572"/>
      <c r="J90" s="572"/>
    </row>
    <row r="91" spans="1:10">
      <c r="A91" s="296"/>
    </row>
    <row r="92" spans="1:10">
      <c r="A92" s="294" t="s">
        <v>386</v>
      </c>
    </row>
    <row r="94" spans="1:10">
      <c r="A94" s="287" t="s">
        <v>387</v>
      </c>
    </row>
    <row r="95" spans="1:10">
      <c r="A95" s="287" t="s">
        <v>388</v>
      </c>
    </row>
    <row r="96" spans="1:10">
      <c r="A96" s="287" t="s">
        <v>389</v>
      </c>
    </row>
    <row r="97" spans="1:1">
      <c r="A97" s="287"/>
    </row>
    <row r="100" spans="1:1">
      <c r="A100" s="294" t="s">
        <v>390</v>
      </c>
    </row>
    <row r="102" spans="1:1">
      <c r="A102" s="287" t="s">
        <v>391</v>
      </c>
    </row>
    <row r="103" spans="1:1">
      <c r="A103" s="287" t="s">
        <v>392</v>
      </c>
    </row>
    <row r="104" spans="1:1">
      <c r="A104" s="287" t="s">
        <v>393</v>
      </c>
    </row>
    <row r="105" spans="1:1">
      <c r="A105" s="287" t="s">
        <v>394</v>
      </c>
    </row>
    <row r="106" spans="1:1">
      <c r="A106" s="287" t="s">
        <v>395</v>
      </c>
    </row>
    <row r="107" spans="1:1">
      <c r="A107" s="287" t="s">
        <v>396</v>
      </c>
    </row>
    <row r="108" spans="1:1">
      <c r="A108" s="287"/>
    </row>
    <row r="111" spans="1:1">
      <c r="A111" s="294" t="s">
        <v>397</v>
      </c>
    </row>
    <row r="113" spans="1:1">
      <c r="A113" s="287" t="s">
        <v>398</v>
      </c>
    </row>
    <row r="114" spans="1:1">
      <c r="A114" s="287" t="s">
        <v>399</v>
      </c>
    </row>
    <row r="116" spans="1:1">
      <c r="A116" s="287" t="s">
        <v>400</v>
      </c>
    </row>
    <row r="117" spans="1:1">
      <c r="A117" s="287"/>
    </row>
    <row r="118" spans="1:1">
      <c r="A118" s="287" t="s">
        <v>401</v>
      </c>
    </row>
    <row r="119" spans="1:1">
      <c r="A119" s="287" t="s">
        <v>402</v>
      </c>
    </row>
    <row r="120" spans="1:1">
      <c r="A120" s="287" t="s">
        <v>403</v>
      </c>
    </row>
    <row r="122" spans="1:1">
      <c r="A122" s="287" t="s">
        <v>404</v>
      </c>
    </row>
    <row r="123" spans="1:1">
      <c r="A123" s="287"/>
    </row>
    <row r="124" spans="1:1">
      <c r="A124" s="287" t="s">
        <v>405</v>
      </c>
    </row>
    <row r="125" spans="1:1">
      <c r="A125" s="287" t="s">
        <v>406</v>
      </c>
    </row>
    <row r="128" spans="1:1">
      <c r="A128" s="294" t="s">
        <v>407</v>
      </c>
    </row>
    <row r="130" spans="1:1">
      <c r="A130" s="287" t="s">
        <v>408</v>
      </c>
    </row>
    <row r="131" spans="1:1">
      <c r="A131" s="287" t="s">
        <v>409</v>
      </c>
    </row>
    <row r="132" spans="1:1">
      <c r="A132" s="287" t="s">
        <v>410</v>
      </c>
    </row>
    <row r="133" spans="1:1">
      <c r="A133" s="287" t="s">
        <v>411</v>
      </c>
    </row>
    <row r="135" spans="1:1">
      <c r="A135" s="287" t="s">
        <v>412</v>
      </c>
    </row>
    <row r="137" spans="1:1">
      <c r="A137" s="296"/>
    </row>
  </sheetData>
  <mergeCells count="20">
    <mergeCell ref="E16:G16"/>
    <mergeCell ref="A1:J1"/>
    <mergeCell ref="A6:J6"/>
    <mergeCell ref="A88:J88"/>
    <mergeCell ref="A40:C40"/>
    <mergeCell ref="A7:J7"/>
    <mergeCell ref="A65:J65"/>
    <mergeCell ref="A5:J5"/>
    <mergeCell ref="A17:D17"/>
    <mergeCell ref="A14:J14"/>
    <mergeCell ref="E40:G40"/>
    <mergeCell ref="A10:J10"/>
    <mergeCell ref="A9:J9"/>
    <mergeCell ref="A39:D39"/>
    <mergeCell ref="A15:J15"/>
    <mergeCell ref="A90:J90"/>
    <mergeCell ref="A41:J41"/>
    <mergeCell ref="A89:J89"/>
    <mergeCell ref="A74:J74"/>
    <mergeCell ref="A73:J73"/>
  </mergeCells>
  <pageMargins left="0.7" right="0.7" top="0.75" bottom="0.75" header="0.3" footer="0.3"/>
  <pageSetup paperSize="9"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642"/>
  <sheetViews>
    <sheetView workbookViewId="0">
      <selection activeCell="D5" sqref="D5"/>
    </sheetView>
  </sheetViews>
  <sheetFormatPr baseColWidth="10" defaultColWidth="29.7109375" defaultRowHeight="35.25" customHeight="1"/>
  <cols>
    <col min="1" max="1" width="18.85546875" customWidth="1"/>
    <col min="2" max="2" width="51.5703125" customWidth="1"/>
    <col min="10" max="10" width="54.140625" customWidth="1"/>
  </cols>
  <sheetData>
    <row r="1" spans="2:6" ht="51.75" customHeight="1">
      <c r="B1" s="5" t="s">
        <v>413</v>
      </c>
      <c r="C1" s="5" t="s">
        <v>414</v>
      </c>
      <c r="D1" s="339"/>
      <c r="E1" s="339"/>
      <c r="F1" s="339"/>
    </row>
    <row r="2" spans="2:6" ht="89.25" customHeight="1">
      <c r="B2" s="13" t="s">
        <v>415</v>
      </c>
      <c r="C2" s="339" t="s">
        <v>416</v>
      </c>
      <c r="D2" s="339"/>
      <c r="E2" s="339"/>
      <c r="F2" s="339"/>
    </row>
    <row r="3" spans="2:6" ht="89.25" customHeight="1">
      <c r="B3" s="339" t="s">
        <v>417</v>
      </c>
      <c r="C3" s="339" t="s">
        <v>418</v>
      </c>
      <c r="D3" s="339"/>
      <c r="E3" s="339"/>
      <c r="F3" s="339"/>
    </row>
    <row r="4" spans="2:6" ht="89.25" customHeight="1">
      <c r="B4" s="7" t="s">
        <v>419</v>
      </c>
      <c r="C4" s="339" t="s">
        <v>420</v>
      </c>
      <c r="D4" s="339"/>
      <c r="E4" s="339"/>
      <c r="F4" s="339"/>
    </row>
    <row r="5" spans="2:6" ht="89.25" customHeight="1">
      <c r="B5" s="339" t="s">
        <v>421</v>
      </c>
      <c r="C5" s="339" t="s">
        <v>422</v>
      </c>
      <c r="D5" s="339"/>
      <c r="E5" s="339"/>
      <c r="F5" s="339"/>
    </row>
    <row r="6" spans="2:6" ht="89.25" customHeight="1">
      <c r="B6" s="339" t="s">
        <v>423</v>
      </c>
      <c r="C6" s="339" t="s">
        <v>418</v>
      </c>
      <c r="D6" s="339"/>
      <c r="E6" s="339"/>
      <c r="F6" s="339"/>
    </row>
    <row r="7" spans="2:6" ht="89.25" customHeight="1">
      <c r="B7" s="339" t="s">
        <v>424</v>
      </c>
      <c r="C7" s="339"/>
      <c r="D7" s="339"/>
      <c r="E7" s="339"/>
      <c r="F7" s="339"/>
    </row>
    <row r="8" spans="2:6" ht="35.25" customHeight="1">
      <c r="B8" s="339"/>
      <c r="C8" s="339"/>
      <c r="D8" s="339"/>
      <c r="E8" s="339"/>
      <c r="F8" s="339"/>
    </row>
    <row r="9" spans="2:6" ht="35.25" customHeight="1">
      <c r="B9" s="339"/>
      <c r="C9" s="339"/>
      <c r="D9" s="339"/>
      <c r="E9" s="339"/>
      <c r="F9" s="339"/>
    </row>
    <row r="10" spans="2:6" ht="35.25" customHeight="1">
      <c r="B10" s="339"/>
      <c r="C10" s="339"/>
      <c r="D10" s="339"/>
      <c r="E10" s="339"/>
      <c r="F10" s="339"/>
    </row>
    <row r="12" spans="2:6" ht="35.25" customHeight="1">
      <c r="F12" s="339" t="s">
        <v>416</v>
      </c>
    </row>
    <row r="13" spans="2:6" ht="35.25" customHeight="1">
      <c r="F13" s="339" t="s">
        <v>418</v>
      </c>
    </row>
    <row r="14" spans="2:6" ht="35.25" customHeight="1">
      <c r="F14" s="339" t="s">
        <v>420</v>
      </c>
    </row>
    <row r="15" spans="2:6" ht="35.25" customHeight="1">
      <c r="B15" s="39" t="s">
        <v>425</v>
      </c>
      <c r="F15" s="339" t="s">
        <v>422</v>
      </c>
    </row>
    <row r="16" spans="2:6" ht="35.25" customHeight="1">
      <c r="B16" s="348" t="s">
        <v>426</v>
      </c>
      <c r="F16" s="339" t="s">
        <v>418</v>
      </c>
    </row>
    <row r="17" spans="2:2" ht="35.25" customHeight="1">
      <c r="B17" s="349"/>
    </row>
    <row r="18" spans="2:2" ht="35.25" customHeight="1">
      <c r="B18" s="39" t="s">
        <v>427</v>
      </c>
    </row>
    <row r="19" spans="2:2" ht="35.25" customHeight="1">
      <c r="B19" s="350" t="s">
        <v>428</v>
      </c>
    </row>
    <row r="21" spans="2:2" ht="35.25" customHeight="1">
      <c r="B21" s="351" t="s">
        <v>429</v>
      </c>
    </row>
    <row r="22" spans="2:2" ht="35.25" customHeight="1">
      <c r="B22" s="352"/>
    </row>
    <row r="23" spans="2:2" ht="35.25" customHeight="1">
      <c r="B23" s="353" t="s">
        <v>430</v>
      </c>
    </row>
    <row r="24" spans="2:2" ht="35.25" customHeight="1">
      <c r="B24" s="353" t="s">
        <v>431</v>
      </c>
    </row>
    <row r="25" spans="2:2" ht="35.25" customHeight="1">
      <c r="B25" s="354"/>
    </row>
    <row r="26" spans="2:2" ht="35.25" customHeight="1">
      <c r="B26" t="s">
        <v>432</v>
      </c>
    </row>
    <row r="28" spans="2:2" ht="35.25" customHeight="1">
      <c r="B28" s="355" t="s">
        <v>433</v>
      </c>
    </row>
    <row r="29" spans="2:2" ht="35.25" customHeight="1">
      <c r="B29" s="350" t="s">
        <v>434</v>
      </c>
    </row>
    <row r="31" spans="2:2" ht="35.25" customHeight="1">
      <c r="B31" t="s">
        <v>435</v>
      </c>
    </row>
    <row r="33" spans="2:5" ht="35.25" customHeight="1">
      <c r="B33" t="s">
        <v>436</v>
      </c>
    </row>
    <row r="35" spans="2:5" ht="35.25" customHeight="1">
      <c r="B35" t="s">
        <v>437</v>
      </c>
    </row>
    <row r="37" spans="2:5" ht="35.25" customHeight="1">
      <c r="B37" s="76" t="s">
        <v>438</v>
      </c>
    </row>
    <row r="38" spans="2:5" ht="35.25" customHeight="1">
      <c r="B38" s="356"/>
      <c r="C38" s="356"/>
      <c r="D38" s="356"/>
      <c r="E38" s="356"/>
    </row>
    <row r="39" spans="2:5" ht="35.25" customHeight="1">
      <c r="B39" s="39" t="s">
        <v>425</v>
      </c>
    </row>
    <row r="50" spans="2:2" ht="35.25" customHeight="1" thickBot="1">
      <c r="B50" s="340" t="s">
        <v>439</v>
      </c>
    </row>
    <row r="51" spans="2:2" ht="35.25" customHeight="1">
      <c r="B51" s="341" t="s">
        <v>440</v>
      </c>
    </row>
    <row r="52" spans="2:2" ht="35.25" customHeight="1">
      <c r="B52" s="342"/>
    </row>
    <row r="53" spans="2:2" ht="35.25" customHeight="1">
      <c r="B53" s="341" t="s">
        <v>441</v>
      </c>
    </row>
    <row r="54" spans="2:2" ht="35.25" customHeight="1">
      <c r="B54" s="342"/>
    </row>
    <row r="55" spans="2:2" ht="35.25" customHeight="1">
      <c r="B55" s="341" t="s">
        <v>442</v>
      </c>
    </row>
    <row r="56" spans="2:2" ht="35.25" customHeight="1">
      <c r="B56" s="39" t="s">
        <v>443</v>
      </c>
    </row>
    <row r="57" spans="2:2" ht="35.25" customHeight="1">
      <c r="B57" s="341" t="s">
        <v>444</v>
      </c>
    </row>
    <row r="58" spans="2:2" ht="35.25" customHeight="1">
      <c r="B58" s="341" t="s">
        <v>445</v>
      </c>
    </row>
    <row r="59" spans="2:2" ht="35.25" customHeight="1">
      <c r="B59" s="342"/>
    </row>
    <row r="60" spans="2:2" ht="35.25" customHeight="1">
      <c r="B60" s="341" t="s">
        <v>446</v>
      </c>
    </row>
    <row r="61" spans="2:2" ht="35.25" customHeight="1">
      <c r="B61" s="342"/>
    </row>
    <row r="62" spans="2:2" ht="35.25" customHeight="1">
      <c r="B62" s="39" t="s">
        <v>447</v>
      </c>
    </row>
    <row r="63" spans="2:2" ht="35.25" customHeight="1">
      <c r="B63" s="341"/>
    </row>
    <row r="64" spans="2:2" ht="35.25" customHeight="1">
      <c r="B64" s="341"/>
    </row>
    <row r="65" spans="2:2" ht="35.25" customHeight="1">
      <c r="B65" s="342"/>
    </row>
    <row r="66" spans="2:2" ht="35.25" customHeight="1">
      <c r="B66" s="39" t="s">
        <v>448</v>
      </c>
    </row>
    <row r="67" spans="2:2" ht="35.25" customHeight="1">
      <c r="B67" s="342"/>
    </row>
    <row r="68" spans="2:2" ht="35.25" customHeight="1">
      <c r="B68" s="341" t="s">
        <v>449</v>
      </c>
    </row>
    <row r="69" spans="2:2" ht="35.25" customHeight="1">
      <c r="B69" s="342"/>
    </row>
    <row r="70" spans="2:2" ht="35.25" customHeight="1">
      <c r="B70" s="341" t="s">
        <v>450</v>
      </c>
    </row>
    <row r="71" spans="2:2" ht="35.25" customHeight="1">
      <c r="B71" s="342"/>
    </row>
    <row r="72" spans="2:2" ht="35.25" customHeight="1">
      <c r="B72" s="39" t="s">
        <v>451</v>
      </c>
    </row>
    <row r="73" spans="2:2" ht="35.25" customHeight="1">
      <c r="B73" s="342"/>
    </row>
    <row r="74" spans="2:2" ht="35.25" customHeight="1">
      <c r="B74" s="341" t="s">
        <v>452</v>
      </c>
    </row>
    <row r="75" spans="2:2" ht="35.25" customHeight="1">
      <c r="B75" s="342"/>
    </row>
    <row r="76" spans="2:2" ht="35.25" customHeight="1">
      <c r="B76" s="39" t="s">
        <v>453</v>
      </c>
    </row>
    <row r="77" spans="2:2" ht="35.25" customHeight="1">
      <c r="B77" s="342"/>
    </row>
    <row r="78" spans="2:2" ht="35.25" customHeight="1">
      <c r="B78" s="341" t="s">
        <v>454</v>
      </c>
    </row>
    <row r="79" spans="2:2" ht="35.25" customHeight="1">
      <c r="B79" s="342"/>
    </row>
    <row r="80" spans="2:2" ht="35.25" customHeight="1">
      <c r="B80" s="39" t="s">
        <v>455</v>
      </c>
    </row>
    <row r="81" spans="2:2" ht="35.25" customHeight="1">
      <c r="B81" s="342"/>
    </row>
    <row r="82" spans="2:2" ht="35.25" customHeight="1">
      <c r="B82" s="341" t="s">
        <v>456</v>
      </c>
    </row>
    <row r="83" spans="2:2" ht="35.25" customHeight="1">
      <c r="B83" s="342"/>
    </row>
    <row r="84" spans="2:2" ht="35.25" customHeight="1">
      <c r="B84" s="341" t="s">
        <v>457</v>
      </c>
    </row>
    <row r="85" spans="2:2" ht="35.25" customHeight="1">
      <c r="B85" s="341"/>
    </row>
    <row r="86" spans="2:2" ht="35.25" customHeight="1">
      <c r="B86" s="341"/>
    </row>
    <row r="87" spans="2:2" ht="35.25" customHeight="1">
      <c r="B87" s="342"/>
    </row>
    <row r="88" spans="2:2" ht="35.25" customHeight="1">
      <c r="B88" s="342"/>
    </row>
    <row r="89" spans="2:2" ht="35.25" customHeight="1">
      <c r="B89" s="341" t="s">
        <v>458</v>
      </c>
    </row>
    <row r="90" spans="2:2" ht="35.25" customHeight="1">
      <c r="B90" s="342"/>
    </row>
    <row r="91" spans="2:2" ht="35.25" customHeight="1">
      <c r="B91" s="341" t="s">
        <v>459</v>
      </c>
    </row>
    <row r="92" spans="2:2" ht="35.25" customHeight="1">
      <c r="B92" s="341"/>
    </row>
    <row r="93" spans="2:2" ht="35.25" customHeight="1">
      <c r="B93" s="341"/>
    </row>
    <row r="94" spans="2:2" ht="35.25" customHeight="1">
      <c r="B94" s="341"/>
    </row>
    <row r="95" spans="2:2" ht="35.25" customHeight="1">
      <c r="B95" s="341"/>
    </row>
    <row r="96" spans="2:2" ht="35.25" customHeight="1">
      <c r="B96" s="342"/>
    </row>
    <row r="97" spans="2:2" ht="35.25" customHeight="1">
      <c r="B97" s="341" t="s">
        <v>460</v>
      </c>
    </row>
    <row r="98" spans="2:2" ht="35.25" customHeight="1">
      <c r="B98" s="342"/>
    </row>
    <row r="99" spans="2:2" ht="35.25" customHeight="1">
      <c r="B99" s="341" t="s">
        <v>461</v>
      </c>
    </row>
    <row r="100" spans="2:2" ht="35.25" customHeight="1">
      <c r="B100" s="342"/>
    </row>
    <row r="101" spans="2:2" ht="35.25" customHeight="1">
      <c r="B101" s="341" t="s">
        <v>462</v>
      </c>
    </row>
    <row r="102" spans="2:2" ht="35.25" customHeight="1">
      <c r="B102" s="342"/>
    </row>
    <row r="103" spans="2:2" ht="35.25" customHeight="1">
      <c r="B103" s="341" t="s">
        <v>463</v>
      </c>
    </row>
    <row r="104" spans="2:2" ht="35.25" customHeight="1">
      <c r="B104" s="341"/>
    </row>
    <row r="105" spans="2:2" ht="35.25" customHeight="1">
      <c r="B105" s="341"/>
    </row>
    <row r="106" spans="2:2" ht="35.25" customHeight="1">
      <c r="B106" s="342"/>
    </row>
    <row r="107" spans="2:2" ht="35.25" customHeight="1">
      <c r="B107" s="341" t="s">
        <v>464</v>
      </c>
    </row>
    <row r="108" spans="2:2" ht="35.25" customHeight="1">
      <c r="B108" s="341"/>
    </row>
    <row r="109" spans="2:2" ht="35.25" customHeight="1">
      <c r="B109" s="341"/>
    </row>
    <row r="110" spans="2:2" ht="35.25" customHeight="1">
      <c r="B110" s="342"/>
    </row>
    <row r="111" spans="2:2" ht="35.25" customHeight="1">
      <c r="B111" s="341" t="s">
        <v>465</v>
      </c>
    </row>
    <row r="112" spans="2:2" ht="35.25" customHeight="1">
      <c r="B112" s="341"/>
    </row>
    <row r="113" spans="2:2" ht="35.25" customHeight="1">
      <c r="B113" s="341"/>
    </row>
    <row r="114" spans="2:2" ht="35.25" customHeight="1">
      <c r="B114" s="342"/>
    </row>
    <row r="115" spans="2:2" ht="35.25" customHeight="1">
      <c r="B115" s="341" t="s">
        <v>466</v>
      </c>
    </row>
    <row r="116" spans="2:2" ht="35.25" customHeight="1">
      <c r="B116" s="341"/>
    </row>
    <row r="117" spans="2:2" ht="35.25" customHeight="1">
      <c r="B117" s="341"/>
    </row>
    <row r="118" spans="2:2" ht="35.25" customHeight="1">
      <c r="B118" s="342"/>
    </row>
    <row r="119" spans="2:2" ht="35.25" customHeight="1">
      <c r="B119" s="341" t="s">
        <v>467</v>
      </c>
    </row>
    <row r="120" spans="2:2" ht="35.25" customHeight="1">
      <c r="B120" s="341"/>
    </row>
    <row r="121" spans="2:2" ht="35.25" customHeight="1">
      <c r="B121" s="341"/>
    </row>
    <row r="122" spans="2:2" ht="35.25" customHeight="1">
      <c r="B122" s="342"/>
    </row>
    <row r="123" spans="2:2" ht="35.25" customHeight="1">
      <c r="B123" s="342"/>
    </row>
    <row r="124" spans="2:2" ht="35.25" customHeight="1">
      <c r="B124" s="341" t="s">
        <v>468</v>
      </c>
    </row>
    <row r="125" spans="2:2" ht="35.25" customHeight="1">
      <c r="B125" s="342"/>
    </row>
    <row r="126" spans="2:2" ht="35.25" customHeight="1">
      <c r="B126" s="341" t="s">
        <v>469</v>
      </c>
    </row>
    <row r="127" spans="2:2" ht="35.25" customHeight="1">
      <c r="B127" s="343"/>
    </row>
    <row r="128" spans="2:2" ht="35.25" customHeight="1" thickBot="1">
      <c r="B128" s="344" t="s">
        <v>470</v>
      </c>
    </row>
    <row r="129" spans="2:2" ht="35.25" customHeight="1" thickBot="1">
      <c r="B129" s="345" t="s">
        <v>471</v>
      </c>
    </row>
    <row r="130" spans="2:2" ht="35.25" customHeight="1">
      <c r="B130" s="341" t="s">
        <v>472</v>
      </c>
    </row>
    <row r="131" spans="2:2" ht="35.25" customHeight="1">
      <c r="B131" s="343"/>
    </row>
    <row r="132" spans="2:2" ht="35.25" customHeight="1" thickBot="1">
      <c r="B132" s="344" t="s">
        <v>470</v>
      </c>
    </row>
    <row r="133" spans="2:2" ht="35.25" customHeight="1" thickBot="1">
      <c r="B133" s="345" t="s">
        <v>473</v>
      </c>
    </row>
    <row r="134" spans="2:2" ht="35.25" customHeight="1" thickBot="1">
      <c r="B134" s="346" t="s">
        <v>474</v>
      </c>
    </row>
    <row r="135" spans="2:2" ht="35.25" customHeight="1">
      <c r="B135" s="39" t="s">
        <v>475</v>
      </c>
    </row>
    <row r="136" spans="2:2" ht="35.25" customHeight="1">
      <c r="B136" s="343"/>
    </row>
    <row r="137" spans="2:2" ht="35.25" customHeight="1">
      <c r="B137" s="344" t="s">
        <v>470</v>
      </c>
    </row>
    <row r="138" spans="2:2" ht="35.25" customHeight="1">
      <c r="B138" s="39" t="s">
        <v>476</v>
      </c>
    </row>
    <row r="139" spans="2:2" ht="35.25" customHeight="1">
      <c r="B139" s="341" t="s">
        <v>477</v>
      </c>
    </row>
    <row r="140" spans="2:2" ht="35.25" customHeight="1">
      <c r="B140" s="343"/>
    </row>
    <row r="141" spans="2:2" ht="35.25" customHeight="1" thickBot="1">
      <c r="B141" s="344" t="s">
        <v>470</v>
      </c>
    </row>
    <row r="142" spans="2:2" ht="35.25" customHeight="1" thickBot="1">
      <c r="B142" s="346" t="s">
        <v>478</v>
      </c>
    </row>
    <row r="143" spans="2:2" ht="35.25" customHeight="1" thickBot="1">
      <c r="B143" s="346" t="s">
        <v>479</v>
      </c>
    </row>
    <row r="144" spans="2:2" ht="35.25" customHeight="1" thickBot="1">
      <c r="B144" s="346" t="s">
        <v>480</v>
      </c>
    </row>
    <row r="145" spans="2:2" ht="35.25" customHeight="1" thickBot="1">
      <c r="B145" s="346" t="s">
        <v>481</v>
      </c>
    </row>
    <row r="146" spans="2:2" ht="35.25" customHeight="1" thickBot="1">
      <c r="B146" s="346" t="s">
        <v>482</v>
      </c>
    </row>
    <row r="147" spans="2:2" ht="35.25" customHeight="1" thickBot="1">
      <c r="B147" s="346" t="s">
        <v>483</v>
      </c>
    </row>
    <row r="148" spans="2:2" ht="35.25" customHeight="1" thickBot="1">
      <c r="B148" s="346" t="s">
        <v>484</v>
      </c>
    </row>
    <row r="149" spans="2:2" ht="35.25" customHeight="1" thickBot="1">
      <c r="B149" s="346" t="s">
        <v>485</v>
      </c>
    </row>
    <row r="150" spans="2:2" ht="35.25" customHeight="1" thickBot="1">
      <c r="B150" s="347" t="s">
        <v>486</v>
      </c>
    </row>
    <row r="151" spans="2:2" ht="35.25" customHeight="1" thickBot="1">
      <c r="B151" s="346" t="s">
        <v>487</v>
      </c>
    </row>
    <row r="152" spans="2:2" ht="35.25" customHeight="1" thickBot="1">
      <c r="B152" s="345" t="s">
        <v>488</v>
      </c>
    </row>
    <row r="153" spans="2:2" ht="35.25" customHeight="1" thickBot="1">
      <c r="B153" s="346" t="s">
        <v>482</v>
      </c>
    </row>
    <row r="154" spans="2:2" ht="35.25" customHeight="1" thickBot="1">
      <c r="B154" s="346" t="s">
        <v>483</v>
      </c>
    </row>
    <row r="155" spans="2:2" ht="35.25" customHeight="1" thickBot="1">
      <c r="B155" s="346" t="s">
        <v>489</v>
      </c>
    </row>
    <row r="156" spans="2:2" ht="35.25" customHeight="1" thickBot="1">
      <c r="B156" s="346" t="s">
        <v>490</v>
      </c>
    </row>
    <row r="157" spans="2:2" ht="35.25" customHeight="1" thickBot="1">
      <c r="B157" s="347" t="s">
        <v>486</v>
      </c>
    </row>
    <row r="158" spans="2:2" ht="35.25" customHeight="1" thickBot="1">
      <c r="B158" s="346" t="s">
        <v>491</v>
      </c>
    </row>
    <row r="159" spans="2:2" ht="35.25" customHeight="1" thickBot="1">
      <c r="B159" s="345" t="s">
        <v>488</v>
      </c>
    </row>
    <row r="160" spans="2:2" ht="35.25" customHeight="1" thickBot="1">
      <c r="B160" s="346" t="s">
        <v>482</v>
      </c>
    </row>
    <row r="161" spans="2:2" ht="35.25" customHeight="1" thickBot="1">
      <c r="B161" s="346" t="s">
        <v>483</v>
      </c>
    </row>
    <row r="162" spans="2:2" ht="35.25" customHeight="1" thickBot="1">
      <c r="B162" s="346" t="s">
        <v>492</v>
      </c>
    </row>
    <row r="163" spans="2:2" ht="35.25" customHeight="1" thickBot="1">
      <c r="B163" s="346" t="s">
        <v>493</v>
      </c>
    </row>
    <row r="164" spans="2:2" ht="35.25" customHeight="1" thickBot="1">
      <c r="B164" s="347" t="s">
        <v>486</v>
      </c>
    </row>
    <row r="165" spans="2:2" ht="35.25" customHeight="1" thickBot="1">
      <c r="B165" s="346" t="s">
        <v>494</v>
      </c>
    </row>
    <row r="166" spans="2:2" ht="35.25" customHeight="1" thickBot="1">
      <c r="B166" s="345" t="s">
        <v>488</v>
      </c>
    </row>
    <row r="167" spans="2:2" ht="35.25" customHeight="1" thickBot="1">
      <c r="B167" s="346" t="s">
        <v>482</v>
      </c>
    </row>
    <row r="168" spans="2:2" ht="35.25" customHeight="1" thickBot="1">
      <c r="B168" s="346" t="s">
        <v>483</v>
      </c>
    </row>
    <row r="169" spans="2:2" ht="35.25" customHeight="1" thickBot="1">
      <c r="B169" s="346" t="s">
        <v>495</v>
      </c>
    </row>
    <row r="170" spans="2:2" ht="35.25" customHeight="1" thickBot="1">
      <c r="B170" s="346" t="s">
        <v>496</v>
      </c>
    </row>
    <row r="171" spans="2:2" ht="35.25" customHeight="1" thickBot="1">
      <c r="B171" s="347" t="s">
        <v>486</v>
      </c>
    </row>
    <row r="172" spans="2:2" ht="35.25" customHeight="1" thickBot="1">
      <c r="B172" s="346" t="s">
        <v>497</v>
      </c>
    </row>
    <row r="173" spans="2:2" ht="35.25" customHeight="1" thickBot="1">
      <c r="B173" s="345" t="s">
        <v>488</v>
      </c>
    </row>
    <row r="174" spans="2:2" ht="35.25" customHeight="1" thickBot="1">
      <c r="B174" s="346" t="s">
        <v>482</v>
      </c>
    </row>
    <row r="175" spans="2:2" ht="35.25" customHeight="1" thickBot="1">
      <c r="B175" s="346" t="s">
        <v>483</v>
      </c>
    </row>
    <row r="176" spans="2:2" ht="35.25" customHeight="1" thickBot="1">
      <c r="B176" s="346" t="s">
        <v>498</v>
      </c>
    </row>
    <row r="177" spans="2:2" ht="35.25" customHeight="1" thickBot="1">
      <c r="B177" s="346" t="s">
        <v>499</v>
      </c>
    </row>
    <row r="178" spans="2:2" ht="35.25" customHeight="1" thickBot="1">
      <c r="B178" s="347" t="s">
        <v>486</v>
      </c>
    </row>
    <row r="179" spans="2:2" ht="35.25" customHeight="1" thickBot="1">
      <c r="B179" s="346" t="s">
        <v>500</v>
      </c>
    </row>
    <row r="180" spans="2:2" ht="35.25" customHeight="1" thickBot="1">
      <c r="B180" s="345" t="s">
        <v>488</v>
      </c>
    </row>
    <row r="181" spans="2:2" ht="35.25" customHeight="1" thickBot="1">
      <c r="B181" s="346" t="s">
        <v>482</v>
      </c>
    </row>
    <row r="182" spans="2:2" ht="35.25" customHeight="1" thickBot="1">
      <c r="B182" s="346" t="s">
        <v>483</v>
      </c>
    </row>
    <row r="183" spans="2:2" ht="35.25" customHeight="1" thickBot="1">
      <c r="B183" s="346" t="s">
        <v>501</v>
      </c>
    </row>
    <row r="184" spans="2:2" ht="35.25" customHeight="1" thickBot="1">
      <c r="B184" s="346" t="s">
        <v>502</v>
      </c>
    </row>
    <row r="185" spans="2:2" ht="35.25" customHeight="1" thickBot="1">
      <c r="B185" s="347" t="s">
        <v>486</v>
      </c>
    </row>
    <row r="186" spans="2:2" ht="35.25" customHeight="1" thickBot="1">
      <c r="B186" s="346" t="s">
        <v>503</v>
      </c>
    </row>
    <row r="187" spans="2:2" ht="35.25" customHeight="1" thickBot="1">
      <c r="B187" s="345" t="s">
        <v>488</v>
      </c>
    </row>
    <row r="188" spans="2:2" ht="35.25" customHeight="1" thickBot="1">
      <c r="B188" s="346" t="s">
        <v>482</v>
      </c>
    </row>
    <row r="189" spans="2:2" ht="35.25" customHeight="1" thickBot="1">
      <c r="B189" s="346" t="s">
        <v>483</v>
      </c>
    </row>
    <row r="190" spans="2:2" ht="35.25" customHeight="1" thickBot="1">
      <c r="B190" s="346" t="s">
        <v>504</v>
      </c>
    </row>
    <row r="191" spans="2:2" ht="35.25" customHeight="1" thickBot="1">
      <c r="B191" s="346" t="s">
        <v>505</v>
      </c>
    </row>
    <row r="192" spans="2:2" ht="35.25" customHeight="1" thickBot="1">
      <c r="B192" s="347" t="s">
        <v>486</v>
      </c>
    </row>
    <row r="193" spans="2:2" ht="35.25" customHeight="1" thickBot="1">
      <c r="B193" s="346" t="s">
        <v>506</v>
      </c>
    </row>
    <row r="194" spans="2:2" ht="35.25" customHeight="1" thickBot="1">
      <c r="B194" s="345" t="s">
        <v>488</v>
      </c>
    </row>
    <row r="195" spans="2:2" ht="35.25" customHeight="1" thickBot="1">
      <c r="B195" s="346" t="s">
        <v>482</v>
      </c>
    </row>
    <row r="196" spans="2:2" ht="35.25" customHeight="1" thickBot="1">
      <c r="B196" s="346" t="s">
        <v>483</v>
      </c>
    </row>
    <row r="197" spans="2:2" ht="35.25" customHeight="1" thickBot="1">
      <c r="B197" s="346" t="s">
        <v>507</v>
      </c>
    </row>
    <row r="198" spans="2:2" ht="35.25" customHeight="1" thickBot="1">
      <c r="B198" s="346" t="s">
        <v>508</v>
      </c>
    </row>
    <row r="199" spans="2:2" ht="35.25" customHeight="1" thickBot="1">
      <c r="B199" s="347" t="s">
        <v>486</v>
      </c>
    </row>
    <row r="200" spans="2:2" ht="35.25" customHeight="1" thickBot="1">
      <c r="B200" s="346" t="s">
        <v>500</v>
      </c>
    </row>
    <row r="201" spans="2:2" ht="35.25" customHeight="1" thickBot="1">
      <c r="B201" s="345" t="s">
        <v>488</v>
      </c>
    </row>
    <row r="202" spans="2:2" ht="35.25" customHeight="1" thickBot="1">
      <c r="B202" s="346" t="s">
        <v>482</v>
      </c>
    </row>
    <row r="203" spans="2:2" ht="35.25" customHeight="1" thickBot="1">
      <c r="B203" s="346" t="s">
        <v>483</v>
      </c>
    </row>
    <row r="204" spans="2:2" ht="35.25" customHeight="1" thickBot="1">
      <c r="B204" s="346" t="s">
        <v>509</v>
      </c>
    </row>
    <row r="205" spans="2:2" ht="35.25" customHeight="1" thickBot="1">
      <c r="B205" s="346" t="s">
        <v>510</v>
      </c>
    </row>
    <row r="206" spans="2:2" ht="35.25" customHeight="1" thickBot="1">
      <c r="B206" s="347" t="s">
        <v>486</v>
      </c>
    </row>
    <row r="207" spans="2:2" ht="35.25" customHeight="1" thickBot="1">
      <c r="B207" s="346" t="s">
        <v>511</v>
      </c>
    </row>
    <row r="208" spans="2:2" ht="35.25" customHeight="1" thickBot="1">
      <c r="B208" s="345" t="s">
        <v>512</v>
      </c>
    </row>
    <row r="209" spans="2:2" ht="35.25" customHeight="1" thickBot="1">
      <c r="B209" s="346" t="s">
        <v>513</v>
      </c>
    </row>
    <row r="210" spans="2:2" ht="35.25" customHeight="1" thickBot="1">
      <c r="B210" s="346" t="s">
        <v>514</v>
      </c>
    </row>
    <row r="211" spans="2:2" ht="35.25" customHeight="1" thickBot="1">
      <c r="B211" s="345" t="s">
        <v>515</v>
      </c>
    </row>
    <row r="212" spans="2:2" ht="35.25" customHeight="1" thickBot="1">
      <c r="B212" s="346" t="s">
        <v>516</v>
      </c>
    </row>
    <row r="213" spans="2:2" ht="35.25" customHeight="1">
      <c r="B213" s="341" t="s">
        <v>517</v>
      </c>
    </row>
    <row r="228" spans="2:2" ht="35.25" customHeight="1">
      <c r="B228" s="355" t="s">
        <v>518</v>
      </c>
    </row>
    <row r="229" spans="2:2" ht="35.25" customHeight="1">
      <c r="B229" s="355" t="s">
        <v>519</v>
      </c>
    </row>
    <row r="230" spans="2:2" ht="35.25" customHeight="1">
      <c r="B230" s="357" t="s">
        <v>520</v>
      </c>
    </row>
    <row r="231" spans="2:2" ht="35.25" customHeight="1">
      <c r="B231" s="75" t="s">
        <v>521</v>
      </c>
    </row>
    <row r="232" spans="2:2" ht="35.25" customHeight="1">
      <c r="B232" s="358" t="s">
        <v>522</v>
      </c>
    </row>
    <row r="233" spans="2:2" ht="35.25" customHeight="1">
      <c r="B233" s="75"/>
    </row>
    <row r="234" spans="2:2" ht="35.25" customHeight="1">
      <c r="B234" s="75" t="s">
        <v>523</v>
      </c>
    </row>
    <row r="235" spans="2:2" ht="35.25" customHeight="1">
      <c r="B235" s="75"/>
    </row>
    <row r="236" spans="2:2" ht="35.25" customHeight="1">
      <c r="B236" s="359" t="s">
        <v>524</v>
      </c>
    </row>
    <row r="237" spans="2:2" ht="35.25" customHeight="1">
      <c r="B237" s="39" t="s">
        <v>525</v>
      </c>
    </row>
    <row r="238" spans="2:2" ht="35.25" customHeight="1">
      <c r="B238" s="75"/>
    </row>
    <row r="239" spans="2:2" ht="35.25" customHeight="1">
      <c r="B239" s="359" t="s">
        <v>526</v>
      </c>
    </row>
    <row r="240" spans="2:2" ht="35.25" customHeight="1">
      <c r="B240" s="75"/>
    </row>
    <row r="241" spans="2:2" ht="35.25" customHeight="1">
      <c r="B241" s="359" t="s">
        <v>527</v>
      </c>
    </row>
    <row r="242" spans="2:2" ht="35.25" customHeight="1">
      <c r="B242" s="75"/>
    </row>
    <row r="243" spans="2:2" ht="35.25" customHeight="1">
      <c r="B243" s="359" t="s">
        <v>528</v>
      </c>
    </row>
    <row r="244" spans="2:2" ht="35.25" customHeight="1">
      <c r="B244" s="39" t="s">
        <v>529</v>
      </c>
    </row>
    <row r="245" spans="2:2" ht="35.25" customHeight="1">
      <c r="B245" s="75"/>
    </row>
    <row r="246" spans="2:2" ht="35.25" customHeight="1">
      <c r="B246" s="359" t="s">
        <v>530</v>
      </c>
    </row>
    <row r="247" spans="2:2" ht="35.25" customHeight="1">
      <c r="B247" s="360"/>
    </row>
    <row r="248" spans="2:2" ht="35.25" customHeight="1">
      <c r="B248" s="361" t="s">
        <v>531</v>
      </c>
    </row>
    <row r="249" spans="2:2" ht="35.25" customHeight="1">
      <c r="B249" s="361" t="s">
        <v>532</v>
      </c>
    </row>
    <row r="250" spans="2:2" ht="35.25" customHeight="1">
      <c r="B250" s="361" t="s">
        <v>533</v>
      </c>
    </row>
    <row r="251" spans="2:2" ht="35.25" customHeight="1">
      <c r="B251" s="361" t="s">
        <v>534</v>
      </c>
    </row>
    <row r="252" spans="2:2" ht="35.25" customHeight="1">
      <c r="B252" s="75"/>
    </row>
    <row r="253" spans="2:2" ht="35.25" customHeight="1">
      <c r="B253" s="75" t="s">
        <v>535</v>
      </c>
    </row>
    <row r="254" spans="2:2" ht="35.25" customHeight="1">
      <c r="B254" s="75"/>
    </row>
    <row r="255" spans="2:2" ht="35.25" customHeight="1">
      <c r="B255" s="75" t="s">
        <v>536</v>
      </c>
    </row>
    <row r="256" spans="2:2" ht="35.25" customHeight="1">
      <c r="B256" s="75"/>
    </row>
    <row r="257" spans="2:2" ht="35.25" customHeight="1" thickBot="1">
      <c r="B257" s="362" t="s">
        <v>537</v>
      </c>
    </row>
    <row r="258" spans="2:2" ht="35.25" customHeight="1" thickTop="1" thickBot="1">
      <c r="B258" s="363"/>
    </row>
    <row r="259" spans="2:2" ht="35.25" customHeight="1" thickTop="1" thickBot="1">
      <c r="B259" s="363"/>
    </row>
    <row r="260" spans="2:2" ht="35.25" customHeight="1" thickTop="1">
      <c r="B260" s="357" t="s">
        <v>520</v>
      </c>
    </row>
    <row r="261" spans="2:2" ht="35.25" customHeight="1">
      <c r="B261" s="75" t="s">
        <v>538</v>
      </c>
    </row>
    <row r="262" spans="2:2" ht="35.25" customHeight="1">
      <c r="B262" s="358" t="s">
        <v>522</v>
      </c>
    </row>
    <row r="263" spans="2:2" ht="35.25" customHeight="1">
      <c r="B263" s="268"/>
    </row>
    <row r="264" spans="2:2" ht="35.25" customHeight="1">
      <c r="B264" s="39" t="s">
        <v>539</v>
      </c>
    </row>
    <row r="265" spans="2:2" ht="35.25" customHeight="1">
      <c r="B265" s="39" t="s">
        <v>540</v>
      </c>
    </row>
    <row r="266" spans="2:2" ht="35.25" customHeight="1">
      <c r="B266" s="268"/>
    </row>
    <row r="267" spans="2:2" ht="35.25" customHeight="1">
      <c r="B267" s="39" t="s">
        <v>439</v>
      </c>
    </row>
    <row r="268" spans="2:2" ht="35.25" customHeight="1">
      <c r="B268" s="39" t="s">
        <v>541</v>
      </c>
    </row>
    <row r="269" spans="2:2" ht="35.25" customHeight="1">
      <c r="B269" s="75"/>
    </row>
    <row r="270" spans="2:2" ht="35.25" customHeight="1">
      <c r="B270" s="75" t="s">
        <v>542</v>
      </c>
    </row>
    <row r="271" spans="2:2" ht="35.25" customHeight="1">
      <c r="B271" s="75"/>
    </row>
    <row r="272" spans="2:2" ht="35.25" customHeight="1">
      <c r="B272" s="359" t="s">
        <v>543</v>
      </c>
    </row>
    <row r="273" spans="2:2" ht="35.25" customHeight="1">
      <c r="B273" s="342"/>
    </row>
    <row r="274" spans="2:2" ht="35.25" customHeight="1">
      <c r="B274" s="361" t="s">
        <v>544</v>
      </c>
    </row>
    <row r="275" spans="2:2" ht="35.25" customHeight="1">
      <c r="B275" s="39" t="s">
        <v>545</v>
      </c>
    </row>
    <row r="276" spans="2:2" ht="35.25" customHeight="1">
      <c r="B276" s="342"/>
    </row>
    <row r="277" spans="2:2" ht="35.25" customHeight="1">
      <c r="B277" s="361" t="s">
        <v>546</v>
      </c>
    </row>
    <row r="278" spans="2:2" ht="35.25" customHeight="1">
      <c r="B278" s="39" t="s">
        <v>545</v>
      </c>
    </row>
    <row r="279" spans="2:2" ht="35.25" customHeight="1">
      <c r="B279" s="75"/>
    </row>
    <row r="280" spans="2:2" ht="35.25" customHeight="1">
      <c r="B280" s="359" t="s">
        <v>547</v>
      </c>
    </row>
    <row r="281" spans="2:2" ht="35.25" customHeight="1">
      <c r="B281" s="360"/>
    </row>
    <row r="282" spans="2:2" ht="35.25" customHeight="1">
      <c r="B282" s="361" t="s">
        <v>548</v>
      </c>
    </row>
    <row r="283" spans="2:2" ht="35.25" customHeight="1">
      <c r="B283" s="75"/>
    </row>
    <row r="284" spans="2:2" ht="35.25" customHeight="1">
      <c r="B284" s="359" t="s">
        <v>549</v>
      </c>
    </row>
    <row r="285" spans="2:2" ht="35.25" customHeight="1">
      <c r="B285" s="360"/>
    </row>
    <row r="286" spans="2:2" ht="35.25" customHeight="1">
      <c r="B286" s="361" t="s">
        <v>550</v>
      </c>
    </row>
    <row r="287" spans="2:2" ht="35.25" customHeight="1">
      <c r="B287" s="39" t="s">
        <v>545</v>
      </c>
    </row>
    <row r="288" spans="2:2" ht="35.25" customHeight="1">
      <c r="B288" s="75"/>
    </row>
    <row r="289" spans="2:2" ht="35.25" customHeight="1">
      <c r="B289" s="359" t="s">
        <v>551</v>
      </c>
    </row>
    <row r="290" spans="2:2" ht="35.25" customHeight="1">
      <c r="B290" s="360"/>
    </row>
    <row r="291" spans="2:2" ht="35.25" customHeight="1">
      <c r="B291" s="361" t="s">
        <v>552</v>
      </c>
    </row>
    <row r="292" spans="2:2" ht="35.25" customHeight="1">
      <c r="B292" s="39" t="s">
        <v>545</v>
      </c>
    </row>
    <row r="293" spans="2:2" ht="35.25" customHeight="1">
      <c r="B293" s="75"/>
    </row>
    <row r="294" spans="2:2" ht="35.25" customHeight="1">
      <c r="B294" s="75" t="s">
        <v>553</v>
      </c>
    </row>
    <row r="295" spans="2:2" ht="35.25" customHeight="1">
      <c r="B295" s="75"/>
    </row>
    <row r="296" spans="2:2" ht="35.25" customHeight="1" thickBot="1">
      <c r="B296" s="362" t="s">
        <v>537</v>
      </c>
    </row>
    <row r="297" spans="2:2" ht="35.25" customHeight="1" thickTop="1" thickBot="1">
      <c r="B297" s="363"/>
    </row>
    <row r="298" spans="2:2" ht="35.25" customHeight="1" thickTop="1">
      <c r="B298" s="357" t="s">
        <v>520</v>
      </c>
    </row>
    <row r="299" spans="2:2" ht="35.25" customHeight="1">
      <c r="B299" s="75" t="s">
        <v>554</v>
      </c>
    </row>
    <row r="300" spans="2:2" ht="35.25" customHeight="1">
      <c r="B300" s="358" t="s">
        <v>522</v>
      </c>
    </row>
    <row r="301" spans="2:2" ht="35.25" customHeight="1">
      <c r="B301" s="75"/>
    </row>
    <row r="302" spans="2:2" ht="35.25" customHeight="1">
      <c r="B302" s="75" t="s">
        <v>555</v>
      </c>
    </row>
    <row r="303" spans="2:2" ht="35.25" customHeight="1">
      <c r="B303" s="75"/>
    </row>
    <row r="304" spans="2:2" ht="35.25" customHeight="1">
      <c r="B304" s="75"/>
    </row>
    <row r="305" spans="2:2" ht="35.25" customHeight="1">
      <c r="B305" s="75"/>
    </row>
    <row r="307" spans="2:2" ht="35.25" customHeight="1">
      <c r="B307" s="75"/>
    </row>
    <row r="308" spans="2:2" ht="35.25" customHeight="1">
      <c r="B308" s="75"/>
    </row>
    <row r="309" spans="2:2" ht="35.25" customHeight="1">
      <c r="B309" s="75"/>
    </row>
    <row r="310" spans="2:2" ht="35.25" customHeight="1">
      <c r="B310" s="364" t="s">
        <v>556</v>
      </c>
    </row>
    <row r="311" spans="2:2" ht="35.25" customHeight="1">
      <c r="B311" s="75"/>
    </row>
    <row r="312" spans="2:2" ht="35.25" customHeight="1">
      <c r="B312" s="359" t="s">
        <v>557</v>
      </c>
    </row>
    <row r="313" spans="2:2" ht="35.25" customHeight="1">
      <c r="B313" s="75"/>
    </row>
    <row r="314" spans="2:2" ht="35.25" customHeight="1">
      <c r="B314" s="365" t="s">
        <v>558</v>
      </c>
    </row>
    <row r="315" spans="2:2" ht="35.25" customHeight="1">
      <c r="B315" s="342"/>
    </row>
    <row r="316" spans="2:2" ht="35.25" customHeight="1">
      <c r="B316" s="361" t="s">
        <v>559</v>
      </c>
    </row>
    <row r="317" spans="2:2" ht="35.25" customHeight="1">
      <c r="B317" s="342" t="s">
        <v>560</v>
      </c>
    </row>
    <row r="318" spans="2:2" ht="35.25" customHeight="1">
      <c r="B318" s="342" t="s">
        <v>561</v>
      </c>
    </row>
    <row r="319" spans="2:2" ht="35.25" customHeight="1">
      <c r="B319" s="342"/>
    </row>
    <row r="320" spans="2:2" ht="35.25" customHeight="1">
      <c r="B320" s="361" t="s">
        <v>562</v>
      </c>
    </row>
    <row r="321" spans="2:2" ht="35.25" customHeight="1">
      <c r="B321" s="342"/>
    </row>
    <row r="322" spans="2:2" ht="35.25" customHeight="1">
      <c r="B322" s="343" t="s">
        <v>563</v>
      </c>
    </row>
    <row r="323" spans="2:2" ht="35.25" customHeight="1">
      <c r="B323" s="343" t="s">
        <v>564</v>
      </c>
    </row>
    <row r="324" spans="2:2" ht="35.25" customHeight="1">
      <c r="B324" s="343" t="s">
        <v>565</v>
      </c>
    </row>
    <row r="325" spans="2:2" ht="35.25" customHeight="1">
      <c r="B325" s="361" t="s">
        <v>566</v>
      </c>
    </row>
    <row r="326" spans="2:2" ht="35.25" customHeight="1">
      <c r="B326" s="342"/>
    </row>
    <row r="327" spans="2:2" ht="35.25" customHeight="1">
      <c r="B327" s="343" t="s">
        <v>567</v>
      </c>
    </row>
    <row r="328" spans="2:2" ht="35.25" customHeight="1">
      <c r="B328" s="343" t="s">
        <v>568</v>
      </c>
    </row>
    <row r="329" spans="2:2" ht="35.25" customHeight="1">
      <c r="B329" s="343" t="s">
        <v>569</v>
      </c>
    </row>
    <row r="330" spans="2:2" ht="35.25" customHeight="1">
      <c r="B330" s="361" t="s">
        <v>570</v>
      </c>
    </row>
    <row r="331" spans="2:2" ht="35.25" customHeight="1">
      <c r="B331" s="342" t="s">
        <v>571</v>
      </c>
    </row>
    <row r="332" spans="2:2" ht="35.25" customHeight="1">
      <c r="B332" s="268"/>
    </row>
    <row r="333" spans="2:2" ht="35.25" customHeight="1">
      <c r="B333" s="366" t="s">
        <v>572</v>
      </c>
    </row>
    <row r="334" spans="2:2" ht="35.25" customHeight="1">
      <c r="B334" s="366" t="s">
        <v>573</v>
      </c>
    </row>
    <row r="335" spans="2:2" ht="35.25" customHeight="1">
      <c r="B335" s="367" t="s">
        <v>574</v>
      </c>
    </row>
    <row r="336" spans="2:2" ht="35.25" customHeight="1">
      <c r="B336" s="342"/>
    </row>
    <row r="337" spans="2:2" ht="35.25" customHeight="1">
      <c r="B337" s="368"/>
    </row>
    <row r="338" spans="2:2" ht="35.25" customHeight="1">
      <c r="B338" s="369" t="s">
        <v>575</v>
      </c>
    </row>
    <row r="339" spans="2:2" ht="35.25" customHeight="1">
      <c r="B339" s="75"/>
    </row>
    <row r="340" spans="2:2" ht="35.25" customHeight="1">
      <c r="B340" s="75"/>
    </row>
    <row r="341" spans="2:2" ht="35.25" customHeight="1">
      <c r="B341" s="75"/>
    </row>
    <row r="343" spans="2:2" ht="35.25" customHeight="1">
      <c r="B343" s="75"/>
    </row>
    <row r="344" spans="2:2" ht="35.25" customHeight="1">
      <c r="B344" s="75"/>
    </row>
    <row r="345" spans="2:2" ht="35.25" customHeight="1">
      <c r="B345" s="75"/>
    </row>
    <row r="346" spans="2:2" ht="35.25" customHeight="1">
      <c r="B346" s="364" t="s">
        <v>576</v>
      </c>
    </row>
    <row r="347" spans="2:2" ht="35.25" customHeight="1">
      <c r="B347" s="75"/>
    </row>
    <row r="348" spans="2:2" ht="35.25" customHeight="1">
      <c r="B348" s="75" t="s">
        <v>577</v>
      </c>
    </row>
    <row r="349" spans="2:2" ht="35.25" customHeight="1">
      <c r="B349" s="75"/>
    </row>
    <row r="350" spans="2:2" ht="35.25" customHeight="1">
      <c r="B350" s="75" t="s">
        <v>578</v>
      </c>
    </row>
    <row r="351" spans="2:2" ht="35.25" customHeight="1">
      <c r="B351" s="360"/>
    </row>
    <row r="352" spans="2:2" ht="35.25" customHeight="1">
      <c r="B352" s="342" t="s">
        <v>579</v>
      </c>
    </row>
    <row r="353" spans="2:2" ht="35.25" customHeight="1">
      <c r="B353" s="342" t="s">
        <v>580</v>
      </c>
    </row>
    <row r="354" spans="2:2" ht="35.25" customHeight="1">
      <c r="B354" s="75"/>
    </row>
    <row r="355" spans="2:2" ht="35.25" customHeight="1">
      <c r="B355" s="75" t="s">
        <v>581</v>
      </c>
    </row>
    <row r="356" spans="2:2" ht="35.25" customHeight="1">
      <c r="B356" s="360"/>
    </row>
    <row r="357" spans="2:2" ht="35.25" customHeight="1">
      <c r="B357" s="39" t="s">
        <v>582</v>
      </c>
    </row>
    <row r="358" spans="2:2" ht="35.25" customHeight="1">
      <c r="B358" s="342" t="s">
        <v>583</v>
      </c>
    </row>
    <row r="359" spans="2:2" ht="35.25" customHeight="1">
      <c r="B359" s="342" t="s">
        <v>584</v>
      </c>
    </row>
    <row r="360" spans="2:2" ht="35.25" customHeight="1">
      <c r="B360" s="75"/>
    </row>
    <row r="361" spans="2:2" ht="35.25" customHeight="1">
      <c r="B361" s="75" t="s">
        <v>585</v>
      </c>
    </row>
    <row r="362" spans="2:2" ht="35.25" customHeight="1">
      <c r="B362" s="360"/>
    </row>
    <row r="363" spans="2:2" ht="35.25" customHeight="1">
      <c r="B363" s="342" t="s">
        <v>586</v>
      </c>
    </row>
    <row r="364" spans="2:2" ht="35.25" customHeight="1">
      <c r="B364" s="268"/>
    </row>
    <row r="365" spans="2:2" ht="35.25" customHeight="1">
      <c r="B365" s="366" t="s">
        <v>587</v>
      </c>
    </row>
    <row r="366" spans="2:2" ht="35.25" customHeight="1">
      <c r="B366" s="366" t="s">
        <v>573</v>
      </c>
    </row>
    <row r="367" spans="2:2" ht="35.25" customHeight="1">
      <c r="B367" s="370" t="s">
        <v>588</v>
      </c>
    </row>
    <row r="368" spans="2:2" ht="35.25" customHeight="1">
      <c r="B368" s="268"/>
    </row>
    <row r="369" spans="2:2" ht="35.25" customHeight="1">
      <c r="B369" s="371" t="s">
        <v>589</v>
      </c>
    </row>
    <row r="370" spans="2:2" ht="35.25" customHeight="1">
      <c r="B370" s="371" t="s">
        <v>590</v>
      </c>
    </row>
    <row r="371" spans="2:2" ht="35.25" customHeight="1">
      <c r="B371" s="372" t="s">
        <v>591</v>
      </c>
    </row>
    <row r="372" spans="2:2" ht="35.25" customHeight="1">
      <c r="B372" s="75"/>
    </row>
    <row r="373" spans="2:2" ht="35.25" customHeight="1">
      <c r="B373" s="75"/>
    </row>
    <row r="374" spans="2:2" ht="35.25" customHeight="1">
      <c r="B374" s="75"/>
    </row>
    <row r="376" spans="2:2" ht="35.25" customHeight="1">
      <c r="B376" s="75"/>
    </row>
    <row r="377" spans="2:2" ht="35.25" customHeight="1">
      <c r="B377" s="75"/>
    </row>
    <row r="378" spans="2:2" ht="35.25" customHeight="1">
      <c r="B378" s="75"/>
    </row>
    <row r="379" spans="2:2" ht="35.25" customHeight="1">
      <c r="B379" s="364" t="s">
        <v>592</v>
      </c>
    </row>
    <row r="380" spans="2:2" ht="35.25" customHeight="1">
      <c r="B380" s="75"/>
    </row>
    <row r="381" spans="2:2" ht="35.25" customHeight="1">
      <c r="B381" s="75" t="s">
        <v>593</v>
      </c>
    </row>
    <row r="382" spans="2:2" ht="35.25" customHeight="1">
      <c r="B382" s="268"/>
    </row>
    <row r="383" spans="2:2" ht="35.25" customHeight="1">
      <c r="B383" s="357" t="s">
        <v>520</v>
      </c>
    </row>
    <row r="384" spans="2:2" ht="35.25" customHeight="1">
      <c r="B384" s="75" t="s">
        <v>594</v>
      </c>
    </row>
    <row r="385" spans="2:2" ht="35.25" customHeight="1">
      <c r="B385" s="358" t="s">
        <v>522</v>
      </c>
    </row>
    <row r="386" spans="2:2" ht="35.25" customHeight="1">
      <c r="B386" s="39" t="s">
        <v>595</v>
      </c>
    </row>
    <row r="387" spans="2:2" ht="35.25" customHeight="1">
      <c r="B387" s="39" t="s">
        <v>596</v>
      </c>
    </row>
    <row r="388" spans="2:2" ht="35.25" customHeight="1">
      <c r="B388" s="75"/>
    </row>
    <row r="389" spans="2:2" ht="35.25" customHeight="1">
      <c r="B389" s="75" t="s">
        <v>597</v>
      </c>
    </row>
    <row r="390" spans="2:2" ht="35.25" customHeight="1">
      <c r="B390" s="75"/>
    </row>
    <row r="391" spans="2:2" ht="35.25" customHeight="1">
      <c r="B391" s="75"/>
    </row>
    <row r="392" spans="2:2" ht="35.25" customHeight="1">
      <c r="B392" s="75"/>
    </row>
    <row r="394" spans="2:2" ht="35.25" customHeight="1">
      <c r="B394" s="75"/>
    </row>
    <row r="395" spans="2:2" ht="35.25" customHeight="1">
      <c r="B395" s="75"/>
    </row>
    <row r="396" spans="2:2" ht="35.25" customHeight="1">
      <c r="B396" s="75"/>
    </row>
    <row r="397" spans="2:2" ht="35.25" customHeight="1">
      <c r="B397" s="359" t="s">
        <v>598</v>
      </c>
    </row>
    <row r="398" spans="2:2" ht="35.25" customHeight="1">
      <c r="B398" s="75"/>
    </row>
    <row r="399" spans="2:2" ht="35.25" customHeight="1">
      <c r="B399" s="75" t="s">
        <v>599</v>
      </c>
    </row>
    <row r="400" spans="2:2" ht="35.25" customHeight="1">
      <c r="B400" s="75"/>
    </row>
    <row r="401" spans="2:2" ht="35.25" customHeight="1">
      <c r="B401" s="359" t="s">
        <v>600</v>
      </c>
    </row>
    <row r="402" spans="2:2" ht="35.25" customHeight="1">
      <c r="B402" s="342"/>
    </row>
    <row r="403" spans="2:2" ht="35.25" customHeight="1">
      <c r="B403" s="361" t="s">
        <v>601</v>
      </c>
    </row>
    <row r="404" spans="2:2" ht="35.25" customHeight="1">
      <c r="B404" s="39" t="s">
        <v>602</v>
      </c>
    </row>
    <row r="405" spans="2:2" ht="35.25" customHeight="1">
      <c r="B405" s="342"/>
    </row>
    <row r="406" spans="2:2" ht="35.25" customHeight="1">
      <c r="B406" s="361" t="s">
        <v>603</v>
      </c>
    </row>
    <row r="407" spans="2:2" ht="35.25" customHeight="1">
      <c r="B407" s="342"/>
    </row>
    <row r="408" spans="2:2" ht="35.25" customHeight="1">
      <c r="B408" s="343" t="s">
        <v>604</v>
      </c>
    </row>
    <row r="409" spans="2:2" ht="35.25" customHeight="1">
      <c r="B409" s="343" t="s">
        <v>605</v>
      </c>
    </row>
    <row r="410" spans="2:2" ht="35.25" customHeight="1">
      <c r="B410" s="361" t="s">
        <v>606</v>
      </c>
    </row>
    <row r="411" spans="2:2" ht="35.25" customHeight="1">
      <c r="B411" s="342"/>
    </row>
    <row r="412" spans="2:2" ht="35.25" customHeight="1">
      <c r="B412" s="343" t="s">
        <v>607</v>
      </c>
    </row>
    <row r="413" spans="2:2" ht="35.25" customHeight="1">
      <c r="B413" s="39" t="s">
        <v>602</v>
      </c>
    </row>
    <row r="414" spans="2:2" ht="35.25" customHeight="1">
      <c r="B414" s="361" t="s">
        <v>608</v>
      </c>
    </row>
    <row r="415" spans="2:2" ht="35.25" customHeight="1">
      <c r="B415" s="342"/>
    </row>
    <row r="416" spans="2:2" ht="35.25" customHeight="1">
      <c r="B416" s="343" t="s">
        <v>609</v>
      </c>
    </row>
    <row r="417" spans="2:2" ht="35.25" customHeight="1">
      <c r="B417" s="75"/>
    </row>
    <row r="418" spans="2:2" ht="35.25" customHeight="1">
      <c r="B418" s="359" t="s">
        <v>610</v>
      </c>
    </row>
    <row r="419" spans="2:2" ht="35.25" customHeight="1">
      <c r="B419" s="75"/>
    </row>
    <row r="420" spans="2:2" ht="35.25" customHeight="1">
      <c r="B420" s="75" t="s">
        <v>611</v>
      </c>
    </row>
    <row r="421" spans="2:2" ht="35.25" customHeight="1">
      <c r="B421" s="268"/>
    </row>
    <row r="422" spans="2:2" ht="35.25" customHeight="1">
      <c r="B422" s="366" t="s">
        <v>572</v>
      </c>
    </row>
    <row r="423" spans="2:2" ht="35.25" customHeight="1">
      <c r="B423" s="366" t="s">
        <v>573</v>
      </c>
    </row>
    <row r="424" spans="2:2" ht="35.25" customHeight="1">
      <c r="B424" s="367" t="s">
        <v>612</v>
      </c>
    </row>
    <row r="425" spans="2:2" ht="35.25" customHeight="1">
      <c r="B425" s="75"/>
    </row>
    <row r="426" spans="2:2" ht="35.25" customHeight="1">
      <c r="B426" s="75" t="s">
        <v>613</v>
      </c>
    </row>
    <row r="427" spans="2:2" ht="35.25" customHeight="1">
      <c r="B427" s="75"/>
    </row>
    <row r="428" spans="2:2" ht="35.25" customHeight="1">
      <c r="B428" s="75"/>
    </row>
    <row r="429" spans="2:2" ht="35.25" customHeight="1">
      <c r="B429" s="75"/>
    </row>
    <row r="431" spans="2:2" ht="35.25" customHeight="1">
      <c r="B431" s="75"/>
    </row>
    <row r="432" spans="2:2" ht="35.25" customHeight="1">
      <c r="B432" s="75"/>
    </row>
    <row r="433" spans="2:2" ht="35.25" customHeight="1">
      <c r="B433" s="75"/>
    </row>
    <row r="434" spans="2:2" ht="35.25" customHeight="1">
      <c r="B434" s="359" t="s">
        <v>614</v>
      </c>
    </row>
    <row r="435" spans="2:2" ht="35.25" customHeight="1">
      <c r="B435" s="75"/>
    </row>
    <row r="436" spans="2:2" ht="35.25" customHeight="1">
      <c r="B436" s="75" t="s">
        <v>615</v>
      </c>
    </row>
    <row r="437" spans="2:2" ht="35.25" customHeight="1">
      <c r="B437" s="75"/>
    </row>
    <row r="438" spans="2:2" ht="35.25" customHeight="1">
      <c r="B438" s="359" t="s">
        <v>600</v>
      </c>
    </row>
    <row r="439" spans="2:2" ht="35.25" customHeight="1">
      <c r="B439" s="342"/>
    </row>
    <row r="440" spans="2:2" ht="35.25" customHeight="1">
      <c r="B440" s="361" t="s">
        <v>616</v>
      </c>
    </row>
    <row r="441" spans="2:2" ht="35.25" customHeight="1">
      <c r="B441" s="39" t="s">
        <v>617</v>
      </c>
    </row>
    <row r="442" spans="2:2" ht="35.25" customHeight="1">
      <c r="B442" s="342"/>
    </row>
    <row r="443" spans="2:2" ht="35.25" customHeight="1">
      <c r="B443" s="361" t="s">
        <v>603</v>
      </c>
    </row>
    <row r="444" spans="2:2" ht="35.25" customHeight="1">
      <c r="B444" s="342"/>
    </row>
    <row r="445" spans="2:2" ht="35.25" customHeight="1">
      <c r="B445" s="343" t="s">
        <v>618</v>
      </c>
    </row>
    <row r="446" spans="2:2" ht="35.25" customHeight="1">
      <c r="B446" s="361" t="s">
        <v>619</v>
      </c>
    </row>
    <row r="447" spans="2:2" ht="35.25" customHeight="1">
      <c r="B447" s="342"/>
    </row>
    <row r="448" spans="2:2" ht="35.25" customHeight="1">
      <c r="B448" s="343" t="s">
        <v>620</v>
      </c>
    </row>
    <row r="449" spans="2:2" ht="35.25" customHeight="1">
      <c r="B449" s="361" t="s">
        <v>621</v>
      </c>
    </row>
    <row r="450" spans="2:2" ht="35.25" customHeight="1">
      <c r="B450" s="342"/>
    </row>
    <row r="451" spans="2:2" ht="35.25" customHeight="1">
      <c r="B451" s="343" t="s">
        <v>622</v>
      </c>
    </row>
    <row r="452" spans="2:2" ht="35.25" customHeight="1">
      <c r="B452" s="75"/>
    </row>
    <row r="453" spans="2:2" ht="35.25" customHeight="1">
      <c r="B453" s="359" t="s">
        <v>610</v>
      </c>
    </row>
    <row r="454" spans="2:2" ht="35.25" customHeight="1">
      <c r="B454" s="75"/>
    </row>
    <row r="455" spans="2:2" ht="35.25" customHeight="1">
      <c r="B455" s="75" t="s">
        <v>623</v>
      </c>
    </row>
    <row r="456" spans="2:2" ht="35.25" customHeight="1">
      <c r="B456" s="268"/>
    </row>
    <row r="457" spans="2:2" ht="35.25" customHeight="1">
      <c r="B457" s="366" t="s">
        <v>572</v>
      </c>
    </row>
    <row r="458" spans="2:2" ht="35.25" customHeight="1">
      <c r="B458" s="366" t="s">
        <v>573</v>
      </c>
    </row>
    <row r="459" spans="2:2" ht="35.25" customHeight="1">
      <c r="B459" s="367" t="s">
        <v>624</v>
      </c>
    </row>
    <row r="460" spans="2:2" ht="35.25" customHeight="1">
      <c r="B460" s="75"/>
    </row>
    <row r="461" spans="2:2" ht="35.25" customHeight="1">
      <c r="B461" s="75" t="s">
        <v>625</v>
      </c>
    </row>
    <row r="462" spans="2:2" ht="35.25" customHeight="1">
      <c r="B462" s="75"/>
    </row>
    <row r="463" spans="2:2" ht="35.25" customHeight="1">
      <c r="B463" s="75"/>
    </row>
    <row r="464" spans="2:2" ht="35.25" customHeight="1">
      <c r="B464" s="75"/>
    </row>
    <row r="466" spans="2:2" ht="35.25" customHeight="1">
      <c r="B466" s="75"/>
    </row>
    <row r="467" spans="2:2" ht="35.25" customHeight="1">
      <c r="B467" s="75"/>
    </row>
    <row r="468" spans="2:2" ht="35.25" customHeight="1">
      <c r="B468" s="75"/>
    </row>
    <row r="469" spans="2:2" ht="35.25" customHeight="1">
      <c r="B469" s="359" t="s">
        <v>626</v>
      </c>
    </row>
    <row r="470" spans="2:2" ht="35.25" customHeight="1">
      <c r="B470" s="75"/>
    </row>
    <row r="471" spans="2:2" ht="35.25" customHeight="1">
      <c r="B471" s="75" t="s">
        <v>627</v>
      </c>
    </row>
    <row r="472" spans="2:2" ht="35.25" customHeight="1">
      <c r="B472" s="75"/>
    </row>
    <row r="473" spans="2:2" ht="35.25" customHeight="1">
      <c r="B473" s="359" t="s">
        <v>600</v>
      </c>
    </row>
    <row r="474" spans="2:2" ht="35.25" customHeight="1">
      <c r="B474" s="342"/>
    </row>
    <row r="475" spans="2:2" ht="35.25" customHeight="1">
      <c r="B475" s="39" t="s">
        <v>628</v>
      </c>
    </row>
    <row r="476" spans="2:2" ht="35.25" customHeight="1">
      <c r="B476" s="361" t="s">
        <v>629</v>
      </c>
    </row>
    <row r="477" spans="2:2" ht="35.25" customHeight="1">
      <c r="B477" s="342"/>
    </row>
    <row r="478" spans="2:2" ht="35.25" customHeight="1">
      <c r="B478" s="343" t="s">
        <v>630</v>
      </c>
    </row>
    <row r="479" spans="2:2" ht="35.25" customHeight="1">
      <c r="B479" s="75"/>
    </row>
    <row r="480" spans="2:2" ht="35.25" customHeight="1">
      <c r="B480" s="75"/>
    </row>
    <row r="481" spans="2:2" ht="35.25" customHeight="1">
      <c r="B481" s="75"/>
    </row>
    <row r="483" spans="2:2" ht="35.25" customHeight="1">
      <c r="B483" s="75"/>
    </row>
    <row r="484" spans="2:2" ht="35.25" customHeight="1">
      <c r="B484" s="75"/>
    </row>
    <row r="485" spans="2:2" ht="35.25" customHeight="1">
      <c r="B485" s="75"/>
    </row>
    <row r="486" spans="2:2" ht="35.25" customHeight="1">
      <c r="B486" s="359" t="s">
        <v>631</v>
      </c>
    </row>
    <row r="487" spans="2:2" ht="35.25" customHeight="1">
      <c r="B487" s="75"/>
    </row>
    <row r="488" spans="2:2" ht="35.25" customHeight="1">
      <c r="B488" s="75" t="s">
        <v>632</v>
      </c>
    </row>
    <row r="489" spans="2:2" ht="35.25" customHeight="1">
      <c r="B489" s="75"/>
    </row>
    <row r="490" spans="2:2" ht="35.25" customHeight="1">
      <c r="B490" s="359" t="s">
        <v>600</v>
      </c>
    </row>
    <row r="491" spans="2:2" ht="35.25" customHeight="1">
      <c r="B491" s="342"/>
    </row>
    <row r="492" spans="2:2" ht="35.25" customHeight="1">
      <c r="B492" s="39" t="s">
        <v>633</v>
      </c>
    </row>
    <row r="493" spans="2:2" ht="35.25" customHeight="1">
      <c r="B493" s="361" t="s">
        <v>629</v>
      </c>
    </row>
    <row r="494" spans="2:2" ht="35.25" customHeight="1">
      <c r="B494" s="342"/>
    </row>
    <row r="495" spans="2:2" ht="35.25" customHeight="1">
      <c r="B495" s="343" t="s">
        <v>634</v>
      </c>
    </row>
    <row r="496" spans="2:2" ht="35.25" customHeight="1">
      <c r="B496" s="75"/>
    </row>
    <row r="497" spans="2:10" ht="35.25" customHeight="1">
      <c r="B497" s="75"/>
    </row>
    <row r="498" spans="2:10" ht="35.25" customHeight="1">
      <c r="B498" s="75"/>
    </row>
    <row r="500" spans="2:10" ht="35.25" customHeight="1">
      <c r="B500" s="75"/>
    </row>
    <row r="501" spans="2:10" ht="35.25" customHeight="1">
      <c r="B501" s="75"/>
    </row>
    <row r="502" spans="2:10" ht="35.25" customHeight="1">
      <c r="B502" s="75"/>
    </row>
    <row r="503" spans="2:10" ht="35.25" customHeight="1">
      <c r="B503" s="359" t="s">
        <v>551</v>
      </c>
    </row>
    <row r="504" spans="2:10" ht="35.25" customHeight="1">
      <c r="B504" s="360"/>
    </row>
    <row r="505" spans="2:10" ht="35.25" customHeight="1">
      <c r="B505" s="361" t="s">
        <v>635</v>
      </c>
    </row>
    <row r="506" spans="2:10" ht="79.5" customHeight="1">
      <c r="B506" s="343" t="s">
        <v>636</v>
      </c>
      <c r="J506" t="s">
        <v>637</v>
      </c>
    </row>
    <row r="507" spans="2:10" ht="35.25" customHeight="1">
      <c r="B507" s="75"/>
    </row>
    <row r="508" spans="2:10" ht="35.25" customHeight="1">
      <c r="B508" s="359" t="s">
        <v>638</v>
      </c>
    </row>
    <row r="509" spans="2:10" ht="35.25" customHeight="1">
      <c r="B509" s="75"/>
    </row>
    <row r="510" spans="2:10" ht="35.25" customHeight="1" thickBot="1">
      <c r="B510" s="362" t="s">
        <v>537</v>
      </c>
    </row>
    <row r="511" spans="2:10" ht="35.25" customHeight="1" thickTop="1" thickBot="1">
      <c r="B511" s="363"/>
    </row>
    <row r="512" spans="2:10" ht="35.25" customHeight="1" thickTop="1" thickBot="1">
      <c r="B512" s="363"/>
    </row>
    <row r="513" spans="2:9" ht="35.25" customHeight="1" thickTop="1">
      <c r="B513" s="357" t="s">
        <v>520</v>
      </c>
    </row>
    <row r="514" spans="2:9" ht="35.25" customHeight="1">
      <c r="B514" s="75" t="s">
        <v>639</v>
      </c>
    </row>
    <row r="515" spans="2:9" ht="35.25" customHeight="1">
      <c r="B515" s="358" t="s">
        <v>522</v>
      </c>
    </row>
    <row r="516" spans="2:9" ht="35.25" customHeight="1">
      <c r="B516" s="75"/>
    </row>
    <row r="517" spans="2:9" ht="35.25" customHeight="1">
      <c r="B517" s="75" t="s">
        <v>640</v>
      </c>
    </row>
    <row r="518" spans="2:9" ht="35.25" customHeight="1" thickBot="1">
      <c r="B518" s="75"/>
    </row>
    <row r="519" spans="2:9" ht="35.25" customHeight="1" thickBot="1">
      <c r="B519" s="373" t="s">
        <v>641</v>
      </c>
      <c r="C519" s="373" t="s">
        <v>642</v>
      </c>
      <c r="D519" s="373" t="s">
        <v>643</v>
      </c>
      <c r="E519" s="373" t="s">
        <v>644</v>
      </c>
      <c r="F519" s="373" t="s">
        <v>645</v>
      </c>
      <c r="G519" s="373" t="s">
        <v>646</v>
      </c>
      <c r="H519" s="373" t="s">
        <v>647</v>
      </c>
      <c r="I519" s="374" t="s">
        <v>648</v>
      </c>
    </row>
    <row r="520" spans="2:9" ht="35.25" customHeight="1">
      <c r="B520" s="591" t="s">
        <v>602</v>
      </c>
      <c r="C520" s="590" t="s">
        <v>649</v>
      </c>
      <c r="D520" s="592" t="s">
        <v>650</v>
      </c>
      <c r="E520" s="375" t="s">
        <v>651</v>
      </c>
      <c r="F520" s="375" t="s">
        <v>652</v>
      </c>
      <c r="G520" s="587" t="s">
        <v>653</v>
      </c>
      <c r="H520" s="375" t="s">
        <v>654</v>
      </c>
      <c r="I520" s="377" t="s">
        <v>655</v>
      </c>
    </row>
    <row r="521" spans="2:9" ht="35.25" customHeight="1">
      <c r="B521" s="588"/>
      <c r="C521" s="588"/>
      <c r="D521" s="588"/>
      <c r="E521" s="375" t="s">
        <v>656</v>
      </c>
      <c r="F521" s="375" t="s">
        <v>657</v>
      </c>
      <c r="G521" s="588"/>
      <c r="H521" s="375" t="s">
        <v>658</v>
      </c>
      <c r="I521" s="377" t="s">
        <v>659</v>
      </c>
    </row>
    <row r="522" spans="2:9" ht="35.25" customHeight="1">
      <c r="B522" s="588"/>
      <c r="C522" s="588"/>
      <c r="D522" s="588"/>
      <c r="E522" s="375" t="s">
        <v>660</v>
      </c>
      <c r="F522" s="375" t="s">
        <v>661</v>
      </c>
      <c r="G522" s="588"/>
      <c r="H522" s="375"/>
      <c r="I522" s="378" t="s">
        <v>662</v>
      </c>
    </row>
    <row r="523" spans="2:9" ht="35.25" customHeight="1" thickBot="1">
      <c r="B523" s="589"/>
      <c r="C523" s="589"/>
      <c r="D523" s="589"/>
      <c r="E523" s="376" t="s">
        <v>663</v>
      </c>
      <c r="F523" s="376"/>
      <c r="G523" s="589"/>
      <c r="H523" s="376"/>
      <c r="I523" s="379"/>
    </row>
    <row r="524" spans="2:9" ht="35.25" customHeight="1">
      <c r="B524" s="591" t="s">
        <v>664</v>
      </c>
      <c r="C524" s="590" t="s">
        <v>665</v>
      </c>
      <c r="D524" s="592" t="s">
        <v>666</v>
      </c>
      <c r="E524" s="375" t="s">
        <v>651</v>
      </c>
      <c r="F524" s="590" t="s">
        <v>667</v>
      </c>
      <c r="G524" s="587" t="s">
        <v>668</v>
      </c>
      <c r="H524" s="375" t="s">
        <v>669</v>
      </c>
      <c r="I524" s="377" t="s">
        <v>670</v>
      </c>
    </row>
    <row r="525" spans="2:9" ht="35.25" customHeight="1">
      <c r="B525" s="588"/>
      <c r="C525" s="588"/>
      <c r="D525" s="588"/>
      <c r="E525" s="375" t="s">
        <v>671</v>
      </c>
      <c r="F525" s="588"/>
      <c r="G525" s="588"/>
      <c r="H525" s="375" t="s">
        <v>672</v>
      </c>
      <c r="I525" s="377" t="s">
        <v>673</v>
      </c>
    </row>
    <row r="526" spans="2:9" ht="35.25" customHeight="1">
      <c r="B526" s="588"/>
      <c r="C526" s="588"/>
      <c r="D526" s="588"/>
      <c r="E526" s="375" t="s">
        <v>674</v>
      </c>
      <c r="F526" s="588"/>
      <c r="G526" s="588"/>
      <c r="H526" s="375" t="s">
        <v>675</v>
      </c>
      <c r="I526" s="377"/>
    </row>
    <row r="527" spans="2:9" ht="35.25" customHeight="1" thickBot="1">
      <c r="B527" s="589"/>
      <c r="C527" s="589"/>
      <c r="D527" s="589"/>
      <c r="E527" s="376"/>
      <c r="F527" s="589"/>
      <c r="G527" s="589"/>
      <c r="H527" s="376" t="s">
        <v>676</v>
      </c>
      <c r="I527" s="380"/>
    </row>
    <row r="528" spans="2:9" ht="35.25" customHeight="1">
      <c r="B528" s="591" t="s">
        <v>677</v>
      </c>
      <c r="C528" s="590" t="s">
        <v>678</v>
      </c>
      <c r="D528" s="590" t="s">
        <v>679</v>
      </c>
      <c r="E528" s="375" t="s">
        <v>651</v>
      </c>
      <c r="F528" s="375" t="s">
        <v>652</v>
      </c>
      <c r="G528" s="587" t="s">
        <v>680</v>
      </c>
      <c r="H528" s="375" t="s">
        <v>681</v>
      </c>
      <c r="I528" s="377" t="s">
        <v>682</v>
      </c>
    </row>
    <row r="529" spans="2:9" ht="35.25" customHeight="1">
      <c r="B529" s="588"/>
      <c r="C529" s="588"/>
      <c r="D529" s="588"/>
      <c r="E529" s="375" t="s">
        <v>683</v>
      </c>
      <c r="F529" s="375" t="s">
        <v>684</v>
      </c>
      <c r="G529" s="588"/>
      <c r="H529" s="375" t="s">
        <v>658</v>
      </c>
      <c r="I529" s="377" t="s">
        <v>685</v>
      </c>
    </row>
    <row r="530" spans="2:9" ht="35.25" customHeight="1">
      <c r="B530" s="588"/>
      <c r="C530" s="588"/>
      <c r="D530" s="588"/>
      <c r="E530" s="375" t="s">
        <v>686</v>
      </c>
      <c r="F530" s="375" t="s">
        <v>687</v>
      </c>
      <c r="G530" s="588"/>
      <c r="H530" s="375"/>
      <c r="I530" s="377"/>
    </row>
    <row r="531" spans="2:9" ht="35.25" customHeight="1" thickBot="1">
      <c r="B531" s="589"/>
      <c r="C531" s="589"/>
      <c r="D531" s="589"/>
      <c r="E531" s="376" t="s">
        <v>688</v>
      </c>
      <c r="F531" s="376"/>
      <c r="G531" s="589"/>
      <c r="H531" s="376"/>
      <c r="I531" s="380"/>
    </row>
    <row r="532" spans="2:9" ht="35.25" customHeight="1">
      <c r="B532" s="591" t="s">
        <v>689</v>
      </c>
      <c r="C532" s="590" t="s">
        <v>690</v>
      </c>
      <c r="D532" s="592" t="s">
        <v>691</v>
      </c>
      <c r="E532" s="375" t="s">
        <v>692</v>
      </c>
      <c r="F532" s="375" t="s">
        <v>693</v>
      </c>
      <c r="G532" s="590" t="s">
        <v>694</v>
      </c>
      <c r="H532" s="590" t="s">
        <v>694</v>
      </c>
      <c r="I532" s="377" t="s">
        <v>695</v>
      </c>
    </row>
    <row r="533" spans="2:9" ht="35.25" customHeight="1">
      <c r="B533" s="588"/>
      <c r="C533" s="588"/>
      <c r="D533" s="588"/>
      <c r="E533" s="375" t="s">
        <v>696</v>
      </c>
      <c r="F533" s="375" t="s">
        <v>697</v>
      </c>
      <c r="G533" s="588"/>
      <c r="H533" s="588"/>
      <c r="I533" s="377" t="s">
        <v>698</v>
      </c>
    </row>
    <row r="534" spans="2:9" ht="35.25" customHeight="1">
      <c r="B534" s="588"/>
      <c r="C534" s="588"/>
      <c r="D534" s="588"/>
      <c r="E534" s="375" t="s">
        <v>699</v>
      </c>
      <c r="F534" s="375"/>
      <c r="G534" s="588"/>
      <c r="H534" s="588"/>
      <c r="I534" s="377"/>
    </row>
    <row r="535" spans="2:9" ht="35.25" customHeight="1" thickBot="1">
      <c r="B535" s="589"/>
      <c r="C535" s="589"/>
      <c r="D535" s="589"/>
      <c r="E535" s="376" t="s">
        <v>700</v>
      </c>
      <c r="F535" s="376"/>
      <c r="G535" s="589"/>
      <c r="H535" s="589"/>
      <c r="I535" s="380"/>
    </row>
    <row r="536" spans="2:9" ht="35.25" customHeight="1">
      <c r="B536" s="591" t="s">
        <v>701</v>
      </c>
      <c r="C536" s="590" t="s">
        <v>702</v>
      </c>
      <c r="D536" s="592" t="s">
        <v>703</v>
      </c>
      <c r="E536" s="375" t="s">
        <v>692</v>
      </c>
      <c r="F536" s="375" t="s">
        <v>704</v>
      </c>
      <c r="G536" s="590" t="s">
        <v>694</v>
      </c>
      <c r="H536" s="590" t="s">
        <v>694</v>
      </c>
      <c r="I536" s="590" t="s">
        <v>705</v>
      </c>
    </row>
    <row r="537" spans="2:9" ht="35.25" customHeight="1">
      <c r="B537" s="588"/>
      <c r="C537" s="588"/>
      <c r="D537" s="588"/>
      <c r="E537" s="375" t="s">
        <v>706</v>
      </c>
      <c r="F537" s="375" t="s">
        <v>707</v>
      </c>
      <c r="G537" s="588"/>
      <c r="H537" s="588"/>
      <c r="I537" s="588"/>
    </row>
    <row r="538" spans="2:9" ht="35.25" customHeight="1">
      <c r="B538" s="588"/>
      <c r="C538" s="588"/>
      <c r="D538" s="588"/>
      <c r="E538" s="375" t="s">
        <v>708</v>
      </c>
      <c r="F538" s="375"/>
      <c r="G538" s="588"/>
      <c r="H538" s="588"/>
      <c r="I538" s="588"/>
    </row>
    <row r="539" spans="2:9" ht="35.25" customHeight="1" thickBot="1">
      <c r="B539" s="589"/>
      <c r="C539" s="589"/>
      <c r="D539" s="589"/>
      <c r="E539" s="376" t="s">
        <v>663</v>
      </c>
      <c r="F539" s="376"/>
      <c r="G539" s="589"/>
      <c r="H539" s="589"/>
      <c r="I539" s="589"/>
    </row>
    <row r="540" spans="2:9" ht="35.25" customHeight="1">
      <c r="B540" s="75"/>
    </row>
    <row r="541" spans="2:9" ht="35.25" customHeight="1">
      <c r="B541" s="359" t="s">
        <v>709</v>
      </c>
    </row>
    <row r="542" spans="2:9" ht="35.25" customHeight="1">
      <c r="B542" s="342"/>
    </row>
    <row r="543" spans="2:9" ht="35.25" customHeight="1">
      <c r="B543" s="342" t="s">
        <v>710</v>
      </c>
    </row>
    <row r="544" spans="2:9" ht="35.25" customHeight="1">
      <c r="B544" s="342" t="s">
        <v>711</v>
      </c>
    </row>
    <row r="545" spans="2:2" ht="35.25" customHeight="1">
      <c r="B545" s="342" t="s">
        <v>712</v>
      </c>
    </row>
    <row r="546" spans="2:2" ht="35.25" customHeight="1">
      <c r="B546" s="75"/>
    </row>
    <row r="547" spans="2:2" ht="35.25" customHeight="1">
      <c r="B547" s="75" t="s">
        <v>713</v>
      </c>
    </row>
    <row r="548" spans="2:2" ht="35.25" customHeight="1">
      <c r="B548" s="75"/>
    </row>
    <row r="549" spans="2:2" ht="35.25" customHeight="1" thickBot="1">
      <c r="B549" s="362" t="s">
        <v>537</v>
      </c>
    </row>
    <row r="550" spans="2:2" ht="35.25" customHeight="1" thickTop="1" thickBot="1">
      <c r="B550" s="363"/>
    </row>
    <row r="551" spans="2:2" ht="35.25" customHeight="1" thickTop="1">
      <c r="B551" s="357" t="s">
        <v>520</v>
      </c>
    </row>
    <row r="552" spans="2:2" ht="35.25" customHeight="1">
      <c r="B552" s="75" t="s">
        <v>714</v>
      </c>
    </row>
    <row r="553" spans="2:2" ht="35.25" customHeight="1">
      <c r="B553" s="358" t="s">
        <v>522</v>
      </c>
    </row>
    <row r="554" spans="2:2" ht="35.25" customHeight="1">
      <c r="B554" s="75"/>
    </row>
    <row r="555" spans="2:2" ht="35.25" customHeight="1">
      <c r="B555" s="75" t="s">
        <v>715</v>
      </c>
    </row>
    <row r="556" spans="2:2" ht="35.25" customHeight="1">
      <c r="B556" s="75"/>
    </row>
    <row r="557" spans="2:2" ht="35.25" customHeight="1">
      <c r="B557" s="359" t="s">
        <v>716</v>
      </c>
    </row>
    <row r="558" spans="2:2" ht="35.25" customHeight="1">
      <c r="B558" s="75" t="s">
        <v>717</v>
      </c>
    </row>
    <row r="559" spans="2:2" ht="35.25" customHeight="1">
      <c r="B559" s="75"/>
    </row>
    <row r="560" spans="2:2" ht="35.25" customHeight="1">
      <c r="B560" s="39" t="s">
        <v>718</v>
      </c>
    </row>
    <row r="561" spans="2:2" ht="35.25" customHeight="1">
      <c r="B561" s="75"/>
    </row>
    <row r="562" spans="2:2" ht="35.25" customHeight="1">
      <c r="B562" s="75"/>
    </row>
    <row r="563" spans="2:2" ht="35.25" customHeight="1">
      <c r="B563" s="75"/>
    </row>
    <row r="564" spans="2:2" ht="35.25" customHeight="1">
      <c r="B564" s="359" t="s">
        <v>719</v>
      </c>
    </row>
    <row r="565" spans="2:2" ht="35.25" customHeight="1">
      <c r="B565" s="75" t="s">
        <v>720</v>
      </c>
    </row>
    <row r="566" spans="2:2" ht="35.25" customHeight="1">
      <c r="B566" s="75"/>
    </row>
    <row r="567" spans="2:2" ht="35.25" customHeight="1">
      <c r="B567" s="39" t="s">
        <v>718</v>
      </c>
    </row>
    <row r="568" spans="2:2" ht="35.25" customHeight="1">
      <c r="B568" s="75"/>
    </row>
    <row r="569" spans="2:2" ht="35.25" customHeight="1">
      <c r="B569" s="75"/>
    </row>
    <row r="570" spans="2:2" ht="35.25" customHeight="1">
      <c r="B570" s="75"/>
    </row>
    <row r="571" spans="2:2" ht="35.25" customHeight="1">
      <c r="B571" s="359" t="s">
        <v>721</v>
      </c>
    </row>
    <row r="572" spans="2:2" ht="35.25" customHeight="1">
      <c r="B572" s="75" t="s">
        <v>722</v>
      </c>
    </row>
    <row r="573" spans="2:2" ht="35.25" customHeight="1">
      <c r="B573" s="75"/>
    </row>
    <row r="574" spans="2:2" ht="35.25" customHeight="1">
      <c r="B574" s="39" t="s">
        <v>723</v>
      </c>
    </row>
    <row r="575" spans="2:2" ht="35.25" customHeight="1">
      <c r="B575" s="75"/>
    </row>
    <row r="576" spans="2:2" ht="35.25" customHeight="1">
      <c r="B576" s="75"/>
    </row>
    <row r="577" spans="2:2" ht="35.25" customHeight="1">
      <c r="B577" s="75"/>
    </row>
    <row r="578" spans="2:2" ht="35.25" customHeight="1">
      <c r="B578" s="359" t="s">
        <v>724</v>
      </c>
    </row>
    <row r="579" spans="2:2" ht="35.25" customHeight="1">
      <c r="B579" s="75" t="s">
        <v>725</v>
      </c>
    </row>
    <row r="580" spans="2:2" ht="35.25" customHeight="1">
      <c r="B580" s="75"/>
    </row>
    <row r="581" spans="2:2" ht="35.25" customHeight="1">
      <c r="B581" s="39" t="s">
        <v>723</v>
      </c>
    </row>
    <row r="582" spans="2:2" ht="35.25" customHeight="1">
      <c r="B582" s="75"/>
    </row>
    <row r="583" spans="2:2" ht="35.25" customHeight="1">
      <c r="B583" s="75"/>
    </row>
    <row r="584" spans="2:2" ht="35.25" customHeight="1">
      <c r="B584" s="75"/>
    </row>
    <row r="585" spans="2:2" ht="35.25" customHeight="1">
      <c r="B585" s="359" t="s">
        <v>689</v>
      </c>
    </row>
    <row r="586" spans="2:2" ht="35.25" customHeight="1">
      <c r="B586" s="75" t="s">
        <v>726</v>
      </c>
    </row>
    <row r="587" spans="2:2" ht="35.25" customHeight="1">
      <c r="B587" s="75"/>
    </row>
    <row r="588" spans="2:2" ht="35.25" customHeight="1">
      <c r="B588" s="39" t="s">
        <v>727</v>
      </c>
    </row>
    <row r="589" spans="2:2" ht="35.25" customHeight="1">
      <c r="B589" s="75"/>
    </row>
    <row r="590" spans="2:2" ht="35.25" customHeight="1">
      <c r="B590" s="75"/>
    </row>
    <row r="591" spans="2:2" ht="35.25" customHeight="1">
      <c r="B591" s="75"/>
    </row>
    <row r="592" spans="2:2" ht="35.25" customHeight="1">
      <c r="B592" s="75" t="s">
        <v>728</v>
      </c>
    </row>
    <row r="593" spans="2:2" ht="35.25" customHeight="1">
      <c r="B593" s="75"/>
    </row>
    <row r="594" spans="2:2" ht="35.25" customHeight="1" thickBot="1">
      <c r="B594" s="362" t="s">
        <v>537</v>
      </c>
    </row>
    <row r="595" spans="2:2" ht="35.25" customHeight="1" thickTop="1" thickBot="1">
      <c r="B595" s="363"/>
    </row>
    <row r="596" spans="2:2" ht="35.25" customHeight="1" thickTop="1" thickBot="1">
      <c r="B596" s="363"/>
    </row>
    <row r="597" spans="2:2" ht="35.25" customHeight="1" thickTop="1" thickBot="1">
      <c r="B597" s="363"/>
    </row>
    <row r="598" spans="2:2" ht="35.25" customHeight="1" thickTop="1">
      <c r="B598" s="357" t="s">
        <v>520</v>
      </c>
    </row>
    <row r="599" spans="2:2" ht="35.25" customHeight="1">
      <c r="B599" s="75" t="s">
        <v>729</v>
      </c>
    </row>
    <row r="600" spans="2:2" ht="35.25" customHeight="1">
      <c r="B600" s="358" t="s">
        <v>522</v>
      </c>
    </row>
    <row r="601" spans="2:2" ht="35.25" customHeight="1">
      <c r="B601" s="75"/>
    </row>
    <row r="602" spans="2:2" ht="35.25" customHeight="1">
      <c r="B602" s="381" t="s">
        <v>730</v>
      </c>
    </row>
    <row r="603" spans="2:2" ht="35.25" customHeight="1">
      <c r="B603" s="39" t="s">
        <v>731</v>
      </c>
    </row>
    <row r="604" spans="2:2" ht="35.25" customHeight="1">
      <c r="B604" s="75"/>
    </row>
    <row r="605" spans="2:2" ht="35.25" customHeight="1">
      <c r="B605" s="381" t="s">
        <v>732</v>
      </c>
    </row>
    <row r="606" spans="2:2" ht="35.25" customHeight="1">
      <c r="B606" s="360"/>
    </row>
    <row r="607" spans="2:2" ht="35.25" customHeight="1">
      <c r="B607" s="382" t="s">
        <v>733</v>
      </c>
    </row>
    <row r="608" spans="2:2" ht="35.25" customHeight="1">
      <c r="B608" s="382" t="s">
        <v>734</v>
      </c>
    </row>
    <row r="609" spans="2:2" ht="35.25" customHeight="1">
      <c r="B609" s="382" t="s">
        <v>735</v>
      </c>
    </row>
    <row r="610" spans="2:2" ht="35.25" customHeight="1">
      <c r="B610" s="382" t="s">
        <v>736</v>
      </c>
    </row>
    <row r="611" spans="2:2" ht="35.25" customHeight="1">
      <c r="B611" s="75"/>
    </row>
    <row r="612" spans="2:2" ht="35.25" customHeight="1">
      <c r="B612" s="381" t="s">
        <v>737</v>
      </c>
    </row>
    <row r="613" spans="2:2" ht="35.25" customHeight="1">
      <c r="B613" s="75"/>
    </row>
    <row r="614" spans="2:2" ht="35.25" customHeight="1">
      <c r="B614" s="383" t="s">
        <v>738</v>
      </c>
    </row>
    <row r="615" spans="2:2" ht="35.25" customHeight="1">
      <c r="B615" s="342"/>
    </row>
    <row r="616" spans="2:2" ht="35.25" customHeight="1">
      <c r="B616" s="382" t="s">
        <v>739</v>
      </c>
    </row>
    <row r="617" spans="2:2" ht="35.25" customHeight="1">
      <c r="B617" s="384"/>
    </row>
    <row r="618" spans="2:2" ht="35.25" customHeight="1">
      <c r="B618" s="385" t="s">
        <v>740</v>
      </c>
    </row>
    <row r="619" spans="2:2" ht="35.25" customHeight="1">
      <c r="B619" s="385" t="s">
        <v>741</v>
      </c>
    </row>
    <row r="620" spans="2:2" ht="35.25" customHeight="1">
      <c r="B620" s="385" t="s">
        <v>742</v>
      </c>
    </row>
    <row r="621" spans="2:2" ht="35.25" customHeight="1">
      <c r="B621" s="385" t="s">
        <v>743</v>
      </c>
    </row>
    <row r="622" spans="2:2" ht="35.25" customHeight="1">
      <c r="B622" s="382" t="s">
        <v>744</v>
      </c>
    </row>
    <row r="623" spans="2:2" ht="35.25" customHeight="1">
      <c r="B623" s="384"/>
    </row>
    <row r="624" spans="2:2" ht="35.25" customHeight="1">
      <c r="B624" s="385" t="s">
        <v>745</v>
      </c>
    </row>
    <row r="625" spans="2:2" ht="35.25" customHeight="1">
      <c r="B625" s="385" t="s">
        <v>746</v>
      </c>
    </row>
    <row r="626" spans="2:2" ht="35.25" customHeight="1">
      <c r="B626" s="385" t="s">
        <v>747</v>
      </c>
    </row>
    <row r="627" spans="2:2" ht="35.25" customHeight="1">
      <c r="B627" s="75"/>
    </row>
    <row r="628" spans="2:2" ht="35.25" customHeight="1">
      <c r="B628" s="383" t="s">
        <v>748</v>
      </c>
    </row>
    <row r="629" spans="2:2" ht="35.25" customHeight="1">
      <c r="B629" s="75"/>
    </row>
    <row r="630" spans="2:2" ht="35.25" customHeight="1">
      <c r="B630" s="381" t="s">
        <v>749</v>
      </c>
    </row>
    <row r="631" spans="2:2" ht="35.25" customHeight="1">
      <c r="B631" s="268"/>
    </row>
    <row r="632" spans="2:2" ht="35.25" customHeight="1">
      <c r="B632" s="386" t="s">
        <v>750</v>
      </c>
    </row>
    <row r="633" spans="2:2" ht="35.25" customHeight="1">
      <c r="B633" s="386" t="s">
        <v>573</v>
      </c>
    </row>
    <row r="634" spans="2:2" ht="35.25" customHeight="1">
      <c r="B634" s="387" t="s">
        <v>751</v>
      </c>
    </row>
    <row r="635" spans="2:2" ht="35.25" customHeight="1">
      <c r="B635" s="75"/>
    </row>
    <row r="636" spans="2:2" ht="35.25" customHeight="1">
      <c r="B636" s="381" t="s">
        <v>752</v>
      </c>
    </row>
    <row r="637" spans="2:2" ht="35.25" customHeight="1">
      <c r="B637" s="75"/>
    </row>
    <row r="638" spans="2:2" ht="35.25" customHeight="1">
      <c r="B638" s="381" t="s">
        <v>753</v>
      </c>
    </row>
    <row r="639" spans="2:2" ht="35.25" customHeight="1">
      <c r="B639" s="75"/>
    </row>
    <row r="640" spans="2:2" ht="35.25" customHeight="1" thickBot="1">
      <c r="B640" s="388" t="s">
        <v>537</v>
      </c>
    </row>
    <row r="641" spans="2:2" ht="35.25" customHeight="1" thickTop="1" thickBot="1">
      <c r="B641" s="389"/>
    </row>
    <row r="642" spans="2:2" ht="35.25" customHeight="1" thickTop="1"/>
  </sheetData>
  <mergeCells count="24">
    <mergeCell ref="I536:I539"/>
    <mergeCell ref="G532:G535"/>
    <mergeCell ref="B524:B527"/>
    <mergeCell ref="D528:D531"/>
    <mergeCell ref="F524:F527"/>
    <mergeCell ref="G528:G531"/>
    <mergeCell ref="B532:B535"/>
    <mergeCell ref="G524:G527"/>
    <mergeCell ref="G536:G539"/>
    <mergeCell ref="D524:D527"/>
    <mergeCell ref="G520:G523"/>
    <mergeCell ref="C532:C535"/>
    <mergeCell ref="H532:H535"/>
    <mergeCell ref="B536:B539"/>
    <mergeCell ref="D536:D539"/>
    <mergeCell ref="H536:H539"/>
    <mergeCell ref="C528:C531"/>
    <mergeCell ref="C524:C527"/>
    <mergeCell ref="B528:B531"/>
    <mergeCell ref="C536:C539"/>
    <mergeCell ref="D532:D535"/>
    <mergeCell ref="C520:C523"/>
    <mergeCell ref="D520:D523"/>
    <mergeCell ref="B520:B523"/>
  </mergeCells>
  <hyperlinks>
    <hyperlink ref="B15" r:id="rId1" xr:uid="{00000000-0004-0000-0300-000000000000}"/>
    <hyperlink ref="B18" r:id="rId2" display="https://geekflare.com/es/topic/api/" xr:uid="{00000000-0004-0000-0300-000001000000}"/>
    <hyperlink ref="B39" r:id="rId3" xr:uid="{00000000-0004-0000-0300-000002000000}"/>
    <hyperlink ref="B56" r:id="rId4" display="https://foroapuestas.forobet.com/MDBA-BF-FORO-TXT" xr:uid="{00000000-0004-0000-0300-000003000000}"/>
    <hyperlink ref="B62" r:id="rId5" display="https://myaccount.betfair.es/accountdetails/mysecurity?showAPI=1" xr:uid="{00000000-0004-0000-0300-000004000000}"/>
    <hyperlink ref="B66" r:id="rId6" display="https://api.developer.betfair.com/services/webapps/docs/display/1smk3cen4v3lu3yomq5qye0ni/Non-Interactive+%28bot%29+login" xr:uid="{00000000-0004-0000-0300-000005000000}"/>
    <hyperlink ref="B72" r:id="rId7" display="https://foroapuestas.forobet.com/MDBA-BF-FORO-TXT" xr:uid="{00000000-0004-0000-0300-000006000000}"/>
    <hyperlink ref="B76" r:id="rId8" display="http://www.betfair.es/" xr:uid="{00000000-0004-0000-0300-000007000000}"/>
    <hyperlink ref="B80" r:id="rId9" display="https://foroapuestas.forobet.com/MDBA-BF-FORO-TXT" xr:uid="{00000000-0004-0000-0300-000008000000}"/>
    <hyperlink ref="B135" r:id="rId10" display="https://foroapuestas.forobet.com/MDBA-BF-FORO-TXT" xr:uid="{00000000-0004-0000-0300-000009000000}"/>
    <hyperlink ref="B138" r:id="rId11" display="https://foroapuestas.forobet.com/MDBA-BF-FORO-TXT" xr:uid="{00000000-0004-0000-0300-00000A000000}"/>
    <hyperlink ref="B237" r:id="rId12" display="https://api.besoccer.com/?utm_source=chatgpt.com" xr:uid="{00000000-0004-0000-0300-00000B000000}"/>
    <hyperlink ref="B244" r:id="rId13" display="https://es.360player.com/product/statistics?utm_source=chatgpt.com" xr:uid="{00000000-0004-0000-0300-00000C000000}"/>
    <hyperlink ref="B264" r:id="rId14" display="https://geekflare.com/es/best-sports-apis" xr:uid="{00000000-0004-0000-0300-00000D000000}"/>
    <hyperlink ref="B265" r:id="rId15" display="https://geekflare.com/es/best-sports-apis" xr:uid="{00000000-0004-0000-0300-00000E000000}"/>
    <hyperlink ref="B267" r:id="rId16" display="https://foroapuestas.forobet.com/betfair/55166-primeros-pasos-con-el-api-de-betfair-version-es.html" xr:uid="{00000000-0004-0000-0300-00000F000000}"/>
    <hyperlink ref="B268" r:id="rId17" display="https://foroapuestas.forobet.com/betfair/55166-primeros-pasos-con-el-api-de-betfair-version-es.html" xr:uid="{00000000-0004-0000-0300-000010000000}"/>
    <hyperlink ref="B275" r:id="rId18" display="https://es.wikipedia.org/wiki/Classora?utm_source=chatgpt.com" xr:uid="{00000000-0004-0000-0300-000011000000}"/>
    <hyperlink ref="B278" r:id="rId19" display="https://es.wikipedia.org/wiki/BeSoccer?utm_source=chatgpt.com" xr:uid="{00000000-0004-0000-0300-000012000000}"/>
    <hyperlink ref="B287" r:id="rId20" display="https://es.wikipedia.org/wiki/InStat?utm_source=chatgpt.com" xr:uid="{00000000-0004-0000-0300-000013000000}"/>
    <hyperlink ref="B292" r:id="rId21" display="https://es.wikipedia.org/wiki/Sportian?utm_source=chatgpt.com" xr:uid="{00000000-0004-0000-0300-000014000000}"/>
    <hyperlink ref="B357" r:id="rId22" display="https://www.postman.com/" xr:uid="{00000000-0004-0000-0300-000015000000}"/>
    <hyperlink ref="B386" r:id="rId23" display="https://api.besoccer.com/" xr:uid="{00000000-0004-0000-0300-000016000000}"/>
    <hyperlink ref="B387" r:id="rId24" display="https://api.besoccer.com/" xr:uid="{00000000-0004-0000-0300-000017000000}"/>
    <hyperlink ref="B404" r:id="rId25" display="https://api.besoccer.com/?utm_source=chatgpt.com" xr:uid="{00000000-0004-0000-0300-000018000000}"/>
    <hyperlink ref="B413" r:id="rId26" display="https://api.besoccer.com/es/documentacion?utm_source=chatgpt.com" xr:uid="{00000000-0004-0000-0300-000019000000}"/>
    <hyperlink ref="B441" r:id="rId27" display="https://openweathermap.org/api?utm_source=chatgpt.com" xr:uid="{00000000-0004-0000-0300-00001A000000}"/>
    <hyperlink ref="B475" r:id="rId28" display="https://instatsport.com/" xr:uid="{00000000-0004-0000-0300-00001B000000}"/>
    <hyperlink ref="B492" r:id="rId29" display="https://www.sportian.com/" xr:uid="{00000000-0004-0000-0300-00001C000000}"/>
    <hyperlink ref="D520" r:id="rId30" xr:uid="{00000000-0004-0000-0300-00001D000000}"/>
    <hyperlink ref="I522" r:id="rId31" display="https://pro.besoccer.com/reports?utm_source=chatgpt.com" xr:uid="{00000000-0004-0000-0300-00001E000000}"/>
    <hyperlink ref="D524" r:id="rId32" xr:uid="{00000000-0004-0000-0300-00001F000000}"/>
    <hyperlink ref="D532" r:id="rId33" xr:uid="{00000000-0004-0000-0300-000020000000}"/>
    <hyperlink ref="D536" r:id="rId34" xr:uid="{00000000-0004-0000-0300-000021000000}"/>
    <hyperlink ref="B560" r:id="rId35" display="https://www.g2.com/es/products/instat-football/competitors/alternatives?utm_source=chatgpt.com" xr:uid="{00000000-0004-0000-0300-000022000000}"/>
    <hyperlink ref="B567" r:id="rId36" display="https://www.g2.com/es/products/longomatch/competitors/alternatives?utm_source=chatgpt.com" xr:uid="{00000000-0004-0000-0300-000023000000}"/>
    <hyperlink ref="B574" r:id="rId37" display="https://objetivoanalista.com/mejores-software-de-videoanalisis-de-futbol/?utm_source=chatgpt.com" xr:uid="{00000000-0004-0000-0300-000024000000}"/>
    <hyperlink ref="B581" r:id="rId38" display="https://objetivoanalista.com/mejores-software-de-videoanalisis-de-futbol/?utm_source=chatgpt.com" xr:uid="{00000000-0004-0000-0300-000025000000}"/>
    <hyperlink ref="B588" r:id="rId39" display="https://as.com/futbol/360player-la-app-de-referencia-de-barca-academy-y-rafa-nadal-academy-acelera-su-expansion-n/?utm_source=chatgpt.com" xr:uid="{00000000-0004-0000-0300-000026000000}"/>
    <hyperlink ref="B603" r:id="rId40" display="https://footystats.org/es/api/?utm_source=chatgpt.com" xr:uid="{00000000-0004-0000-0300-00002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18"/>
  <sheetViews>
    <sheetView topLeftCell="A52" workbookViewId="0">
      <selection activeCell="A56" sqref="A56"/>
    </sheetView>
  </sheetViews>
  <sheetFormatPr baseColWidth="10" defaultRowHeight="15"/>
  <cols>
    <col min="1" max="1" width="42.85546875" customWidth="1"/>
    <col min="2" max="2" width="13.5703125" style="391" customWidth="1"/>
    <col min="3" max="4" width="13.5703125" style="338" customWidth="1"/>
    <col min="5" max="9" width="29.5703125" style="338" customWidth="1"/>
  </cols>
  <sheetData>
    <row r="1" spans="1:9" ht="15.75" customHeight="1" thickBot="1"/>
    <row r="2" spans="1:9" s="390" customFormat="1" ht="69" customHeight="1" thickBot="1">
      <c r="A2" s="418"/>
      <c r="B2" s="415" t="s">
        <v>754</v>
      </c>
      <c r="C2" s="402" t="s">
        <v>642</v>
      </c>
      <c r="D2" s="402" t="s">
        <v>643</v>
      </c>
      <c r="E2" s="402" t="s">
        <v>644</v>
      </c>
      <c r="F2" s="403" t="s">
        <v>645</v>
      </c>
      <c r="G2" s="404" t="s">
        <v>646</v>
      </c>
      <c r="H2" s="404" t="s">
        <v>647</v>
      </c>
      <c r="I2" s="405" t="s">
        <v>648</v>
      </c>
    </row>
    <row r="3" spans="1:9" ht="45" customHeight="1">
      <c r="A3" s="601" t="s">
        <v>755</v>
      </c>
      <c r="B3" s="593" t="s">
        <v>602</v>
      </c>
      <c r="C3" s="601" t="s">
        <v>649</v>
      </c>
      <c r="D3" s="603" t="s">
        <v>650</v>
      </c>
      <c r="E3" s="396" t="s">
        <v>651</v>
      </c>
      <c r="F3" s="396" t="s">
        <v>652</v>
      </c>
      <c r="G3" s="600" t="s">
        <v>653</v>
      </c>
      <c r="H3" s="396" t="s">
        <v>756</v>
      </c>
      <c r="I3" s="392" t="s">
        <v>757</v>
      </c>
    </row>
    <row r="4" spans="1:9" ht="45" customHeight="1">
      <c r="A4" s="597"/>
      <c r="B4" s="594"/>
      <c r="C4" s="597"/>
      <c r="D4" s="597"/>
      <c r="E4" s="397" t="s">
        <v>656</v>
      </c>
      <c r="F4" s="397" t="s">
        <v>657</v>
      </c>
      <c r="G4" s="597"/>
      <c r="H4" s="397" t="s">
        <v>758</v>
      </c>
      <c r="I4" s="393" t="s">
        <v>759</v>
      </c>
    </row>
    <row r="5" spans="1:9" ht="45" customHeight="1">
      <c r="A5" s="597"/>
      <c r="B5" s="594"/>
      <c r="C5" s="597"/>
      <c r="D5" s="597"/>
      <c r="E5" s="397" t="s">
        <v>660</v>
      </c>
      <c r="F5" s="397" t="s">
        <v>661</v>
      </c>
      <c r="G5" s="597"/>
      <c r="H5" s="397"/>
      <c r="I5" s="394" t="s">
        <v>662</v>
      </c>
    </row>
    <row r="6" spans="1:9" ht="30.75" customHeight="1" thickBot="1">
      <c r="A6" s="598"/>
      <c r="B6" s="595"/>
      <c r="C6" s="598"/>
      <c r="D6" s="598"/>
      <c r="E6" s="398" t="s">
        <v>663</v>
      </c>
      <c r="F6" s="398"/>
      <c r="G6" s="598"/>
      <c r="H6" s="398"/>
      <c r="I6" s="395"/>
    </row>
    <row r="7" spans="1:9" ht="45" customHeight="1">
      <c r="A7" s="601" t="s">
        <v>760</v>
      </c>
      <c r="B7" s="604" t="s">
        <v>664</v>
      </c>
      <c r="C7" s="602" t="s">
        <v>665</v>
      </c>
      <c r="D7" s="599" t="s">
        <v>666</v>
      </c>
      <c r="E7" s="406" t="s">
        <v>651</v>
      </c>
      <c r="F7" s="602" t="s">
        <v>667</v>
      </c>
      <c r="G7" s="596" t="s">
        <v>668</v>
      </c>
      <c r="H7" s="406" t="s">
        <v>761</v>
      </c>
      <c r="I7" s="407" t="s">
        <v>762</v>
      </c>
    </row>
    <row r="8" spans="1:9" ht="45" customHeight="1">
      <c r="A8" s="597"/>
      <c r="B8" s="594"/>
      <c r="C8" s="597"/>
      <c r="D8" s="597"/>
      <c r="E8" s="408" t="s">
        <v>671</v>
      </c>
      <c r="F8" s="597"/>
      <c r="G8" s="597"/>
      <c r="H8" s="408" t="s">
        <v>763</v>
      </c>
      <c r="I8" s="410" t="s">
        <v>764</v>
      </c>
    </row>
    <row r="9" spans="1:9" ht="45" customHeight="1">
      <c r="A9" s="597"/>
      <c r="B9" s="594"/>
      <c r="C9" s="597"/>
      <c r="D9" s="597"/>
      <c r="E9" s="408" t="s">
        <v>674</v>
      </c>
      <c r="F9" s="597"/>
      <c r="G9" s="597"/>
      <c r="H9" s="408" t="s">
        <v>765</v>
      </c>
      <c r="I9" s="410"/>
    </row>
    <row r="10" spans="1:9" ht="45.75" customHeight="1" thickBot="1">
      <c r="A10" s="598"/>
      <c r="B10" s="595"/>
      <c r="C10" s="598"/>
      <c r="D10" s="598"/>
      <c r="E10" s="411"/>
      <c r="F10" s="598"/>
      <c r="G10" s="598"/>
      <c r="H10" s="411" t="s">
        <v>766</v>
      </c>
      <c r="I10" s="412"/>
    </row>
    <row r="11" spans="1:9" ht="60" customHeight="1">
      <c r="A11" s="601" t="s">
        <v>767</v>
      </c>
      <c r="B11" s="593" t="s">
        <v>677</v>
      </c>
      <c r="C11" s="601" t="s">
        <v>678</v>
      </c>
      <c r="D11" s="601" t="s">
        <v>679</v>
      </c>
      <c r="E11" s="396" t="s">
        <v>651</v>
      </c>
      <c r="F11" s="396" t="s">
        <v>652</v>
      </c>
      <c r="G11" s="600" t="s">
        <v>680</v>
      </c>
      <c r="H11" s="396" t="s">
        <v>768</v>
      </c>
      <c r="I11" s="392" t="s">
        <v>769</v>
      </c>
    </row>
    <row r="12" spans="1:9" ht="30" customHeight="1">
      <c r="A12" s="597"/>
      <c r="B12" s="594"/>
      <c r="C12" s="597"/>
      <c r="D12" s="597"/>
      <c r="E12" s="397" t="s">
        <v>683</v>
      </c>
      <c r="F12" s="397" t="s">
        <v>684</v>
      </c>
      <c r="G12" s="597"/>
      <c r="H12" s="397" t="s">
        <v>758</v>
      </c>
      <c r="I12" s="393" t="s">
        <v>770</v>
      </c>
    </row>
    <row r="13" spans="1:9" ht="45" customHeight="1">
      <c r="A13" s="597"/>
      <c r="B13" s="594"/>
      <c r="C13" s="597"/>
      <c r="D13" s="597"/>
      <c r="E13" s="397" t="s">
        <v>686</v>
      </c>
      <c r="F13" s="397" t="s">
        <v>687</v>
      </c>
      <c r="G13" s="597"/>
      <c r="H13" s="397"/>
      <c r="I13" s="393"/>
    </row>
    <row r="14" spans="1:9" ht="30.75" customHeight="1" thickBot="1">
      <c r="A14" s="598"/>
      <c r="B14" s="595"/>
      <c r="C14" s="598"/>
      <c r="D14" s="598"/>
      <c r="E14" s="398" t="s">
        <v>688</v>
      </c>
      <c r="F14" s="398"/>
      <c r="G14" s="598"/>
      <c r="H14" s="398"/>
      <c r="I14" s="395"/>
    </row>
    <row r="15" spans="1:9" ht="150.75" customHeight="1" thickBot="1">
      <c r="A15" s="417" t="s">
        <v>771</v>
      </c>
      <c r="B15" s="429" t="s">
        <v>772</v>
      </c>
      <c r="C15" s="430" t="s">
        <v>773</v>
      </c>
      <c r="D15" s="428" t="s">
        <v>774</v>
      </c>
      <c r="E15" s="430" t="s">
        <v>775</v>
      </c>
      <c r="F15" s="430" t="s">
        <v>776</v>
      </c>
      <c r="G15" s="430" t="s">
        <v>777</v>
      </c>
      <c r="H15" s="430" t="s">
        <v>778</v>
      </c>
      <c r="I15" s="430" t="s">
        <v>779</v>
      </c>
    </row>
    <row r="16" spans="1:9" ht="150.75" customHeight="1" thickBot="1">
      <c r="A16" s="417" t="s">
        <v>771</v>
      </c>
      <c r="B16" s="431" t="s">
        <v>780</v>
      </c>
      <c r="C16" s="432" t="s">
        <v>773</v>
      </c>
      <c r="D16" s="433" t="s">
        <v>781</v>
      </c>
      <c r="E16" s="432" t="s">
        <v>782</v>
      </c>
      <c r="F16" s="432" t="s">
        <v>776</v>
      </c>
      <c r="G16" s="434" t="s">
        <v>783</v>
      </c>
      <c r="H16" s="432" t="s">
        <v>778</v>
      </c>
      <c r="I16" s="435" t="s">
        <v>784</v>
      </c>
    </row>
    <row r="17" spans="1:9" ht="60.75" customHeight="1">
      <c r="A17" s="605"/>
      <c r="B17" s="593" t="s">
        <v>160</v>
      </c>
      <c r="C17" s="602" t="s">
        <v>785</v>
      </c>
      <c r="D17" s="599" t="s">
        <v>786</v>
      </c>
      <c r="E17" s="599" t="s">
        <v>787</v>
      </c>
      <c r="F17" s="406" t="s">
        <v>788</v>
      </c>
      <c r="G17" s="596" t="s">
        <v>789</v>
      </c>
      <c r="H17" s="602" t="s">
        <v>790</v>
      </c>
      <c r="I17" s="407" t="s">
        <v>791</v>
      </c>
    </row>
    <row r="18" spans="1:9">
      <c r="A18" s="597"/>
      <c r="B18" s="594"/>
      <c r="C18" s="597"/>
      <c r="D18" s="597"/>
      <c r="E18" s="597"/>
      <c r="F18" s="409" t="s">
        <v>792</v>
      </c>
      <c r="G18" s="597"/>
      <c r="H18" s="597"/>
      <c r="I18" s="413" t="s">
        <v>793</v>
      </c>
    </row>
    <row r="19" spans="1:9" ht="15.75" customHeight="1" thickBot="1">
      <c r="A19" s="606"/>
      <c r="B19" s="595"/>
      <c r="C19" s="598"/>
      <c r="D19" s="598"/>
      <c r="E19" s="598"/>
      <c r="F19" s="411"/>
      <c r="G19" s="598"/>
      <c r="H19" s="598"/>
      <c r="I19" s="414" t="s">
        <v>794</v>
      </c>
    </row>
    <row r="20" spans="1:9" ht="75.75" customHeight="1" thickBot="1">
      <c r="A20" s="396"/>
      <c r="B20" s="416" t="s">
        <v>795</v>
      </c>
      <c r="C20" s="396" t="s">
        <v>796</v>
      </c>
      <c r="D20" s="400" t="s">
        <v>797</v>
      </c>
      <c r="E20" s="396" t="s">
        <v>798</v>
      </c>
      <c r="F20" s="396" t="s">
        <v>799</v>
      </c>
      <c r="G20" s="401" t="s">
        <v>800</v>
      </c>
      <c r="H20" s="396" t="s">
        <v>801</v>
      </c>
      <c r="I20" s="392" t="s">
        <v>802</v>
      </c>
    </row>
    <row r="21" spans="1:9" ht="150.75" customHeight="1" thickBot="1">
      <c r="A21" s="417" t="s">
        <v>771</v>
      </c>
      <c r="B21" s="451" t="s">
        <v>803</v>
      </c>
      <c r="C21" s="442" t="s">
        <v>804</v>
      </c>
      <c r="D21" s="443" t="s">
        <v>805</v>
      </c>
      <c r="E21" s="442" t="s">
        <v>806</v>
      </c>
      <c r="F21" s="442" t="s">
        <v>776</v>
      </c>
      <c r="G21" s="444" t="s">
        <v>807</v>
      </c>
      <c r="H21" s="442" t="s">
        <v>778</v>
      </c>
      <c r="I21" s="445" t="s">
        <v>808</v>
      </c>
    </row>
    <row r="22" spans="1:9" ht="75.75" customHeight="1" thickBot="1">
      <c r="A22" s="436"/>
      <c r="B22" s="437" t="s">
        <v>809</v>
      </c>
      <c r="C22" s="432" t="s">
        <v>810</v>
      </c>
      <c r="D22" s="438" t="s">
        <v>811</v>
      </c>
      <c r="E22" s="432" t="s">
        <v>812</v>
      </c>
      <c r="F22" s="432" t="s">
        <v>776</v>
      </c>
      <c r="G22" s="439" t="s">
        <v>783</v>
      </c>
      <c r="H22" s="432" t="s">
        <v>778</v>
      </c>
      <c r="I22" s="435" t="s">
        <v>784</v>
      </c>
    </row>
    <row r="23" spans="1:9" ht="150.75" customHeight="1" thickBot="1">
      <c r="A23" s="417" t="s">
        <v>771</v>
      </c>
      <c r="B23" s="446" t="s">
        <v>813</v>
      </c>
      <c r="C23" s="447" t="s">
        <v>814</v>
      </c>
      <c r="D23" s="448" t="s">
        <v>815</v>
      </c>
      <c r="E23" s="447" t="s">
        <v>816</v>
      </c>
      <c r="F23" s="447" t="s">
        <v>776</v>
      </c>
      <c r="G23" s="39" t="s">
        <v>1007</v>
      </c>
      <c r="H23" s="447" t="s">
        <v>778</v>
      </c>
      <c r="I23" s="449" t="s">
        <v>817</v>
      </c>
    </row>
    <row r="24" spans="1:9" ht="150.75" customHeight="1" thickBot="1">
      <c r="A24" s="417" t="s">
        <v>771</v>
      </c>
      <c r="B24" s="440" t="s">
        <v>818</v>
      </c>
      <c r="C24" s="432" t="s">
        <v>819</v>
      </c>
      <c r="D24" s="441" t="s">
        <v>820</v>
      </c>
      <c r="E24" s="432" t="s">
        <v>821</v>
      </c>
      <c r="F24" s="432" t="s">
        <v>776</v>
      </c>
      <c r="G24" s="441" t="s">
        <v>822</v>
      </c>
      <c r="H24" s="432" t="s">
        <v>778</v>
      </c>
      <c r="I24" s="435" t="s">
        <v>823</v>
      </c>
    </row>
    <row r="25" spans="1:9" ht="75.75" customHeight="1" thickBot="1">
      <c r="A25" s="396"/>
      <c r="B25" s="423" t="s">
        <v>824</v>
      </c>
      <c r="C25" s="424" t="s">
        <v>825</v>
      </c>
      <c r="D25" s="424" t="s">
        <v>826</v>
      </c>
      <c r="E25" s="424" t="s">
        <v>827</v>
      </c>
      <c r="F25" s="424" t="s">
        <v>828</v>
      </c>
      <c r="G25" s="426" t="s">
        <v>829</v>
      </c>
      <c r="H25" s="424" t="s">
        <v>830</v>
      </c>
      <c r="I25" s="427" t="s">
        <v>831</v>
      </c>
    </row>
    <row r="26" spans="1:9" ht="90.75" customHeight="1" thickBot="1">
      <c r="A26" s="399"/>
      <c r="B26" s="419" t="s">
        <v>832</v>
      </c>
      <c r="C26" s="399" t="s">
        <v>833</v>
      </c>
      <c r="D26" s="422" t="s">
        <v>834</v>
      </c>
      <c r="E26" s="399" t="s">
        <v>835</v>
      </c>
      <c r="F26" s="399" t="s">
        <v>836</v>
      </c>
      <c r="G26" s="420" t="s">
        <v>837</v>
      </c>
      <c r="H26" s="399" t="s">
        <v>838</v>
      </c>
      <c r="I26" s="421" t="s">
        <v>839</v>
      </c>
    </row>
    <row r="27" spans="1:9" ht="90.75" customHeight="1" thickBot="1">
      <c r="A27" s="399"/>
      <c r="B27" s="423" t="s">
        <v>840</v>
      </c>
      <c r="C27" s="424" t="s">
        <v>841</v>
      </c>
      <c r="D27" s="425" t="s">
        <v>842</v>
      </c>
      <c r="E27" s="424" t="s">
        <v>843</v>
      </c>
      <c r="F27" s="424" t="s">
        <v>844</v>
      </c>
      <c r="G27" s="426" t="s">
        <v>845</v>
      </c>
      <c r="H27" s="424" t="s">
        <v>846</v>
      </c>
      <c r="I27" s="427" t="s">
        <v>847</v>
      </c>
    </row>
    <row r="39" spans="2:7" ht="75" customHeight="1">
      <c r="B39" s="5" t="s">
        <v>848</v>
      </c>
      <c r="C39" s="5" t="s">
        <v>642</v>
      </c>
      <c r="D39" s="5" t="s">
        <v>849</v>
      </c>
      <c r="E39" s="5" t="s">
        <v>850</v>
      </c>
    </row>
    <row r="40" spans="2:7" ht="120" customHeight="1">
      <c r="B40" s="450" t="s">
        <v>160</v>
      </c>
      <c r="C40" s="450" t="s">
        <v>785</v>
      </c>
      <c r="D40" s="450"/>
      <c r="E40" s="450" t="s">
        <v>851</v>
      </c>
      <c r="G40" s="39" t="s">
        <v>852</v>
      </c>
    </row>
    <row r="41" spans="2:7" ht="150" customHeight="1">
      <c r="B41" s="450" t="s">
        <v>803</v>
      </c>
      <c r="C41" s="450" t="s">
        <v>804</v>
      </c>
      <c r="D41" s="450" t="s">
        <v>853</v>
      </c>
      <c r="E41" s="450" t="s">
        <v>854</v>
      </c>
    </row>
    <row r="42" spans="2:7" ht="150" customHeight="1">
      <c r="B42" s="339" t="s">
        <v>813</v>
      </c>
      <c r="C42" s="339" t="s">
        <v>814</v>
      </c>
      <c r="D42" s="339" t="s">
        <v>853</v>
      </c>
      <c r="E42" s="339" t="s">
        <v>855</v>
      </c>
    </row>
    <row r="43" spans="2:7" ht="75" customHeight="1">
      <c r="B43" s="339" t="s">
        <v>818</v>
      </c>
      <c r="C43" s="339" t="s">
        <v>819</v>
      </c>
      <c r="D43" s="339" t="s">
        <v>856</v>
      </c>
      <c r="E43" s="339" t="s">
        <v>857</v>
      </c>
    </row>
    <row r="44" spans="2:7" ht="75" customHeight="1">
      <c r="B44" s="339" t="s">
        <v>832</v>
      </c>
      <c r="C44" s="339" t="s">
        <v>833</v>
      </c>
      <c r="D44" s="339" t="s">
        <v>856</v>
      </c>
      <c r="E44" s="339" t="s">
        <v>858</v>
      </c>
    </row>
    <row r="45" spans="2:7" ht="75" customHeight="1">
      <c r="B45" s="339" t="s">
        <v>824</v>
      </c>
      <c r="C45" s="339" t="s">
        <v>825</v>
      </c>
      <c r="D45" s="339" t="s">
        <v>856</v>
      </c>
      <c r="E45" s="339" t="s">
        <v>859</v>
      </c>
    </row>
    <row r="46" spans="2:7" ht="60" customHeight="1">
      <c r="B46" s="339" t="s">
        <v>840</v>
      </c>
      <c r="C46" s="339" t="s">
        <v>841</v>
      </c>
      <c r="D46" s="339" t="s">
        <v>856</v>
      </c>
      <c r="E46" s="339" t="s">
        <v>860</v>
      </c>
    </row>
    <row r="47" spans="2:7" ht="150" customHeight="1">
      <c r="B47" s="339" t="s">
        <v>772</v>
      </c>
      <c r="C47" s="339" t="s">
        <v>773</v>
      </c>
      <c r="D47" s="339" t="s">
        <v>856</v>
      </c>
      <c r="E47" s="339" t="s">
        <v>861</v>
      </c>
    </row>
    <row r="48" spans="2:7" ht="120" customHeight="1">
      <c r="B48" s="339" t="s">
        <v>780</v>
      </c>
      <c r="C48" s="339" t="s">
        <v>862</v>
      </c>
      <c r="D48" s="339" t="s">
        <v>856</v>
      </c>
      <c r="E48" s="339" t="s">
        <v>863</v>
      </c>
    </row>
    <row r="49" spans="1:9" ht="135" customHeight="1">
      <c r="B49" s="450" t="s">
        <v>602</v>
      </c>
      <c r="C49" s="450" t="s">
        <v>864</v>
      </c>
      <c r="D49" s="450" t="s">
        <v>856</v>
      </c>
      <c r="E49" s="450" t="s">
        <v>865</v>
      </c>
      <c r="F49" s="338" t="s">
        <v>866</v>
      </c>
      <c r="G49" s="39" t="s">
        <v>867</v>
      </c>
      <c r="H49" s="338" t="s">
        <v>868</v>
      </c>
      <c r="I49" s="453" t="s">
        <v>869</v>
      </c>
    </row>
    <row r="50" spans="1:9" ht="90" customHeight="1">
      <c r="B50" s="339" t="s">
        <v>664</v>
      </c>
      <c r="C50" s="339" t="s">
        <v>773</v>
      </c>
      <c r="D50" s="339" t="s">
        <v>856</v>
      </c>
      <c r="E50" s="339" t="s">
        <v>870</v>
      </c>
      <c r="I50" s="453" t="s">
        <v>871</v>
      </c>
    </row>
    <row r="51" spans="1:9" ht="291" customHeight="1">
      <c r="A51" s="75"/>
      <c r="B51" s="450" t="s">
        <v>872</v>
      </c>
      <c r="C51" s="450" t="s">
        <v>873</v>
      </c>
      <c r="D51" s="450" t="s">
        <v>856</v>
      </c>
      <c r="E51" s="450" t="s">
        <v>874</v>
      </c>
      <c r="F51" s="338" t="s">
        <v>875</v>
      </c>
      <c r="G51" s="39" t="s">
        <v>876</v>
      </c>
      <c r="H51" s="338" t="s">
        <v>877</v>
      </c>
      <c r="I51" s="454" t="s">
        <v>878</v>
      </c>
    </row>
    <row r="52" spans="1:9" ht="90" customHeight="1">
      <c r="B52" s="339" t="s">
        <v>824</v>
      </c>
      <c r="C52" s="339" t="s">
        <v>879</v>
      </c>
      <c r="D52" s="339" t="s">
        <v>856</v>
      </c>
      <c r="E52" s="339" t="s">
        <v>880</v>
      </c>
      <c r="I52" s="454" t="s">
        <v>881</v>
      </c>
    </row>
    <row r="53" spans="1:9" ht="75" customHeight="1" thickBot="1">
      <c r="B53" s="339" t="s">
        <v>795</v>
      </c>
      <c r="C53" s="339" t="s">
        <v>796</v>
      </c>
      <c r="D53" s="339" t="s">
        <v>882</v>
      </c>
      <c r="E53" s="339" t="s">
        <v>883</v>
      </c>
      <c r="I53" s="454" t="s">
        <v>884</v>
      </c>
    </row>
    <row r="54" spans="1:9" ht="150.75" customHeight="1" thickBot="1">
      <c r="A54" s="417" t="s">
        <v>771</v>
      </c>
      <c r="B54" s="446" t="s">
        <v>813</v>
      </c>
      <c r="C54" s="447" t="s">
        <v>814</v>
      </c>
      <c r="D54" s="448" t="s">
        <v>815</v>
      </c>
      <c r="E54" s="447" t="s">
        <v>816</v>
      </c>
      <c r="F54" s="447" t="s">
        <v>776</v>
      </c>
      <c r="G54" s="39" t="s">
        <v>1007</v>
      </c>
      <c r="H54" s="447" t="s">
        <v>778</v>
      </c>
      <c r="I54" s="449" t="s">
        <v>817</v>
      </c>
    </row>
    <row r="55" spans="1:9" ht="91.5" customHeight="1">
      <c r="A55" s="39" t="s">
        <v>1008</v>
      </c>
      <c r="B55" s="391" t="s">
        <v>1009</v>
      </c>
      <c r="C55" s="338" t="s">
        <v>1010</v>
      </c>
    </row>
    <row r="56" spans="1:9" ht="91.5" customHeight="1"/>
    <row r="57" spans="1:9" ht="106.5" customHeight="1"/>
    <row r="58" spans="1:9" ht="30.75" customHeight="1"/>
    <row r="59" spans="1:9" ht="60.75" customHeight="1"/>
    <row r="60" spans="1:9">
      <c r="E60" s="39" t="s">
        <v>1011</v>
      </c>
    </row>
    <row r="62" spans="1:9" ht="22.5" customHeight="1"/>
    <row r="77" spans="6:6" ht="30">
      <c r="F77" s="338" t="s">
        <v>1012</v>
      </c>
    </row>
    <row r="95" spans="1:1">
      <c r="A95" t="s">
        <v>890</v>
      </c>
    </row>
    <row r="97" spans="1:3" ht="22.5">
      <c r="A97" s="452" t="s">
        <v>891</v>
      </c>
      <c r="C97" s="338" t="s">
        <v>892</v>
      </c>
    </row>
    <row r="99" spans="1:3">
      <c r="A99" s="39" t="s">
        <v>893</v>
      </c>
    </row>
    <row r="100" spans="1:3">
      <c r="A100" t="s">
        <v>894</v>
      </c>
    </row>
    <row r="114" spans="9:9" ht="94.5">
      <c r="I114" s="454" t="s">
        <v>885</v>
      </c>
    </row>
    <row r="115" spans="9:9" ht="110.25">
      <c r="I115" s="454" t="s">
        <v>886</v>
      </c>
    </row>
    <row r="116" spans="9:9" ht="110.25">
      <c r="I116" s="454" t="s">
        <v>887</v>
      </c>
    </row>
    <row r="117" spans="9:9" ht="31.5">
      <c r="I117" s="454" t="s">
        <v>888</v>
      </c>
    </row>
    <row r="118" spans="9:9" ht="78.75">
      <c r="I118" s="454" t="s">
        <v>889</v>
      </c>
    </row>
  </sheetData>
  <mergeCells count="23">
    <mergeCell ref="H17:H19"/>
    <mergeCell ref="A17:A19"/>
    <mergeCell ref="C17:C19"/>
    <mergeCell ref="F7:F10"/>
    <mergeCell ref="B3:B6"/>
    <mergeCell ref="A11:A14"/>
    <mergeCell ref="G7:G10"/>
    <mergeCell ref="B11:B14"/>
    <mergeCell ref="D11:D14"/>
    <mergeCell ref="A7:A10"/>
    <mergeCell ref="G3:G6"/>
    <mergeCell ref="A3:A6"/>
    <mergeCell ref="D7:D10"/>
    <mergeCell ref="C7:C10"/>
    <mergeCell ref="D17:D19"/>
    <mergeCell ref="D3:D6"/>
    <mergeCell ref="C3:C6"/>
    <mergeCell ref="B7:B10"/>
    <mergeCell ref="B17:B19"/>
    <mergeCell ref="G17:G19"/>
    <mergeCell ref="E17:E19"/>
    <mergeCell ref="G11:G14"/>
    <mergeCell ref="C11:C14"/>
  </mergeCells>
  <hyperlinks>
    <hyperlink ref="D3" r:id="rId1" xr:uid="{00000000-0004-0000-0400-000000000000}"/>
    <hyperlink ref="G3" r:id="rId2" xr:uid="{00000000-0004-0000-0400-000001000000}"/>
    <hyperlink ref="I5" r:id="rId3" display="https://pro.besoccer.com/reports?utm_source=chatgpt.com" xr:uid="{00000000-0004-0000-0400-000002000000}"/>
    <hyperlink ref="D7" r:id="rId4" xr:uid="{00000000-0004-0000-0400-000003000000}"/>
    <hyperlink ref="G7" r:id="rId5" xr:uid="{00000000-0004-0000-0400-000004000000}"/>
    <hyperlink ref="D11" r:id="rId6" xr:uid="{00000000-0004-0000-0400-000005000000}"/>
    <hyperlink ref="G11" r:id="rId7" xr:uid="{00000000-0004-0000-0400-000006000000}"/>
    <hyperlink ref="D15" r:id="rId8" xr:uid="{00000000-0004-0000-0400-000007000000}"/>
    <hyperlink ref="D16" r:id="rId9" xr:uid="{00000000-0004-0000-0400-000008000000}"/>
    <hyperlink ref="G16" r:id="rId10" xr:uid="{00000000-0004-0000-0400-000009000000}"/>
    <hyperlink ref="D17" r:id="rId11" xr:uid="{00000000-0004-0000-0400-00000A000000}"/>
    <hyperlink ref="E17" r:id="rId12" display="https://developer.betfair.com/" xr:uid="{00000000-0004-0000-0400-00000B000000}"/>
    <hyperlink ref="G17" r:id="rId13" xr:uid="{00000000-0004-0000-0400-00000C000000}"/>
    <hyperlink ref="F18" r:id="rId14" display="https://support.developer.betfair.com/hc/en-us/articles/115003864651-How-do-I-get-started?utm_source=chatgpt.com" xr:uid="{00000000-0004-0000-0400-00000D000000}"/>
    <hyperlink ref="I18" r:id="rId15" display="https://apps.betfair.com/visualisers/api-ng-sports-operations/?utm_source=chatgpt.com" xr:uid="{00000000-0004-0000-0400-00000E000000}"/>
    <hyperlink ref="I19" r:id="rId16" display="https://developer.betfair.com/exchange-api/betting-api-demo/?utm_source=chatgpt.com" xr:uid="{00000000-0004-0000-0400-00000F000000}"/>
    <hyperlink ref="D20" r:id="rId17" xr:uid="{00000000-0004-0000-0400-000010000000}"/>
    <hyperlink ref="D21" r:id="rId18" xr:uid="{00000000-0004-0000-0400-000011000000}"/>
    <hyperlink ref="G21" r:id="rId19" xr:uid="{00000000-0004-0000-0400-000012000000}"/>
    <hyperlink ref="D22" r:id="rId20" xr:uid="{00000000-0004-0000-0400-000013000000}"/>
    <hyperlink ref="G22" r:id="rId21" xr:uid="{00000000-0004-0000-0400-000014000000}"/>
    <hyperlink ref="D23" r:id="rId22" xr:uid="{00000000-0004-0000-0400-000015000000}"/>
    <hyperlink ref="D24" r:id="rId23" xr:uid="{00000000-0004-0000-0400-000017000000}"/>
    <hyperlink ref="G24" r:id="rId24" xr:uid="{00000000-0004-0000-0400-000018000000}"/>
    <hyperlink ref="D26" r:id="rId25" xr:uid="{00000000-0004-0000-0400-000019000000}"/>
    <hyperlink ref="D27" r:id="rId26" xr:uid="{00000000-0004-0000-0400-00001A000000}"/>
    <hyperlink ref="G40" r:id="rId27" xr:uid="{00000000-0004-0000-0400-00001B000000}"/>
    <hyperlink ref="G49" r:id="rId28" xr:uid="{00000000-0004-0000-0400-00001C000000}"/>
    <hyperlink ref="G51" r:id="rId29" xr:uid="{00000000-0004-0000-0400-00001D000000}"/>
    <hyperlink ref="A99" r:id="rId30" display="https://www.youtube.com/@SoyJuanjoDigital" xr:uid="{00000000-0004-0000-0400-00001E000000}"/>
    <hyperlink ref="G23" r:id="rId31" xr:uid="{8387E7A3-C924-4389-9414-F48D2E05BE3C}"/>
    <hyperlink ref="D54" r:id="rId32" xr:uid="{F6206692-583B-4CF7-AC53-51AC768F8E02}"/>
    <hyperlink ref="G54" r:id="rId33" xr:uid="{1BC2974F-57E7-4C22-A273-B49210B9B05A}"/>
    <hyperlink ref="A55" r:id="rId34" xr:uid="{18A8A6AF-82A2-4864-8369-5EC47910FC8D}"/>
    <hyperlink ref="E60" r:id="rId35" display="https://www.youtube.com/redirect?event=video_description&amp;redir_token=QUFFLUhqbGppUHRHczZjeW9IRkZzdzZKSjBYVVBKdy1vUXxBQ3Jtc0tuckl5UG1Wd0JsUVZoTVV4STBDSnEzMTNoVGQzR1BGZEZKZUlQYTgxZFlHXzRGZlh1OVBpTEE0RlBfOHNlaU9DOG9aMTFPYWVSbDVSclFFMVJndzBqY0t5cEVzamU2WlR5SHEzcnhUd3lQQ1ZKZkxxSQ&amp;q=https%3A%2F%2Fgithub.com%2Ffedericorabanos%2Ffutbol-data-visualizacion%2Ftree%2Fmain%2Farchivos%2Fstreams-videos&amp;v=i4vlEyHuEU8" xr:uid="{C0E9E2EF-D190-4A66-B02E-42A798F6CBB1}"/>
  </hyperlinks>
  <pageMargins left="0.7" right="0.7" top="0.75" bottom="0.75" header="0.3" footer="0.3"/>
  <drawing r:id="rId3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B251"/>
  <sheetViews>
    <sheetView topLeftCell="A159" workbookViewId="0">
      <selection activeCell="B257" sqref="B257"/>
    </sheetView>
  </sheetViews>
  <sheetFormatPr baseColWidth="10" defaultRowHeight="15"/>
  <cols>
    <col min="2" max="2" width="29.85546875" customWidth="1"/>
  </cols>
  <sheetData>
    <row r="2" spans="2:2">
      <c r="B2" t="s">
        <v>602</v>
      </c>
    </row>
    <row r="4" spans="2:2">
      <c r="B4" t="s">
        <v>895</v>
      </c>
    </row>
    <row r="5" spans="2:2" ht="12" customHeight="1">
      <c r="B5" s="455" t="s">
        <v>896</v>
      </c>
    </row>
    <row r="6" spans="2:2" ht="12" customHeight="1">
      <c r="B6" s="456" t="s">
        <v>897</v>
      </c>
    </row>
    <row r="7" spans="2:2" ht="12" customHeight="1">
      <c r="B7" s="455" t="s">
        <v>896</v>
      </c>
    </row>
    <row r="8" spans="2:2" ht="12" customHeight="1">
      <c r="B8" s="456" t="s">
        <v>898</v>
      </c>
    </row>
    <row r="9" spans="2:2" ht="12" customHeight="1">
      <c r="B9" s="455" t="s">
        <v>896</v>
      </c>
    </row>
    <row r="10" spans="2:2" ht="12" customHeight="1">
      <c r="B10" s="456" t="s">
        <v>899</v>
      </c>
    </row>
    <row r="11" spans="2:2" ht="12" customHeight="1">
      <c r="B11" s="455" t="s">
        <v>896</v>
      </c>
    </row>
    <row r="12" spans="2:2" ht="12" customHeight="1">
      <c r="B12" s="456" t="s">
        <v>900</v>
      </c>
    </row>
    <row r="13" spans="2:2" ht="12" customHeight="1">
      <c r="B13" s="455" t="s">
        <v>896</v>
      </c>
    </row>
    <row r="14" spans="2:2" ht="12" customHeight="1">
      <c r="B14" s="456" t="s">
        <v>901</v>
      </c>
    </row>
    <row r="15" spans="2:2" ht="12" customHeight="1">
      <c r="B15" s="455" t="s">
        <v>896</v>
      </c>
    </row>
    <row r="16" spans="2:2" ht="12" customHeight="1">
      <c r="B16" s="456" t="s">
        <v>902</v>
      </c>
    </row>
    <row r="17" spans="2:2" ht="12" customHeight="1">
      <c r="B17" s="455" t="s">
        <v>896</v>
      </c>
    </row>
    <row r="18" spans="2:2" ht="12" customHeight="1">
      <c r="B18" s="456" t="s">
        <v>903</v>
      </c>
    </row>
    <row r="19" spans="2:2" ht="12" customHeight="1">
      <c r="B19" s="455" t="s">
        <v>896</v>
      </c>
    </row>
    <row r="20" spans="2:2" ht="12" customHeight="1">
      <c r="B20" s="456" t="s">
        <v>904</v>
      </c>
    </row>
    <row r="21" spans="2:2" ht="12" customHeight="1">
      <c r="B21" s="455" t="s">
        <v>896</v>
      </c>
    </row>
    <row r="22" spans="2:2" ht="12" customHeight="1">
      <c r="B22" s="456" t="s">
        <v>905</v>
      </c>
    </row>
    <row r="23" spans="2:2" ht="12" customHeight="1">
      <c r="B23" s="455" t="s">
        <v>896</v>
      </c>
    </row>
    <row r="24" spans="2:2" ht="12" customHeight="1">
      <c r="B24" s="456" t="s">
        <v>906</v>
      </c>
    </row>
    <row r="25" spans="2:2" ht="12" customHeight="1">
      <c r="B25" s="455" t="s">
        <v>896</v>
      </c>
    </row>
    <row r="26" spans="2:2" ht="12" customHeight="1">
      <c r="B26" s="456" t="s">
        <v>907</v>
      </c>
    </row>
    <row r="27" spans="2:2" ht="12" customHeight="1">
      <c r="B27" s="455" t="s">
        <v>896</v>
      </c>
    </row>
    <row r="28" spans="2:2" ht="12" customHeight="1">
      <c r="B28" s="456" t="s">
        <v>908</v>
      </c>
    </row>
    <row r="29" spans="2:2" ht="12" customHeight="1">
      <c r="B29" s="455" t="s">
        <v>896</v>
      </c>
    </row>
    <row r="30" spans="2:2" ht="12" customHeight="1">
      <c r="B30" s="456" t="s">
        <v>909</v>
      </c>
    </row>
    <row r="31" spans="2:2" ht="12" customHeight="1">
      <c r="B31" s="455" t="s">
        <v>896</v>
      </c>
    </row>
    <row r="32" spans="2:2" ht="12" customHeight="1">
      <c r="B32" s="456" t="s">
        <v>910</v>
      </c>
    </row>
    <row r="33" spans="2:2" ht="12" customHeight="1">
      <c r="B33" s="455" t="s">
        <v>896</v>
      </c>
    </row>
    <row r="34" spans="2:2" ht="12" customHeight="1">
      <c r="B34" s="456" t="s">
        <v>911</v>
      </c>
    </row>
    <row r="36" spans="2:2">
      <c r="B36" t="s">
        <v>912</v>
      </c>
    </row>
    <row r="38" spans="2:2">
      <c r="B38" s="455" t="s">
        <v>896</v>
      </c>
    </row>
    <row r="39" spans="2:2">
      <c r="B39" s="456" t="s">
        <v>913</v>
      </c>
    </row>
    <row r="40" spans="2:2">
      <c r="B40" s="455" t="s">
        <v>896</v>
      </c>
    </row>
    <row r="41" spans="2:2">
      <c r="B41" s="456" t="s">
        <v>914</v>
      </c>
    </row>
    <row r="42" spans="2:2">
      <c r="B42" s="455" t="s">
        <v>896</v>
      </c>
    </row>
    <row r="43" spans="2:2">
      <c r="B43" s="456" t="s">
        <v>915</v>
      </c>
    </row>
    <row r="44" spans="2:2">
      <c r="B44" s="455" t="s">
        <v>896</v>
      </c>
    </row>
    <row r="45" spans="2:2">
      <c r="B45" s="456" t="s">
        <v>916</v>
      </c>
    </row>
    <row r="46" spans="2:2">
      <c r="B46" s="455" t="s">
        <v>896</v>
      </c>
    </row>
    <row r="47" spans="2:2">
      <c r="B47" s="456" t="s">
        <v>917</v>
      </c>
    </row>
    <row r="48" spans="2:2">
      <c r="B48" s="455" t="s">
        <v>896</v>
      </c>
    </row>
    <row r="49" spans="2:2">
      <c r="B49" s="456" t="s">
        <v>918</v>
      </c>
    </row>
    <row r="50" spans="2:2">
      <c r="B50" s="455" t="s">
        <v>896</v>
      </c>
    </row>
    <row r="51" spans="2:2">
      <c r="B51" s="456" t="s">
        <v>919</v>
      </c>
    </row>
    <row r="52" spans="2:2">
      <c r="B52" s="455" t="s">
        <v>896</v>
      </c>
    </row>
    <row r="53" spans="2:2">
      <c r="B53" s="456" t="s">
        <v>920</v>
      </c>
    </row>
    <row r="54" spans="2:2">
      <c r="B54" s="455" t="s">
        <v>896</v>
      </c>
    </row>
    <row r="55" spans="2:2">
      <c r="B55" s="456" t="s">
        <v>921</v>
      </c>
    </row>
    <row r="56" spans="2:2">
      <c r="B56" s="455" t="s">
        <v>896</v>
      </c>
    </row>
    <row r="57" spans="2:2">
      <c r="B57" s="456" t="s">
        <v>922</v>
      </c>
    </row>
    <row r="58" spans="2:2">
      <c r="B58" s="455" t="s">
        <v>896</v>
      </c>
    </row>
    <row r="59" spans="2:2">
      <c r="B59" s="456" t="s">
        <v>923</v>
      </c>
    </row>
    <row r="60" spans="2:2">
      <c r="B60" s="455" t="s">
        <v>896</v>
      </c>
    </row>
    <row r="61" spans="2:2">
      <c r="B61" s="456" t="s">
        <v>924</v>
      </c>
    </row>
    <row r="62" spans="2:2">
      <c r="B62" s="455" t="s">
        <v>896</v>
      </c>
    </row>
    <row r="63" spans="2:2">
      <c r="B63" s="456" t="s">
        <v>925</v>
      </c>
    </row>
    <row r="64" spans="2:2">
      <c r="B64" s="455" t="s">
        <v>896</v>
      </c>
    </row>
    <row r="65" spans="2:2">
      <c r="B65" s="456" t="s">
        <v>926</v>
      </c>
    </row>
    <row r="66" spans="2:2">
      <c r="B66" s="455" t="s">
        <v>896</v>
      </c>
    </row>
    <row r="67" spans="2:2">
      <c r="B67" s="456" t="s">
        <v>927</v>
      </c>
    </row>
    <row r="68" spans="2:2">
      <c r="B68" s="455" t="s">
        <v>896</v>
      </c>
    </row>
    <row r="69" spans="2:2">
      <c r="B69" s="456" t="s">
        <v>908</v>
      </c>
    </row>
    <row r="70" spans="2:2">
      <c r="B70" s="455" t="s">
        <v>896</v>
      </c>
    </row>
    <row r="71" spans="2:2">
      <c r="B71" s="456" t="s">
        <v>928</v>
      </c>
    </row>
    <row r="72" spans="2:2">
      <c r="B72" s="455" t="s">
        <v>896</v>
      </c>
    </row>
    <row r="73" spans="2:2">
      <c r="B73" s="456" t="s">
        <v>929</v>
      </c>
    </row>
    <row r="74" spans="2:2">
      <c r="B74" s="455" t="s">
        <v>896</v>
      </c>
    </row>
    <row r="75" spans="2:2">
      <c r="B75" s="456" t="s">
        <v>930</v>
      </c>
    </row>
    <row r="76" spans="2:2">
      <c r="B76" s="455" t="s">
        <v>896</v>
      </c>
    </row>
    <row r="77" spans="2:2">
      <c r="B77" s="456" t="s">
        <v>931</v>
      </c>
    </row>
    <row r="78" spans="2:2">
      <c r="B78" s="455" t="s">
        <v>896</v>
      </c>
    </row>
    <row r="79" spans="2:2">
      <c r="B79" s="456" t="s">
        <v>932</v>
      </c>
    </row>
    <row r="80" spans="2:2">
      <c r="B80" s="455" t="s">
        <v>896</v>
      </c>
    </row>
    <row r="81" spans="2:2">
      <c r="B81" s="456" t="s">
        <v>933</v>
      </c>
    </row>
    <row r="82" spans="2:2">
      <c r="B82" s="455" t="s">
        <v>896</v>
      </c>
    </row>
    <row r="83" spans="2:2">
      <c r="B83" s="456" t="s">
        <v>934</v>
      </c>
    </row>
    <row r="84" spans="2:2">
      <c r="B84" s="455" t="s">
        <v>896</v>
      </c>
    </row>
    <row r="85" spans="2:2">
      <c r="B85" s="456" t="s">
        <v>935</v>
      </c>
    </row>
    <row r="87" spans="2:2">
      <c r="B87" t="s">
        <v>936</v>
      </c>
    </row>
    <row r="89" spans="2:2">
      <c r="B89" s="456" t="s">
        <v>937</v>
      </c>
    </row>
    <row r="90" spans="2:2">
      <c r="B90" s="455" t="s">
        <v>896</v>
      </c>
    </row>
    <row r="91" spans="2:2" ht="24" customHeight="1">
      <c r="B91" s="456" t="s">
        <v>938</v>
      </c>
    </row>
    <row r="92" spans="2:2">
      <c r="B92" s="455" t="s">
        <v>896</v>
      </c>
    </row>
    <row r="93" spans="2:2">
      <c r="B93" s="456" t="s">
        <v>939</v>
      </c>
    </row>
    <row r="94" spans="2:2">
      <c r="B94" s="455" t="s">
        <v>896</v>
      </c>
    </row>
    <row r="95" spans="2:2">
      <c r="B95" s="456" t="s">
        <v>940</v>
      </c>
    </row>
    <row r="96" spans="2:2">
      <c r="B96" s="455" t="s">
        <v>896</v>
      </c>
    </row>
    <row r="97" spans="2:2">
      <c r="B97" s="456" t="s">
        <v>941</v>
      </c>
    </row>
    <row r="98" spans="2:2">
      <c r="B98" s="455" t="s">
        <v>896</v>
      </c>
    </row>
    <row r="99" spans="2:2">
      <c r="B99" s="456" t="s">
        <v>942</v>
      </c>
    </row>
    <row r="100" spans="2:2">
      <c r="B100" s="455" t="s">
        <v>896</v>
      </c>
    </row>
    <row r="101" spans="2:2">
      <c r="B101" s="456" t="s">
        <v>943</v>
      </c>
    </row>
    <row r="102" spans="2:2">
      <c r="B102" s="455" t="s">
        <v>896</v>
      </c>
    </row>
    <row r="103" spans="2:2">
      <c r="B103" s="456" t="s">
        <v>944</v>
      </c>
    </row>
    <row r="104" spans="2:2">
      <c r="B104" s="455" t="s">
        <v>896</v>
      </c>
    </row>
    <row r="105" spans="2:2">
      <c r="B105" s="456" t="s">
        <v>945</v>
      </c>
    </row>
    <row r="106" spans="2:2">
      <c r="B106" s="455" t="s">
        <v>896</v>
      </c>
    </row>
    <row r="107" spans="2:2">
      <c r="B107" s="456" t="s">
        <v>946</v>
      </c>
    </row>
    <row r="108" spans="2:2">
      <c r="B108" s="455" t="s">
        <v>896</v>
      </c>
    </row>
    <row r="109" spans="2:2">
      <c r="B109" s="456" t="s">
        <v>947</v>
      </c>
    </row>
    <row r="110" spans="2:2">
      <c r="B110" s="455" t="s">
        <v>896</v>
      </c>
    </row>
    <row r="111" spans="2:2">
      <c r="B111" s="456" t="s">
        <v>948</v>
      </c>
    </row>
    <row r="112" spans="2:2">
      <c r="B112" s="455" t="s">
        <v>896</v>
      </c>
    </row>
    <row r="113" spans="2:2">
      <c r="B113" s="456" t="s">
        <v>949</v>
      </c>
    </row>
    <row r="114" spans="2:2">
      <c r="B114" s="455" t="s">
        <v>896</v>
      </c>
    </row>
    <row r="115" spans="2:2">
      <c r="B115" s="456" t="s">
        <v>950</v>
      </c>
    </row>
    <row r="116" spans="2:2">
      <c r="B116" s="455" t="s">
        <v>896</v>
      </c>
    </row>
    <row r="117" spans="2:2">
      <c r="B117" s="456" t="s">
        <v>951</v>
      </c>
    </row>
    <row r="118" spans="2:2">
      <c r="B118" s="455" t="s">
        <v>896</v>
      </c>
    </row>
    <row r="119" spans="2:2">
      <c r="B119" s="456" t="s">
        <v>952</v>
      </c>
    </row>
    <row r="120" spans="2:2">
      <c r="B120" s="455" t="s">
        <v>896</v>
      </c>
    </row>
    <row r="121" spans="2:2">
      <c r="B121" s="456" t="s">
        <v>953</v>
      </c>
    </row>
    <row r="122" spans="2:2">
      <c r="B122" s="455" t="s">
        <v>896</v>
      </c>
    </row>
    <row r="123" spans="2:2">
      <c r="B123" s="456" t="s">
        <v>954</v>
      </c>
    </row>
    <row r="124" spans="2:2">
      <c r="B124" s="455" t="s">
        <v>896</v>
      </c>
    </row>
    <row r="125" spans="2:2">
      <c r="B125" s="456" t="s">
        <v>955</v>
      </c>
    </row>
    <row r="127" spans="2:2" s="356" customFormat="1"/>
    <row r="128" spans="2:2">
      <c r="B128" t="s">
        <v>602</v>
      </c>
    </row>
    <row r="130" spans="2:2">
      <c r="B130" t="s">
        <v>895</v>
      </c>
    </row>
    <row r="131" spans="2:2">
      <c r="B131" s="455" t="s">
        <v>896</v>
      </c>
    </row>
    <row r="132" spans="2:2">
      <c r="B132" s="456" t="s">
        <v>897</v>
      </c>
    </row>
    <row r="133" spans="2:2">
      <c r="B133" s="455" t="s">
        <v>896</v>
      </c>
    </row>
    <row r="134" spans="2:2">
      <c r="B134" s="456" t="s">
        <v>898</v>
      </c>
    </row>
    <row r="135" spans="2:2">
      <c r="B135" s="455" t="s">
        <v>896</v>
      </c>
    </row>
    <row r="136" spans="2:2">
      <c r="B136" s="456" t="s">
        <v>899</v>
      </c>
    </row>
    <row r="137" spans="2:2">
      <c r="B137" s="455" t="s">
        <v>896</v>
      </c>
    </row>
    <row r="138" spans="2:2">
      <c r="B138" s="456" t="s">
        <v>900</v>
      </c>
    </row>
    <row r="139" spans="2:2">
      <c r="B139" s="455" t="s">
        <v>896</v>
      </c>
    </row>
    <row r="140" spans="2:2">
      <c r="B140" s="456" t="s">
        <v>901</v>
      </c>
    </row>
    <row r="141" spans="2:2">
      <c r="B141" s="455" t="s">
        <v>896</v>
      </c>
    </row>
    <row r="142" spans="2:2">
      <c r="B142" s="456" t="s">
        <v>902</v>
      </c>
    </row>
    <row r="143" spans="2:2">
      <c r="B143" s="455" t="s">
        <v>896</v>
      </c>
    </row>
    <row r="144" spans="2:2">
      <c r="B144" s="456" t="s">
        <v>903</v>
      </c>
    </row>
    <row r="145" spans="2:2">
      <c r="B145" s="455" t="s">
        <v>896</v>
      </c>
    </row>
    <row r="146" spans="2:2">
      <c r="B146" s="456" t="s">
        <v>904</v>
      </c>
    </row>
    <row r="147" spans="2:2">
      <c r="B147" s="455" t="s">
        <v>896</v>
      </c>
    </row>
    <row r="148" spans="2:2">
      <c r="B148" s="456" t="s">
        <v>905</v>
      </c>
    </row>
    <row r="149" spans="2:2">
      <c r="B149" s="455" t="s">
        <v>896</v>
      </c>
    </row>
    <row r="150" spans="2:2">
      <c r="B150" s="456" t="s">
        <v>906</v>
      </c>
    </row>
    <row r="151" spans="2:2">
      <c r="B151" s="455" t="s">
        <v>896</v>
      </c>
    </row>
    <row r="152" spans="2:2">
      <c r="B152" s="456" t="s">
        <v>907</v>
      </c>
    </row>
    <row r="153" spans="2:2">
      <c r="B153" s="455" t="s">
        <v>896</v>
      </c>
    </row>
    <row r="154" spans="2:2">
      <c r="B154" s="456" t="s">
        <v>908</v>
      </c>
    </row>
    <row r="155" spans="2:2">
      <c r="B155" s="455" t="s">
        <v>896</v>
      </c>
    </row>
    <row r="156" spans="2:2">
      <c r="B156" s="456" t="s">
        <v>909</v>
      </c>
    </row>
    <row r="157" spans="2:2">
      <c r="B157" s="455" t="s">
        <v>896</v>
      </c>
    </row>
    <row r="158" spans="2:2">
      <c r="B158" s="456" t="s">
        <v>910</v>
      </c>
    </row>
    <row r="159" spans="2:2">
      <c r="B159" s="455" t="s">
        <v>896</v>
      </c>
    </row>
    <row r="160" spans="2:2">
      <c r="B160" s="456" t="s">
        <v>911</v>
      </c>
    </row>
    <row r="162" spans="2:2">
      <c r="B162" t="s">
        <v>912</v>
      </c>
    </row>
    <row r="164" spans="2:2">
      <c r="B164" s="455" t="s">
        <v>896</v>
      </c>
    </row>
    <row r="165" spans="2:2">
      <c r="B165" s="456" t="s">
        <v>913</v>
      </c>
    </row>
    <row r="166" spans="2:2">
      <c r="B166" s="455" t="s">
        <v>896</v>
      </c>
    </row>
    <row r="167" spans="2:2">
      <c r="B167" s="456" t="s">
        <v>914</v>
      </c>
    </row>
    <row r="168" spans="2:2">
      <c r="B168" s="455" t="s">
        <v>896</v>
      </c>
    </row>
    <row r="169" spans="2:2">
      <c r="B169" s="456" t="s">
        <v>915</v>
      </c>
    </row>
    <row r="170" spans="2:2">
      <c r="B170" s="455" t="s">
        <v>896</v>
      </c>
    </row>
    <row r="171" spans="2:2">
      <c r="B171" s="456" t="s">
        <v>916</v>
      </c>
    </row>
    <row r="172" spans="2:2">
      <c r="B172" s="455" t="s">
        <v>896</v>
      </c>
    </row>
    <row r="173" spans="2:2">
      <c r="B173" s="456" t="s">
        <v>917</v>
      </c>
    </row>
    <row r="174" spans="2:2">
      <c r="B174" s="455" t="s">
        <v>896</v>
      </c>
    </row>
    <row r="175" spans="2:2">
      <c r="B175" s="456" t="s">
        <v>918</v>
      </c>
    </row>
    <row r="176" spans="2:2">
      <c r="B176" s="455" t="s">
        <v>896</v>
      </c>
    </row>
    <row r="177" spans="2:2">
      <c r="B177" s="456" t="s">
        <v>919</v>
      </c>
    </row>
    <row r="178" spans="2:2">
      <c r="B178" s="455" t="s">
        <v>896</v>
      </c>
    </row>
    <row r="179" spans="2:2">
      <c r="B179" s="456" t="s">
        <v>920</v>
      </c>
    </row>
    <row r="180" spans="2:2">
      <c r="B180" s="455" t="s">
        <v>896</v>
      </c>
    </row>
    <row r="181" spans="2:2">
      <c r="B181" s="456" t="s">
        <v>921</v>
      </c>
    </row>
    <row r="182" spans="2:2">
      <c r="B182" s="455" t="s">
        <v>896</v>
      </c>
    </row>
    <row r="183" spans="2:2">
      <c r="B183" s="456" t="s">
        <v>922</v>
      </c>
    </row>
    <row r="184" spans="2:2">
      <c r="B184" s="455" t="s">
        <v>896</v>
      </c>
    </row>
    <row r="185" spans="2:2">
      <c r="B185" s="456" t="s">
        <v>923</v>
      </c>
    </row>
    <row r="186" spans="2:2">
      <c r="B186" s="455" t="s">
        <v>896</v>
      </c>
    </row>
    <row r="187" spans="2:2">
      <c r="B187" s="456" t="s">
        <v>924</v>
      </c>
    </row>
    <row r="188" spans="2:2">
      <c r="B188" s="455" t="s">
        <v>896</v>
      </c>
    </row>
    <row r="189" spans="2:2">
      <c r="B189" s="456" t="s">
        <v>925</v>
      </c>
    </row>
    <row r="190" spans="2:2">
      <c r="B190" s="455" t="s">
        <v>896</v>
      </c>
    </row>
    <row r="191" spans="2:2">
      <c r="B191" s="456" t="s">
        <v>926</v>
      </c>
    </row>
    <row r="192" spans="2:2">
      <c r="B192" s="455" t="s">
        <v>896</v>
      </c>
    </row>
    <row r="193" spans="2:2">
      <c r="B193" s="456" t="s">
        <v>927</v>
      </c>
    </row>
    <row r="194" spans="2:2">
      <c r="B194" s="455" t="s">
        <v>896</v>
      </c>
    </row>
    <row r="195" spans="2:2">
      <c r="B195" s="456" t="s">
        <v>908</v>
      </c>
    </row>
    <row r="196" spans="2:2">
      <c r="B196" s="455" t="s">
        <v>896</v>
      </c>
    </row>
    <row r="197" spans="2:2">
      <c r="B197" s="456" t="s">
        <v>928</v>
      </c>
    </row>
    <row r="198" spans="2:2">
      <c r="B198" s="455" t="s">
        <v>896</v>
      </c>
    </row>
    <row r="199" spans="2:2">
      <c r="B199" s="456" t="s">
        <v>929</v>
      </c>
    </row>
    <row r="200" spans="2:2">
      <c r="B200" s="455" t="s">
        <v>896</v>
      </c>
    </row>
    <row r="201" spans="2:2">
      <c r="B201" s="456" t="s">
        <v>930</v>
      </c>
    </row>
    <row r="202" spans="2:2">
      <c r="B202" s="455" t="s">
        <v>896</v>
      </c>
    </row>
    <row r="203" spans="2:2">
      <c r="B203" s="456" t="s">
        <v>931</v>
      </c>
    </row>
    <row r="204" spans="2:2">
      <c r="B204" s="455" t="s">
        <v>896</v>
      </c>
    </row>
    <row r="205" spans="2:2">
      <c r="B205" s="456" t="s">
        <v>932</v>
      </c>
    </row>
    <row r="206" spans="2:2">
      <c r="B206" s="455" t="s">
        <v>896</v>
      </c>
    </row>
    <row r="207" spans="2:2">
      <c r="B207" s="456" t="s">
        <v>933</v>
      </c>
    </row>
    <row r="208" spans="2:2">
      <c r="B208" s="455" t="s">
        <v>896</v>
      </c>
    </row>
    <row r="209" spans="2:2">
      <c r="B209" s="456" t="s">
        <v>934</v>
      </c>
    </row>
    <row r="210" spans="2:2">
      <c r="B210" s="455" t="s">
        <v>896</v>
      </c>
    </row>
    <row r="211" spans="2:2">
      <c r="B211" s="456" t="s">
        <v>935</v>
      </c>
    </row>
    <row r="213" spans="2:2">
      <c r="B213" t="s">
        <v>936</v>
      </c>
    </row>
    <row r="215" spans="2:2">
      <c r="B215" s="456" t="s">
        <v>937</v>
      </c>
    </row>
    <row r="216" spans="2:2">
      <c r="B216" s="455" t="s">
        <v>896</v>
      </c>
    </row>
    <row r="217" spans="2:2" ht="24" customHeight="1">
      <c r="B217" s="456" t="s">
        <v>938</v>
      </c>
    </row>
    <row r="218" spans="2:2">
      <c r="B218" s="455" t="s">
        <v>896</v>
      </c>
    </row>
    <row r="219" spans="2:2">
      <c r="B219" s="456" t="s">
        <v>939</v>
      </c>
    </row>
    <row r="220" spans="2:2">
      <c r="B220" s="455" t="s">
        <v>896</v>
      </c>
    </row>
    <row r="221" spans="2:2">
      <c r="B221" s="456" t="s">
        <v>940</v>
      </c>
    </row>
    <row r="222" spans="2:2">
      <c r="B222" s="455" t="s">
        <v>896</v>
      </c>
    </row>
    <row r="223" spans="2:2">
      <c r="B223" s="456" t="s">
        <v>941</v>
      </c>
    </row>
    <row r="224" spans="2:2">
      <c r="B224" s="455" t="s">
        <v>896</v>
      </c>
    </row>
    <row r="225" spans="2:2">
      <c r="B225" s="456" t="s">
        <v>942</v>
      </c>
    </row>
    <row r="226" spans="2:2">
      <c r="B226" s="455" t="s">
        <v>896</v>
      </c>
    </row>
    <row r="227" spans="2:2">
      <c r="B227" s="456" t="s">
        <v>943</v>
      </c>
    </row>
    <row r="228" spans="2:2">
      <c r="B228" s="455" t="s">
        <v>896</v>
      </c>
    </row>
    <row r="229" spans="2:2">
      <c r="B229" s="456" t="s">
        <v>944</v>
      </c>
    </row>
    <row r="230" spans="2:2">
      <c r="B230" s="455" t="s">
        <v>896</v>
      </c>
    </row>
    <row r="231" spans="2:2">
      <c r="B231" s="456" t="s">
        <v>945</v>
      </c>
    </row>
    <row r="232" spans="2:2">
      <c r="B232" s="455" t="s">
        <v>896</v>
      </c>
    </row>
    <row r="233" spans="2:2">
      <c r="B233" s="456" t="s">
        <v>946</v>
      </c>
    </row>
    <row r="234" spans="2:2">
      <c r="B234" s="455" t="s">
        <v>896</v>
      </c>
    </row>
    <row r="235" spans="2:2">
      <c r="B235" s="456" t="s">
        <v>947</v>
      </c>
    </row>
    <row r="236" spans="2:2">
      <c r="B236" s="455" t="s">
        <v>896</v>
      </c>
    </row>
    <row r="237" spans="2:2">
      <c r="B237" s="456" t="s">
        <v>948</v>
      </c>
    </row>
    <row r="238" spans="2:2">
      <c r="B238" s="455" t="s">
        <v>896</v>
      </c>
    </row>
    <row r="239" spans="2:2">
      <c r="B239" s="456" t="s">
        <v>949</v>
      </c>
    </row>
    <row r="240" spans="2:2">
      <c r="B240" s="455" t="s">
        <v>896</v>
      </c>
    </row>
    <row r="241" spans="2:2">
      <c r="B241" s="456" t="s">
        <v>950</v>
      </c>
    </row>
    <row r="242" spans="2:2">
      <c r="B242" s="455" t="s">
        <v>896</v>
      </c>
    </row>
    <row r="243" spans="2:2">
      <c r="B243" s="456" t="s">
        <v>951</v>
      </c>
    </row>
    <row r="244" spans="2:2">
      <c r="B244" s="455" t="s">
        <v>896</v>
      </c>
    </row>
    <row r="245" spans="2:2">
      <c r="B245" s="456" t="s">
        <v>952</v>
      </c>
    </row>
    <row r="246" spans="2:2">
      <c r="B246" s="455" t="s">
        <v>896</v>
      </c>
    </row>
    <row r="247" spans="2:2">
      <c r="B247" s="456" t="s">
        <v>953</v>
      </c>
    </row>
    <row r="248" spans="2:2">
      <c r="B248" s="455" t="s">
        <v>896</v>
      </c>
    </row>
    <row r="249" spans="2:2">
      <c r="B249" s="456" t="s">
        <v>954</v>
      </c>
    </row>
    <row r="250" spans="2:2">
      <c r="B250" s="455" t="s">
        <v>896</v>
      </c>
    </row>
    <row r="251" spans="2:2">
      <c r="B251" s="456" t="s">
        <v>955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P446"/>
  <sheetViews>
    <sheetView workbookViewId="0">
      <selection activeCell="E72" sqref="E72"/>
    </sheetView>
  </sheetViews>
  <sheetFormatPr baseColWidth="10" defaultRowHeight="15"/>
  <cols>
    <col min="13" max="13" width="26.5703125" customWidth="1"/>
    <col min="14" max="14" width="12" bestFit="1" customWidth="1"/>
    <col min="16" max="16" width="86.7109375" customWidth="1"/>
  </cols>
  <sheetData>
    <row r="3" spans="2:16" s="12" customFormat="1" ht="28.5" customHeight="1">
      <c r="B3" s="608" t="s">
        <v>956</v>
      </c>
      <c r="C3" s="474"/>
      <c r="D3" s="474"/>
      <c r="E3" s="475"/>
      <c r="F3" s="8"/>
      <c r="G3" s="607" t="s">
        <v>957</v>
      </c>
      <c r="H3" s="474"/>
      <c r="I3" s="474"/>
      <c r="J3" s="474"/>
      <c r="K3" s="474"/>
      <c r="L3" s="475"/>
      <c r="M3" s="8" t="s">
        <v>958</v>
      </c>
      <c r="P3" s="266"/>
    </row>
    <row r="4" spans="2:16" ht="28.5" customHeight="1">
      <c r="P4" s="266"/>
    </row>
    <row r="5" spans="2:16" s="12" customFormat="1" ht="28.5" customHeight="1">
      <c r="B5" s="608" t="s">
        <v>959</v>
      </c>
      <c r="C5" s="474"/>
      <c r="D5" s="474"/>
      <c r="E5" s="475"/>
      <c r="F5" s="8"/>
      <c r="G5" s="607" t="s">
        <v>960</v>
      </c>
      <c r="H5" s="474"/>
      <c r="I5" s="474"/>
      <c r="J5" s="474"/>
      <c r="K5" s="474"/>
      <c r="L5" s="475"/>
      <c r="M5" s="8" t="s">
        <v>961</v>
      </c>
    </row>
    <row r="6" spans="2:16" ht="28.5" customHeight="1"/>
    <row r="7" spans="2:16" ht="28.5" customHeight="1">
      <c r="B7" s="611" t="s">
        <v>962</v>
      </c>
      <c r="C7" s="474"/>
      <c r="D7" s="474"/>
      <c r="E7" s="474"/>
      <c r="F7" s="475"/>
      <c r="G7" s="609" t="s">
        <v>963</v>
      </c>
      <c r="H7" s="474"/>
      <c r="I7" s="474"/>
      <c r="J7" s="474"/>
      <c r="K7" s="474"/>
      <c r="L7" s="475"/>
      <c r="M7" s="267"/>
    </row>
    <row r="8" spans="2:16">
      <c r="P8" s="268"/>
    </row>
    <row r="9" spans="2:16" s="12" customFormat="1" ht="31.5" customHeight="1">
      <c r="B9" s="608" t="s">
        <v>964</v>
      </c>
      <c r="C9" s="474"/>
      <c r="D9" s="474"/>
      <c r="E9" s="475"/>
      <c r="F9" s="8"/>
      <c r="G9" s="607" t="s">
        <v>965</v>
      </c>
      <c r="H9" s="474"/>
      <c r="I9" s="474"/>
      <c r="J9" s="474"/>
      <c r="K9" s="474"/>
      <c r="L9" s="475"/>
      <c r="M9" s="8" t="s">
        <v>966</v>
      </c>
    </row>
    <row r="11" spans="2:16" s="12" customFormat="1" ht="31.5" customHeight="1">
      <c r="B11" s="608" t="s">
        <v>967</v>
      </c>
      <c r="C11" s="474"/>
      <c r="D11" s="474"/>
      <c r="E11" s="475"/>
      <c r="F11" s="8"/>
      <c r="G11" s="607" t="s">
        <v>968</v>
      </c>
      <c r="H11" s="474"/>
      <c r="I11" s="474"/>
      <c r="J11" s="474"/>
      <c r="K11" s="474"/>
      <c r="L11" s="475"/>
      <c r="M11" s="8" t="s">
        <v>969</v>
      </c>
    </row>
    <row r="12" spans="2:16">
      <c r="P12" s="268"/>
    </row>
    <row r="13" spans="2:16" s="12" customFormat="1" ht="31.5" customHeight="1">
      <c r="B13" s="608"/>
      <c r="C13" s="474"/>
      <c r="D13" s="474"/>
      <c r="E13" s="475"/>
      <c r="F13" s="8"/>
      <c r="G13" s="607"/>
      <c r="H13" s="474"/>
      <c r="I13" s="474"/>
      <c r="J13" s="474"/>
      <c r="K13" s="474"/>
      <c r="L13" s="475"/>
      <c r="M13" s="8"/>
    </row>
    <row r="14" spans="2:16">
      <c r="P14" s="268"/>
    </row>
    <row r="15" spans="2:16" s="12" customFormat="1" ht="31.5" customHeight="1">
      <c r="B15" s="608" t="s">
        <v>970</v>
      </c>
      <c r="C15" s="474"/>
      <c r="D15" s="474"/>
      <c r="E15" s="475"/>
      <c r="F15" s="8"/>
      <c r="G15" s="607" t="s">
        <v>971</v>
      </c>
      <c r="H15" s="474"/>
      <c r="I15" s="474"/>
      <c r="J15" s="474"/>
      <c r="K15" s="474"/>
      <c r="L15" s="475"/>
      <c r="M15" s="8" t="s">
        <v>972</v>
      </c>
      <c r="P15" s="273" t="s">
        <v>973</v>
      </c>
    </row>
    <row r="16" spans="2:16" ht="16.5" customHeight="1">
      <c r="P16" s="274" t="s">
        <v>974</v>
      </c>
    </row>
    <row r="17" spans="2:16" s="12" customFormat="1" ht="31.5" customHeight="1">
      <c r="B17" s="610"/>
      <c r="C17" s="474"/>
      <c r="D17" s="474"/>
      <c r="E17" s="475"/>
      <c r="F17" s="8"/>
      <c r="G17" s="607"/>
      <c r="H17" s="474"/>
      <c r="I17" s="474"/>
      <c r="J17" s="474"/>
      <c r="K17" s="474"/>
      <c r="L17" s="475"/>
      <c r="M17" s="8"/>
      <c r="P17" s="274" t="s">
        <v>975</v>
      </c>
    </row>
    <row r="18" spans="2:16" ht="16.5" customHeight="1">
      <c r="P18" s="274" t="s">
        <v>976</v>
      </c>
    </row>
    <row r="19" spans="2:16" s="12" customFormat="1" ht="31.5" customHeight="1">
      <c r="B19" s="610"/>
      <c r="C19" s="474"/>
      <c r="D19" s="474"/>
      <c r="E19" s="475"/>
      <c r="F19" s="8"/>
      <c r="G19" s="607"/>
      <c r="H19" s="474"/>
      <c r="I19" s="474"/>
      <c r="J19" s="474"/>
      <c r="K19" s="474"/>
      <c r="L19" s="475"/>
      <c r="M19" s="8"/>
      <c r="P19" s="274" t="s">
        <v>977</v>
      </c>
    </row>
    <row r="20" spans="2:16" ht="16.5" customHeight="1">
      <c r="P20" s="274" t="s">
        <v>978</v>
      </c>
    </row>
    <row r="22" spans="2:16" ht="23.25" customHeight="1">
      <c r="O22" s="300" t="s">
        <v>979</v>
      </c>
    </row>
    <row r="23" spans="2:16" ht="15.75" customHeight="1">
      <c r="O23" s="301"/>
    </row>
    <row r="24" spans="2:16" ht="17.25" customHeight="1">
      <c r="O24" s="302" t="s">
        <v>980</v>
      </c>
      <c r="P24" s="269"/>
    </row>
    <row r="25" spans="2:16">
      <c r="P25" s="268"/>
    </row>
    <row r="27" spans="2:16" ht="26.25" customHeight="1">
      <c r="O27" s="303" t="s">
        <v>981</v>
      </c>
    </row>
    <row r="28" spans="2:16" ht="17.25" customHeight="1">
      <c r="O28" s="302" t="s">
        <v>982</v>
      </c>
    </row>
    <row r="29" spans="2:16" ht="17.25" customHeight="1">
      <c r="O29" s="302" t="s">
        <v>983</v>
      </c>
      <c r="P29" s="268"/>
    </row>
    <row r="30" spans="2:16" ht="17.25" customHeight="1">
      <c r="O30" s="302" t="s">
        <v>984</v>
      </c>
    </row>
    <row r="31" spans="2:16" ht="17.25" customHeight="1">
      <c r="O31" s="302" t="s">
        <v>985</v>
      </c>
      <c r="P31" s="268"/>
    </row>
    <row r="32" spans="2:16">
      <c r="O32" s="78"/>
    </row>
    <row r="33" spans="15:16" ht="15.75" customHeight="1">
      <c r="O33" s="304" t="s">
        <v>986</v>
      </c>
    </row>
    <row r="34" spans="15:16" ht="15.75" customHeight="1">
      <c r="O34" s="304" t="s">
        <v>987</v>
      </c>
    </row>
    <row r="35" spans="15:16">
      <c r="P35" s="269"/>
    </row>
    <row r="36" spans="15:16">
      <c r="P36" s="268"/>
    </row>
    <row r="37" spans="15:16" ht="26.25" customHeight="1">
      <c r="O37" s="303" t="s">
        <v>988</v>
      </c>
    </row>
    <row r="38" spans="15:16" ht="17.25" customHeight="1">
      <c r="O38" s="302" t="s">
        <v>989</v>
      </c>
    </row>
    <row r="39" spans="15:16" ht="17.25" customHeight="1">
      <c r="O39" s="302" t="s">
        <v>990</v>
      </c>
    </row>
    <row r="40" spans="15:16" ht="17.25" customHeight="1">
      <c r="O40" s="302" t="s">
        <v>991</v>
      </c>
      <c r="P40" s="268"/>
    </row>
    <row r="41" spans="15:16" ht="17.25" customHeight="1">
      <c r="O41" s="302" t="s">
        <v>992</v>
      </c>
    </row>
    <row r="42" spans="15:16">
      <c r="P42" s="268"/>
    </row>
    <row r="44" spans="15:16" ht="26.25" customHeight="1">
      <c r="O44" s="303" t="s">
        <v>993</v>
      </c>
    </row>
    <row r="45" spans="15:16" ht="17.25" customHeight="1">
      <c r="O45" s="302" t="s">
        <v>994</v>
      </c>
    </row>
    <row r="46" spans="15:16" ht="17.25" customHeight="1">
      <c r="O46" s="302" t="s">
        <v>995</v>
      </c>
      <c r="P46" s="269"/>
    </row>
    <row r="47" spans="15:16">
      <c r="O47" s="78"/>
      <c r="P47" s="268"/>
    </row>
    <row r="48" spans="15:16" ht="15.75" customHeight="1">
      <c r="O48" s="305" t="s">
        <v>996</v>
      </c>
    </row>
    <row r="49" spans="15:16" ht="15.75" customHeight="1">
      <c r="O49" s="304" t="s">
        <v>997</v>
      </c>
    </row>
    <row r="50" spans="15:16" ht="15.75" customHeight="1">
      <c r="O50" s="304" t="s">
        <v>998</v>
      </c>
    </row>
    <row r="51" spans="15:16" ht="17.25" customHeight="1">
      <c r="O51" s="304" t="s">
        <v>999</v>
      </c>
      <c r="P51" s="268"/>
    </row>
    <row r="53" spans="15:16">
      <c r="P53" s="268"/>
    </row>
    <row r="54" spans="15:16" ht="26.25" customHeight="1">
      <c r="O54" s="303" t="s">
        <v>1000</v>
      </c>
    </row>
    <row r="55" spans="15:16" ht="15.75" customHeight="1">
      <c r="O55" s="302" t="s">
        <v>1001</v>
      </c>
    </row>
    <row r="56" spans="15:16" ht="17.25" customHeight="1">
      <c r="O56" s="306" t="s">
        <v>1002</v>
      </c>
    </row>
    <row r="57" spans="15:16" ht="17.25" customHeight="1">
      <c r="O57" s="306" t="s">
        <v>1003</v>
      </c>
      <c r="P57" s="269"/>
    </row>
    <row r="58" spans="15:16" ht="17.25" customHeight="1">
      <c r="O58" s="302" t="s">
        <v>1004</v>
      </c>
      <c r="P58" s="268"/>
    </row>
    <row r="59" spans="15:16" ht="15.75" customHeight="1">
      <c r="O59" s="302" t="s">
        <v>1005</v>
      </c>
    </row>
    <row r="60" spans="15:16" ht="15.75" customHeight="1">
      <c r="O60" s="302" t="s">
        <v>1006</v>
      </c>
    </row>
    <row r="62" spans="15:16">
      <c r="P62" s="268"/>
    </row>
    <row r="64" spans="15:16">
      <c r="P64" s="268"/>
    </row>
    <row r="68" spans="1:16">
      <c r="P68" s="269"/>
    </row>
    <row r="69" spans="1:16">
      <c r="P69" s="268"/>
    </row>
    <row r="70" spans="1:16" ht="38.25" customHeight="1">
      <c r="A70" s="332" t="s">
        <v>309</v>
      </c>
      <c r="B70" s="332" t="s">
        <v>310</v>
      </c>
      <c r="C70" s="332" t="s">
        <v>311</v>
      </c>
      <c r="D70" s="332" t="s">
        <v>312</v>
      </c>
    </row>
    <row r="71" spans="1:16" ht="63.75" customHeight="1">
      <c r="A71" s="335" t="s">
        <v>313</v>
      </c>
      <c r="B71" s="333"/>
      <c r="C71" s="333"/>
      <c r="D71" s="333"/>
    </row>
    <row r="72" spans="1:16" ht="38.25" customHeight="1">
      <c r="A72" s="334" t="s">
        <v>314</v>
      </c>
      <c r="B72" s="334"/>
      <c r="C72" s="334"/>
      <c r="D72" s="334"/>
    </row>
    <row r="73" spans="1:16" ht="38.25" customHeight="1">
      <c r="A73" s="333" t="s">
        <v>315</v>
      </c>
      <c r="B73" s="333"/>
      <c r="C73" s="333"/>
      <c r="D73" s="333"/>
      <c r="P73" s="268"/>
    </row>
    <row r="74" spans="1:16" ht="38.25" customHeight="1">
      <c r="A74" s="334" t="s">
        <v>316</v>
      </c>
      <c r="B74" s="334"/>
      <c r="C74" s="334"/>
      <c r="D74" s="334"/>
    </row>
    <row r="75" spans="1:16" ht="51" customHeight="1">
      <c r="A75" s="333" t="s">
        <v>317</v>
      </c>
      <c r="B75" s="333"/>
      <c r="C75" s="333"/>
      <c r="D75" s="333"/>
      <c r="P75" s="268"/>
    </row>
    <row r="76" spans="1:16" ht="25.5" customHeight="1">
      <c r="A76" s="334" t="s">
        <v>318</v>
      </c>
      <c r="B76" s="334"/>
      <c r="C76" s="334"/>
      <c r="D76" s="334"/>
    </row>
    <row r="77" spans="1:16" ht="38.25" customHeight="1">
      <c r="A77" s="333" t="s">
        <v>319</v>
      </c>
      <c r="B77" s="333"/>
      <c r="C77" s="333"/>
      <c r="D77" s="333"/>
    </row>
    <row r="78" spans="1:16" ht="51" customHeight="1">
      <c r="A78" s="334" t="s">
        <v>320</v>
      </c>
      <c r="B78" s="334"/>
      <c r="C78" s="334"/>
      <c r="D78" s="334"/>
    </row>
    <row r="79" spans="1:16" ht="63.75" customHeight="1">
      <c r="A79" s="333" t="s">
        <v>321</v>
      </c>
      <c r="B79" s="333"/>
      <c r="C79" s="333"/>
      <c r="D79" s="333"/>
      <c r="P79" s="269"/>
    </row>
    <row r="80" spans="1:16" ht="51" customHeight="1">
      <c r="A80" s="334" t="s">
        <v>322</v>
      </c>
      <c r="B80" s="334"/>
      <c r="C80" s="334"/>
      <c r="D80" s="334"/>
      <c r="P80" s="268"/>
    </row>
    <row r="81" spans="1:16" ht="38.25" customHeight="1">
      <c r="A81" s="333" t="s">
        <v>323</v>
      </c>
      <c r="B81" s="333"/>
      <c r="C81" s="333"/>
      <c r="D81" s="333"/>
    </row>
    <row r="82" spans="1:16" ht="38.25" customHeight="1">
      <c r="A82" s="334" t="s">
        <v>324</v>
      </c>
      <c r="B82" s="334"/>
      <c r="C82" s="334"/>
      <c r="D82" s="334"/>
    </row>
    <row r="83" spans="1:16" ht="38.25" customHeight="1">
      <c r="A83" s="333" t="s">
        <v>325</v>
      </c>
      <c r="B83" s="333"/>
      <c r="C83" s="333"/>
      <c r="D83" s="333"/>
    </row>
    <row r="84" spans="1:16" ht="38.25" customHeight="1">
      <c r="A84" s="335" t="s">
        <v>326</v>
      </c>
      <c r="B84" s="334"/>
      <c r="C84" s="334"/>
      <c r="D84" s="334"/>
      <c r="P84" s="268"/>
    </row>
    <row r="85" spans="1:16" ht="38.25" customHeight="1">
      <c r="A85" s="333" t="s">
        <v>327</v>
      </c>
      <c r="B85" s="333"/>
      <c r="C85" s="333"/>
      <c r="D85" s="333"/>
    </row>
    <row r="86" spans="1:16" ht="25.5" customHeight="1">
      <c r="A86" s="335" t="s">
        <v>328</v>
      </c>
      <c r="B86" s="334"/>
      <c r="C86" s="334"/>
      <c r="D86" s="334"/>
      <c r="P86" s="268"/>
    </row>
    <row r="87" spans="1:16" ht="25.5" customHeight="1">
      <c r="A87" s="333" t="s">
        <v>329</v>
      </c>
      <c r="B87" s="333"/>
      <c r="C87" s="333"/>
      <c r="D87" s="333"/>
    </row>
    <row r="88" spans="1:16" ht="25.5" customHeight="1">
      <c r="A88" s="334" t="s">
        <v>330</v>
      </c>
      <c r="B88" s="334"/>
      <c r="C88" s="334"/>
      <c r="D88" s="334"/>
    </row>
    <row r="89" spans="1:16" ht="38.25" customHeight="1">
      <c r="A89" s="333" t="s">
        <v>331</v>
      </c>
      <c r="B89" s="333"/>
      <c r="C89" s="333"/>
      <c r="D89" s="333"/>
    </row>
    <row r="90" spans="1:16" ht="38.25" customHeight="1">
      <c r="A90" s="334" t="s">
        <v>332</v>
      </c>
      <c r="B90" s="334"/>
      <c r="C90" s="334"/>
      <c r="D90" s="334"/>
      <c r="P90" s="269"/>
    </row>
    <row r="91" spans="1:16">
      <c r="P91" s="268"/>
    </row>
    <row r="95" spans="1:16">
      <c r="P95" s="268"/>
    </row>
    <row r="97" spans="16:16">
      <c r="P97" s="268"/>
    </row>
    <row r="101" spans="16:16">
      <c r="P101" s="269"/>
    </row>
    <row r="102" spans="16:16">
      <c r="P102" s="268"/>
    </row>
    <row r="106" spans="16:16">
      <c r="P106" s="268"/>
    </row>
    <row r="108" spans="16:16">
      <c r="P108" s="268"/>
    </row>
    <row r="112" spans="16:16">
      <c r="P112" s="269"/>
    </row>
    <row r="113" spans="16:16">
      <c r="P113" s="268"/>
    </row>
    <row r="117" spans="16:16">
      <c r="P117" s="268"/>
    </row>
    <row r="123" spans="16:16">
      <c r="P123" s="269"/>
    </row>
    <row r="124" spans="16:16">
      <c r="P124" s="268"/>
    </row>
    <row r="128" spans="16:16">
      <c r="P128" s="268"/>
    </row>
    <row r="130" spans="16:16">
      <c r="P130" s="268"/>
    </row>
    <row r="134" spans="16:16">
      <c r="P134" s="269"/>
    </row>
    <row r="135" spans="16:16">
      <c r="P135" s="268"/>
    </row>
    <row r="139" spans="16:16">
      <c r="P139" s="268"/>
    </row>
    <row r="141" spans="16:16">
      <c r="P141" s="268"/>
    </row>
    <row r="145" spans="16:16">
      <c r="P145" s="269"/>
    </row>
    <row r="146" spans="16:16">
      <c r="P146" s="268"/>
    </row>
    <row r="150" spans="16:16">
      <c r="P150" s="268"/>
    </row>
    <row r="152" spans="16:16">
      <c r="P152" s="268"/>
    </row>
    <row r="156" spans="16:16">
      <c r="P156" s="269"/>
    </row>
    <row r="157" spans="16:16">
      <c r="P157" s="268"/>
    </row>
    <row r="161" spans="16:16">
      <c r="P161" s="268"/>
    </row>
    <row r="163" spans="16:16">
      <c r="P163" s="268"/>
    </row>
    <row r="167" spans="16:16">
      <c r="P167" s="269"/>
    </row>
    <row r="168" spans="16:16">
      <c r="P168" s="268"/>
    </row>
    <row r="172" spans="16:16">
      <c r="P172" s="268"/>
    </row>
    <row r="174" spans="16:16">
      <c r="P174" s="268"/>
    </row>
    <row r="178" spans="16:16">
      <c r="P178" s="269"/>
    </row>
    <row r="179" spans="16:16">
      <c r="P179" s="268"/>
    </row>
    <row r="183" spans="16:16">
      <c r="P183" s="268"/>
    </row>
    <row r="185" spans="16:16">
      <c r="P185" s="268"/>
    </row>
    <row r="189" spans="16:16">
      <c r="P189" s="269"/>
    </row>
    <row r="190" spans="16:16">
      <c r="P190" s="268"/>
    </row>
    <row r="194" spans="16:16">
      <c r="P194" s="268"/>
    </row>
    <row r="196" spans="16:16">
      <c r="P196" s="268"/>
    </row>
    <row r="200" spans="16:16">
      <c r="P200" s="269"/>
    </row>
    <row r="201" spans="16:16">
      <c r="P201" s="268"/>
    </row>
    <row r="205" spans="16:16">
      <c r="P205" s="268"/>
    </row>
    <row r="207" spans="16:16">
      <c r="P207" s="268"/>
    </row>
    <row r="211" spans="16:16">
      <c r="P211" s="269"/>
    </row>
    <row r="212" spans="16:16">
      <c r="P212" s="268"/>
    </row>
    <row r="216" spans="16:16">
      <c r="P216" s="268"/>
    </row>
    <row r="218" spans="16:16">
      <c r="P218" s="268"/>
    </row>
    <row r="222" spans="16:16">
      <c r="P222" s="269"/>
    </row>
    <row r="223" spans="16:16">
      <c r="P223" s="268"/>
    </row>
    <row r="227" spans="16:16">
      <c r="P227" s="268"/>
    </row>
    <row r="233" spans="16:16">
      <c r="P233" s="269"/>
    </row>
    <row r="234" spans="16:16">
      <c r="P234" s="268"/>
    </row>
    <row r="238" spans="16:16">
      <c r="P238" s="268"/>
    </row>
    <row r="240" spans="16:16">
      <c r="P240" s="268"/>
    </row>
    <row r="244" spans="16:16">
      <c r="P244" s="269"/>
    </row>
    <row r="245" spans="16:16">
      <c r="P245" s="268"/>
    </row>
    <row r="249" spans="16:16">
      <c r="P249" s="268"/>
    </row>
    <row r="251" spans="16:16">
      <c r="P251" s="268"/>
    </row>
    <row r="254" spans="16:16">
      <c r="P254" s="269"/>
    </row>
    <row r="255" spans="16:16">
      <c r="P255" s="268"/>
    </row>
    <row r="259" spans="16:16">
      <c r="P259" s="268"/>
    </row>
    <row r="261" spans="16:16">
      <c r="P261" s="268"/>
    </row>
    <row r="265" spans="16:16">
      <c r="P265" s="269"/>
    </row>
    <row r="266" spans="16:16">
      <c r="P266" s="268"/>
    </row>
    <row r="270" spans="16:16">
      <c r="P270" s="268"/>
    </row>
    <row r="272" spans="16:16">
      <c r="P272" s="268"/>
    </row>
    <row r="276" spans="16:16">
      <c r="P276" s="269"/>
    </row>
    <row r="277" spans="16:16">
      <c r="P277" s="268"/>
    </row>
    <row r="281" spans="16:16">
      <c r="P281" s="268"/>
    </row>
    <row r="283" spans="16:16">
      <c r="P283" s="268"/>
    </row>
    <row r="287" spans="16:16">
      <c r="P287" s="269"/>
    </row>
    <row r="288" spans="16:16">
      <c r="P288" s="268"/>
    </row>
    <row r="292" spans="16:16">
      <c r="P292" s="268"/>
    </row>
    <row r="294" spans="16:16">
      <c r="P294" s="268"/>
    </row>
    <row r="298" spans="16:16">
      <c r="P298" s="269"/>
    </row>
    <row r="299" spans="16:16">
      <c r="P299" s="268"/>
    </row>
    <row r="303" spans="16:16">
      <c r="P303" s="268"/>
    </row>
    <row r="305" spans="16:16">
      <c r="P305" s="268"/>
    </row>
    <row r="309" spans="16:16">
      <c r="P309" s="269"/>
    </row>
    <row r="310" spans="16:16">
      <c r="P310" s="268"/>
    </row>
    <row r="314" spans="16:16">
      <c r="P314" s="268"/>
    </row>
    <row r="316" spans="16:16">
      <c r="P316" s="268"/>
    </row>
    <row r="320" spans="16:16">
      <c r="P320" s="269"/>
    </row>
    <row r="321" spans="16:16">
      <c r="P321" s="268"/>
    </row>
    <row r="325" spans="16:16">
      <c r="P325" s="268"/>
    </row>
    <row r="327" spans="16:16">
      <c r="P327" s="268"/>
    </row>
    <row r="331" spans="16:16">
      <c r="P331" s="269"/>
    </row>
    <row r="332" spans="16:16">
      <c r="P332" s="268"/>
    </row>
    <row r="336" spans="16:16">
      <c r="P336" s="268"/>
    </row>
    <row r="342" spans="16:16" ht="18" customHeight="1">
      <c r="P342" s="266"/>
    </row>
    <row r="343" spans="16:16" ht="18" customHeight="1">
      <c r="P343" s="266"/>
    </row>
    <row r="347" spans="16:16">
      <c r="P347" s="75"/>
    </row>
    <row r="349" spans="16:16" ht="18" customHeight="1">
      <c r="P349" s="266"/>
    </row>
    <row r="353" spans="16:16" ht="18" customHeight="1">
      <c r="P353" s="266"/>
    </row>
    <row r="354" spans="16:16" ht="18" customHeight="1">
      <c r="P354" s="266"/>
    </row>
    <row r="358" spans="16:16">
      <c r="P358" s="75"/>
    </row>
    <row r="360" spans="16:16" ht="18" customHeight="1">
      <c r="P360" s="266"/>
    </row>
    <row r="364" spans="16:16" ht="18" customHeight="1">
      <c r="P364" s="266"/>
    </row>
    <row r="365" spans="16:16" ht="18" customHeight="1">
      <c r="P365" s="266"/>
    </row>
    <row r="369" spans="16:16">
      <c r="P369" s="75"/>
    </row>
    <row r="371" spans="16:16" ht="18" customHeight="1">
      <c r="P371" s="266"/>
    </row>
    <row r="375" spans="16:16" ht="18" customHeight="1">
      <c r="P375" s="266"/>
    </row>
    <row r="376" spans="16:16" ht="18" customHeight="1">
      <c r="P376" s="266"/>
    </row>
    <row r="380" spans="16:16">
      <c r="P380" s="75"/>
    </row>
    <row r="382" spans="16:16" ht="18" customHeight="1">
      <c r="P382" s="266"/>
    </row>
    <row r="386" spans="16:16" ht="18" customHeight="1">
      <c r="P386" s="266"/>
    </row>
    <row r="387" spans="16:16" ht="18" customHeight="1">
      <c r="P387" s="266"/>
    </row>
    <row r="391" spans="16:16">
      <c r="P391" s="75"/>
    </row>
    <row r="393" spans="16:16" ht="18" customHeight="1">
      <c r="P393" s="266"/>
    </row>
    <row r="397" spans="16:16" ht="18" customHeight="1">
      <c r="P397" s="266"/>
    </row>
    <row r="398" spans="16:16" ht="18" customHeight="1">
      <c r="P398" s="266"/>
    </row>
    <row r="402" spans="16:16">
      <c r="P402" s="75"/>
    </row>
    <row r="404" spans="16:16" ht="18" customHeight="1">
      <c r="P404" s="266"/>
    </row>
    <row r="408" spans="16:16" ht="18" customHeight="1">
      <c r="P408" s="266"/>
    </row>
    <row r="409" spans="16:16" ht="18" customHeight="1">
      <c r="P409" s="266"/>
    </row>
    <row r="413" spans="16:16">
      <c r="P413" s="75"/>
    </row>
    <row r="415" spans="16:16" ht="18" customHeight="1">
      <c r="P415" s="266"/>
    </row>
    <row r="419" spans="16:16" ht="18" customHeight="1">
      <c r="P419" s="266"/>
    </row>
    <row r="420" spans="16:16" ht="18" customHeight="1">
      <c r="P420" s="266"/>
    </row>
    <row r="424" spans="16:16">
      <c r="P424" s="75"/>
    </row>
    <row r="426" spans="16:16" ht="18" customHeight="1">
      <c r="P426" s="266"/>
    </row>
    <row r="430" spans="16:16" ht="18" customHeight="1">
      <c r="P430" s="266"/>
    </row>
    <row r="431" spans="16:16" ht="18" customHeight="1">
      <c r="P431" s="266"/>
    </row>
    <row r="435" spans="16:16">
      <c r="P435" s="75"/>
    </row>
    <row r="437" spans="16:16" ht="18" customHeight="1">
      <c r="P437" s="266"/>
    </row>
    <row r="441" spans="16:16" ht="18" customHeight="1">
      <c r="P441" s="266"/>
    </row>
    <row r="442" spans="16:16" ht="18" customHeight="1">
      <c r="P442" s="266"/>
    </row>
    <row r="446" spans="16:16">
      <c r="P446" s="75"/>
    </row>
  </sheetData>
  <mergeCells count="18">
    <mergeCell ref="G19:L19"/>
    <mergeCell ref="G5:L5"/>
    <mergeCell ref="B13:E13"/>
    <mergeCell ref="G13:L13"/>
    <mergeCell ref="G9:L9"/>
    <mergeCell ref="B15:E15"/>
    <mergeCell ref="B19:E19"/>
    <mergeCell ref="G15:L15"/>
    <mergeCell ref="B17:E17"/>
    <mergeCell ref="G11:L11"/>
    <mergeCell ref="B9:E9"/>
    <mergeCell ref="B7:F7"/>
    <mergeCell ref="G3:L3"/>
    <mergeCell ref="B11:E11"/>
    <mergeCell ref="G17:L17"/>
    <mergeCell ref="B3:E3"/>
    <mergeCell ref="B5:E5"/>
    <mergeCell ref="G7:L7"/>
  </mergeCells>
  <hyperlinks>
    <hyperlink ref="B3" r:id="rId1" xr:uid="{00000000-0004-0000-0600-000000000000}"/>
    <hyperlink ref="B5" r:id="rId2" xr:uid="{00000000-0004-0000-0600-000001000000}"/>
    <hyperlink ref="B7" r:id="rId3" xr:uid="{00000000-0004-0000-0600-000002000000}"/>
    <hyperlink ref="B9" r:id="rId4" xr:uid="{00000000-0004-0000-0600-000003000000}"/>
    <hyperlink ref="B11" r:id="rId5" xr:uid="{00000000-0004-0000-0600-000004000000}"/>
    <hyperlink ref="B15" r:id="rId6" xr:uid="{00000000-0004-0000-06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26.2(18.05)</vt:lpstr>
      <vt:lpstr>Sin Botones</vt:lpstr>
      <vt:lpstr>Consulta IA</vt:lpstr>
      <vt:lpstr>APIs</vt:lpstr>
      <vt:lpstr>Tabla-APIs</vt:lpstr>
      <vt:lpstr>Hoja1</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dc:creator>
  <cp:lastModifiedBy>Melissa</cp:lastModifiedBy>
  <dcterms:created xsi:type="dcterms:W3CDTF">2025-02-21T16:07:57Z</dcterms:created>
  <dcterms:modified xsi:type="dcterms:W3CDTF">2025-03-15T01:48:28Z</dcterms:modified>
</cp:coreProperties>
</file>