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iwtbodensee-my.sharepoint.com/personal/frank_iwt-bodensee_de/Documents/Dokumente/Promotion/01_Dokumentation/0x05_Papers/0x07_persistent Landmark/"/>
    </mc:Choice>
  </mc:AlternateContent>
  <xr:revisionPtr revIDLastSave="61" documentId="8_{025FF5FB-D138-4A6C-931D-EFB34F454E1F}" xr6:coauthVersionLast="47" xr6:coauthVersionMax="47" xr10:uidLastSave="{31361FB4-2001-40CB-8614-D4FFB420E799}"/>
  <bookViews>
    <workbookView xWindow="-120" yWindow="-120" windowWidth="29040" windowHeight="17520" xr2:uid="{00000000-000D-0000-FFFF-FFFF00000000}"/>
  </bookViews>
  <sheets>
    <sheet name="objects" sheetId="8" r:id="rId1"/>
    <sheet name="parameter" sheetId="11" r:id="rId2"/>
    <sheet name="Formulas" sheetId="5" state="hidden" r:id="rId3"/>
  </sheets>
  <definedNames>
    <definedName name="_xlnm._FilterDatabase" localSheetId="0" hidden="1">objects!$A$3:$V$3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8" l="1"/>
  <c r="V23" i="8"/>
  <c r="V7" i="8"/>
  <c r="V19" i="8"/>
  <c r="V22" i="8"/>
  <c r="Q15" i="8"/>
  <c r="Q11" i="8"/>
  <c r="V11" i="8" s="1"/>
  <c r="Q17" i="8"/>
  <c r="Q7" i="8"/>
  <c r="Q24" i="8"/>
  <c r="V24" i="8" s="1"/>
  <c r="Q5" i="8"/>
  <c r="Q8" i="8"/>
  <c r="Q16" i="8"/>
  <c r="Q4" i="8"/>
  <c r="Q12" i="8"/>
  <c r="Q13" i="8"/>
  <c r="Q20" i="8"/>
  <c r="Q18" i="8"/>
  <c r="V18" i="8" s="1"/>
  <c r="Q10" i="8"/>
  <c r="Q6" i="8"/>
  <c r="V6" i="8" s="1"/>
  <c r="K19" i="8"/>
  <c r="J19" i="8" s="1"/>
  <c r="K15" i="8"/>
  <c r="J15" i="8" s="1"/>
  <c r="J24" i="8"/>
  <c r="K12" i="8"/>
  <c r="J12" i="8" s="1"/>
  <c r="K9" i="8"/>
  <c r="J9" i="8" s="1"/>
  <c r="K6" i="8"/>
  <c r="J6" i="8" s="1"/>
  <c r="J10" i="8"/>
  <c r="K10" i="8" s="1"/>
  <c r="J18" i="8"/>
  <c r="K18" i="8" s="1"/>
  <c r="J20" i="8"/>
  <c r="K20" i="8" s="1"/>
  <c r="J13" i="8"/>
  <c r="K13" i="8" s="1"/>
  <c r="J21" i="8"/>
  <c r="K21" i="8" s="1"/>
  <c r="J4" i="8"/>
  <c r="K4" i="8" s="1"/>
  <c r="J16" i="8"/>
  <c r="K16" i="8" s="1"/>
  <c r="V16" i="8" s="1"/>
  <c r="J22" i="8"/>
  <c r="K22" i="8" s="1"/>
  <c r="J8" i="8"/>
  <c r="K8" i="8" s="1"/>
  <c r="J23" i="8"/>
  <c r="K23" i="8" s="1"/>
  <c r="J5" i="8"/>
  <c r="K5" i="8" s="1"/>
  <c r="V5" i="8" s="1"/>
  <c r="J7" i="8"/>
  <c r="K7" i="8" s="1"/>
  <c r="J14" i="8"/>
  <c r="K14" i="8" s="1"/>
  <c r="V14" i="8" s="1"/>
  <c r="J17" i="8"/>
  <c r="K17" i="8" s="1"/>
  <c r="V17" i="8" s="1"/>
  <c r="J11" i="8"/>
  <c r="K11" i="8" s="1"/>
  <c r="H10" i="8"/>
  <c r="H11" i="8"/>
  <c r="H17" i="8"/>
  <c r="H14" i="8"/>
  <c r="H5" i="8"/>
  <c r="H8" i="8"/>
  <c r="H21" i="8"/>
  <c r="H16" i="8"/>
  <c r="H4" i="8"/>
  <c r="H13" i="8"/>
  <c r="H20" i="8"/>
  <c r="H18" i="8"/>
  <c r="V13" i="8" l="1"/>
  <c r="V12" i="8"/>
  <c r="V4" i="8"/>
  <c r="V8" i="8"/>
  <c r="V10" i="8"/>
  <c r="V15" i="8"/>
  <c r="V20" i="8"/>
  <c r="V9" i="8"/>
  <c r="S34" i="5" l="1"/>
  <c r="O34" i="5"/>
  <c r="N34" i="5"/>
  <c r="G34" i="5"/>
  <c r="Q24" i="5"/>
  <c r="Y24" i="5"/>
  <c r="R24" i="5"/>
  <c r="V28" i="5" s="1"/>
  <c r="P24" i="5"/>
  <c r="N24" i="5"/>
  <c r="M24" i="5"/>
  <c r="X28" i="5" s="1"/>
  <c r="L24" i="5"/>
  <c r="U28" i="5" l="1"/>
  <c r="U24" i="5"/>
  <c r="V24" i="5"/>
  <c r="W24" i="5" s="1"/>
  <c r="Y28" i="5"/>
  <c r="Z28" i="5" s="1"/>
  <c r="S24" i="5"/>
  <c r="X24" i="5"/>
  <c r="AA24" i="5" s="1"/>
  <c r="O24" i="5"/>
  <c r="W28" i="5" l="1"/>
  <c r="AA28" i="5"/>
  <c r="Z24" i="5"/>
  <c r="AB25" i="5"/>
  <c r="AC2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tc={37875752-6C38-478F-BFBD-032B41D08A3E}</author>
    <author>tc={52B236FB-3D57-4608-829B-73EAFCD2B14C}</author>
    <author>tc={5376A056-6EAA-4EE8-B190-8EE8F38B6324}</author>
    <author>tc={BA2E73C2-7DD5-4550-85BE-1E9EA21A8B0B}</author>
    <author>tc={D85B98D8-DBF0-4E76-9537-A36524C94C10}</author>
    <author>tc={1F3B9DDD-76A3-4CD9-86C8-BE8B3B38ED01}</author>
    <author>tc={6603E798-8AF8-423B-BA47-3DFA71744D47}</author>
    <author>tc={EAE473F0-2970-4FF5-B204-E21691C582ED}</author>
    <author>tc={71EF15E0-D79A-4DA0-8E05-463EF275EAF4}</author>
    <author>tc={A3EA6196-F7D1-4235-92FF-615F43963361}</author>
    <author>tc={246B493F-CC89-4BA9-A712-9388076D1014}</author>
    <author>tc={907FF7FD-A632-4940-881E-4361AF64FAAA}</author>
    <author>tc={023F599F-5DAE-475A-AE56-84553C548E8D}</author>
    <author>tc={C7845B01-AB85-4BCA-A4AD-B159B0AE3949}</author>
    <author>tc={5EC103D7-A716-4B51-A465-8D7981B513C0}</author>
    <author>tc={858F0BF7-F6C8-4541-BA4D-D481D1A1E92D}</author>
    <author>tc={A841DA99-B653-4BBD-B3DE-39325376C56B}</author>
    <author>tc={130A0CB2-F659-4E79-B6F8-9A4D02D49040}</author>
    <author>tc={C0AFEA15-D44B-4937-8307-542603275FBC}</author>
    <author>tc={C7D54F79-6A45-44E7-B819-B08BC2073460}</author>
    <author>tc={3364C128-DA51-4F7E-8DD3-C9916129800F}</author>
    <author>tc={AE0AD470-1B1D-43A7-BE4A-B4FFADB03EB7}</author>
    <author>tc={52619ADA-67F9-4846-BD34-0722595ED2E6}</author>
    <author>tc={DE9935CD-82BE-4439-A665-3E34A32B6FCB}</author>
    <author>tc={367A4650-4E61-4DE8-B960-CAC826D25C3A}</author>
    <author>tc={12D91DE5-314A-47D2-9987-EFE0AD2F421B}</author>
    <author>tc={6C391446-8D16-4EC9-9F8C-421D44BF4508}</author>
    <author>tc={8475B3B3-4FF3-4560-86A4-B307010F035B}</author>
    <author>tc={4F1C3A8D-E1FC-4A74-8C76-B0FD6B3E2E9E}</author>
    <author>tc={12FEB888-52E7-4341-BA3F-6CC4FB956373}</author>
    <author>tc={1CF97D4E-7F0A-418F-884A-4CDBDDC01EFA}</author>
    <author>tc={27B8355D-1375-413D-B1B0-BEDD84EF83BF}</author>
    <author>tc={C3039CE1-F592-452A-9AD8-942136AF008D}</author>
  </authors>
  <commentList>
    <comment ref="Q4" authorId="0" shapeId="0" xr:uid="{37875752-6C38-478F-BFBD-032B41D08A3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https://www.google.com/search?q=wie+viele+h%C3%A4user+gibt+es+in+deutschland&amp;rlz=1C1GCEU_deDE978DE978&amp;oq=wie+viele+h%C3%A4user+gibt+es+in+deutschland&amp;aqs=chrome..69i57j0i512j0i22i30l8.10404j0j1&amp;sourceid=chrome&amp;ie=UTF-8</t>
      </text>
    </comment>
    <comment ref="R4" authorId="1" shapeId="0" xr:uid="{52B236FB-3D57-4608-829B-73EAFCD2B1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http://willkommen.imwerk.ch/wp-content/uploads/2014/11/Lebensdauertabelle_MV.pdf
Antwort:
    https://baumensch.de/wie-lange-haelt-ein-haus/#:~:text=Im%20Geschosswohnungsbau%20rechnet%20man%20heute,die%20Immobilien%20ordentlich%20gewartet%20werden.
Antwort:
    60 bis 100</t>
      </text>
    </comment>
    <comment ref="Q5" authorId="2" shapeId="0" xr:uid="{5376A056-6EAA-4EE8-B190-8EE8F38B6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https://humberg-baumschutz.de/strassenbaeume-in-unseren-staedten#:~:text=Die%20h%C3%A4ufigsten%20Stra%C3%9Fenb%C3%A4ume%20nach%20St%C3%A4dten&amp;text=Rund%20433.000%20B%C3%A4ume%20zieren%20die,%25)%20und%20Rosskastanien%20(5%25).</t>
      </text>
    </comment>
    <comment ref="R5" authorId="3" shapeId="0" xr:uid="{BA2E73C2-7DD5-4550-85BE-1E9EA21A8B0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https://de.statista.com/statistik/daten/studie/1175860/umfrage/natuerliches-alter-heimischer-baumarten/
200</t>
      </text>
    </comment>
    <comment ref="Q6" authorId="4" shapeId="0" xr:uid="{D85B98D8-DBF0-4E76-9537-A36524C94C1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object occurs due to its permant presentece with a length of 300m at 1000m for 3.33333 times</t>
      </text>
    </comment>
    <comment ref="R6" authorId="5" shapeId="0" xr:uid="{1F3B9DDD-76A3-4CD9-86C8-BE8B3B38ED0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https://www.bmvi.de/DE/Themen/Mobilitaet/Strasse/Erhalt-Strassen-Bautechnik/erhalt-strassen-bautechnik.html
Antwort:
    Richtlinien für die Standardisierung des Überbaus von Verkehrsflächen (RStO)</t>
      </text>
    </comment>
    <comment ref="Q7" authorId="6" shapeId="0" xr:uid="{6603E798-8AF8-423B-BA47-3DFA71744D4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https://www.wald.sachsen.de/15_3b.pdf</t>
      </text>
    </comment>
    <comment ref="R7" authorId="7" shapeId="0" xr:uid="{EAE473F0-2970-4FF5-B204-E21691C582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https://www.lwf.bayern.de/wissenstransfer/forstcastnet/234251/index.php
Antwort:
    1-200</t>
      </text>
    </comment>
    <comment ref="Q8" authorId="8" shapeId="0" xr:uid="{71EF15E0-D79A-4DA0-8E05-463EF275EA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https://de.statista.com/statistik/daten/studie/37962/umfrage/laenge-der-stromnetze-in-deutschland-in-1998-und-2008/</t>
      </text>
    </comment>
    <comment ref="R8" authorId="9" shapeId="0" xr:uid="{A3EA6196-F7D1-4235-92FF-615F4396336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https://de.wikipedia.org/wiki/Freileitungsmast#:~:text=Die%20Lebensdauer%20der%20Kompaktmasten%20liegt,Schweiz%20und%20den%20Niederlanden%20eingesetzt.
Antwort:
    80-100 Jahre
Antwort:
    https://de.statista.com/statistik/daten/studie/37962/umfrage/laenge-der-stromnetze-in-deutschland-in-1998-und-2008/
656</t>
      </text>
    </comment>
    <comment ref="Q9" authorId="10" shapeId="0" xr:uid="{246B493F-CC89-4BA9-A712-9388076D101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 object occurs due to its permant presentece with a length of 300m at 1000m for 3.33333 times</t>
      </text>
    </comment>
    <comment ref="R9" authorId="11" shapeId="0" xr:uid="{907FF7FD-A632-4940-881E-4361AF64FAA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https://www.hp-fahrbahnmarkierung.de/index.php/fahrbahn-markierung/eigenschaften#:~:text=Die%20Lebensdauer%20betr%C3%A4gt%20je%20nach,5%20bis%208%20Jahre.
Antwort:
    5 bis 8</t>
      </text>
    </comment>
    <comment ref="F10" authorId="12" shapeId="0" xr:uid="{023F599F-5DAE-475A-AE56-84553C548E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https://blog.seton.de/verkehrsschilder-groesse.html</t>
      </text>
    </comment>
    <comment ref="Q10" authorId="13" shapeId="0" xr:uid="{C7845B01-AB85-4BCA-A4AD-B159B0AE39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https://www.kabeleins.de/tv/abenteuer-leben/freizeit-leben/auto/service-wissen/ratgeber-verkehr/so-gross-ist-der-schilderwald</t>
      </text>
    </comment>
    <comment ref="R10" authorId="14" shapeId="0" xr:uid="{5EC103D7-A716-4B51-A465-8D7981B513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https://www.absperrtechnik24.de/blog/verkehrsschilder-sind-dank-folie-moderne-hightechprodukte/
https://openjur.de/u/2192980.html#:~:text=Die%20Lebensdauer%20von%20Verkehrsschildern%20werde%20im%20Allgemeinen%20bei%2020%20Jahren%20gesehen.
Antwort:
    12 bis 20</t>
      </text>
    </comment>
    <comment ref="Q11" authorId="15" shapeId="0" xr:uid="{858F0BF7-F6C8-4541-BA4D-D481D1A1E92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https://de.statista.com/statistik/daten/studie/36948/umfrage/anzahl-der-moscheen-und-kirchen-in-deutschland/#:~:text=Die%20Statistik%20zeigt%20die%20Anzahl,es%20rund%2021.100%20evangelische%20Kirchen.</t>
      </text>
    </comment>
    <comment ref="Q12" authorId="16" shapeId="0" xr:uid="{A841DA99-B653-4BBD-B3DE-39325376C56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https://rieder-gmbh.de/
multiplied by 2 because of the driving direction</t>
      </text>
    </comment>
    <comment ref="R12" authorId="17" shapeId="0" xr:uid="{130A0CB2-F659-4E79-B6F8-9A4D02D4904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https://bbv-unternehmensgruppe.de/unternehmen/bbv-wissen/fahrzeugrueckhaltesysteme/wie-lange-haelt-eine-leitplanke/?L=0#:~:text=Wie%20lange%20eine%20Leitplanke%20bzw,entsprechender%20Wartung%20durchaus%20auch%20l%C3%A4nger.</t>
      </text>
    </comment>
    <comment ref="Q13" authorId="18" shapeId="0" xr:uid="{C0AFEA15-D44B-4937-8307-542603275FB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https://www.strassenbeleuchtung.de/index.php/technik/34-grundlagen-der-strassenbeleuchtung/319-zahlen-und-fakten</t>
      </text>
    </comment>
    <comment ref="R13" authorId="19" shapeId="0" xr:uid="{C7D54F79-6A45-44E7-B819-B08BC207346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https://www.wn.de/muensterland/kreis-warendorf/drensteinfurt/280-masten-werden-auf-ihre-standfestigkeit-hin-uberpruft-lebensdauer-von-40-jahren-1901143</t>
      </text>
    </comment>
    <comment ref="Q14" authorId="20" shapeId="0" xr:uid="{3364C128-DA51-4F7E-8DD3-C9916129800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aus der schweiz...
https://www.waldwissen.net/de/lebensraum-wald/naturschutz/monitoring/waldameisen-in-der-schweiz</t>
      </text>
    </comment>
    <comment ref="R14" authorId="21" shapeId="0" xr:uid="{AE0AD470-1B1D-43A7-BE4A-B4FFADB03EB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https://www.waldwissen.net/de/lebensraum-wald/tiere-im-wald/insekten-wirbellose/huegelbauende-ameisen
Antwort:
    15 bis 
30 jahre</t>
      </text>
    </comment>
    <comment ref="Q15" authorId="22" shapeId="0" xr:uid="{52619ADA-67F9-4846-BD34-0722595ED2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https://de.statista.com/statistik/daten/studie/152192/umfrage/gesamtlaenge-der-laermschutzwaende-an-deutschen-strassen/</t>
      </text>
    </comment>
    <comment ref="R15" authorId="23" shapeId="0" xr:uid="{DE9935CD-82BE-4439-A665-3E34A32B6F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https://bbv-unternehmensgruppe.de/unternehmen/bbv-wissen/fahrzeugrueckhaltesysteme/wie-lange-haelt-eine-leitplanke/?L=0#:~:text=Wie%20lange%20eine%20Leitplanke%20bzw,entsprechender%20Wartung%20durchaus%20auch%20l%C3%A4nger.</t>
      </text>
    </comment>
    <comment ref="Q16" authorId="24" shapeId="0" xr:uid="{367A4650-4E61-4DE8-B960-CAC826D25C3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ttps://www.rbb24.de/panorama/beitrag/2019/03/muelleimer-verteilung-bsr-papierkoerbe-berlin.html
Flächenverteiung:https://www.inforadio.de/dossier/2019/wmr---mobilitaet-in-berlin/platz-da-daten.html#:~:text=892%20Quadratkilometer%20%E2%80%93%20so%20gro%C3%9F%20ist,einzelnen%20Bezirken%20allerdings%20sehr%20unterschiedlich.
24000 in berlin ==&gt; Annahme: 0,5 bebaute fäche</t>
      </text>
    </comment>
    <comment ref="R16" authorId="25" shapeId="0" xr:uid="{12D91DE5-314A-47D2-9987-EFE0AD2F421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https://www.wolkdirekt.com/abfallbehaelter-mondo-_-5748952.html
Antwort:
    https://www.resorti-muelltonnenboxen.de/gruende-muelltonnenbox/#:~:text=Das%20regelm%C3%A4%C3%9Fige%20Leeren%2C%20Sonne%20und,verpflichtet%2C%20schadhafte%20Tonnen%20zu%20leeren.
Antwort:
    12 - 25 Jahre</t>
      </text>
    </comment>
    <comment ref="Q17" authorId="26" shapeId="0" xr:uid="{6C391446-8D16-4EC9-9F8C-421D44BF450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https://de.wikipedia.org/wiki/Litfa%C3%9Fs%C3%A4ule#:~:text=Ende%202005%20gab%20es%20nach,standen%20hier%20genau%202.548%20S%C3%A4ulen.</t>
      </text>
    </comment>
    <comment ref="Q18" authorId="27" shapeId="0" xr:uid="{8475B3B3-4FF3-4560-86A4-B307010F03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calculated without inner city streets</t>
      </text>
    </comment>
    <comment ref="R18" authorId="28" shapeId="0" xr:uid="{4F1C3A8D-E1FC-4A74-8C76-B0FD6B3E2E9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https://data.epo.org/publication-server/document?iDocId=179428&amp;iFormat=2#:~:text=%5B0005%5D%20Konventionelle%20Leitpfosten%20haben%20eine,damit%20eine%20Erneuerung%20der%20Leitpfosten.</t>
      </text>
    </comment>
    <comment ref="Q19" authorId="29" shapeId="0" xr:uid="{12FEB888-52E7-4341-BA3F-6CC4FB95637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lubw.baden-wuerttemberg.de/wasser/awgn#:~:text=Aktuell%20sind%20%C3%BCber%2019.680%20Flie%C3%9Fgew%C3%A4sser,von%20rund%2045.500%20km%20erfasst.&amp;text=Die%20Datenbest%C3%A4nde%20%C3%BCber%20stehende%20Gew%C3%A4sser,von%20533%20km2%20hat.&amp;text=F%C3%BCr%20Baden%2DW%C3%BCrttemberg%20wurden%209.350%20Basiseinzugsgebiete%20digitalisiert.
Antwort:
    width= 5m, length=45500km</t>
      </text>
    </comment>
    <comment ref="Q20" authorId="30" shapeId="0" xr:uid="{1CF97D4E-7F0A-418F-884A-4CDBDDC01E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https://www.bavc-automobilclub.de/de/component/k2/item/311-alles-ueber-ampeln#:~:text=Eine%20pro%201.000%20Bewohner.,Lichtsignalanlagen%20gibt%20es%20in%20Deutschland.</t>
      </text>
    </comment>
    <comment ref="R20" authorId="31" shapeId="0" xr:uid="{27B8355D-1375-413D-B1B0-BEDD84EF83B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https://www.strassenverkehrstechnik-online.de/aktuelles/artikel/die-sparsamste-ampel-der-welt.html#:~:text=Die%20typische%20Lebensdauer%20von%20Ampeln,werden%20wieder%20gut%20zu%20machen.</t>
      </text>
    </comment>
    <comment ref="Q24" authorId="32" shapeId="0" xr:uid="{C3039CE1-F592-452A-9AD8-942136AF00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https://www.schifffahrtsverein.de/wasserstrassennetz/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tc={85959BD2-A760-4656-BDE7-3D4F8E8A5612}</author>
    <author>tc={C8D11C7F-6B58-40C9-8328-CE1CA7AAEB5A}</author>
  </authors>
  <commentList>
    <comment ref="B9" authorId="0" shapeId="0" xr:uid="{85959BD2-A760-4656-BDE7-3D4F8E8A56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https://de.statista.com/statistik/daten/studie/429371/umfrage/laenge-der-strassen-in-deutschen-grossstaedten/</t>
      </text>
    </comment>
    <comment ref="B10" authorId="1" shapeId="0" xr:uid="{C8D11C7F-6B58-40C9-8328-CE1CA7AAEB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Antwort:
    https://www.google.com/search?q=area+of+berlin&amp;rlz=1C1GCEU_deDE978DE978&amp;oq=area+of+berlin&amp;aqs=chrome..69i57j0i19j0i19i22i30l6j0i10i19i22i30.3464j1j1&amp;sourceid=chrome&amp;ie=UTF-8</t>
      </text>
    </comment>
  </commentList>
</comments>
</file>

<file path=xl/sharedStrings.xml><?xml version="1.0" encoding="utf-8"?>
<sst xmlns="http://schemas.openxmlformats.org/spreadsheetml/2006/main" count="384" uniqueCount="198">
  <si>
    <t>[2D/3D]</t>
  </si>
  <si>
    <t>Straßenschild</t>
  </si>
  <si>
    <t>2D</t>
  </si>
  <si>
    <t>Straße</t>
  </si>
  <si>
    <t>Leitplanke</t>
  </si>
  <si>
    <t>Mercedesstern</t>
  </si>
  <si>
    <t>ja</t>
  </si>
  <si>
    <t>2D/3D</t>
  </si>
  <si>
    <t>3D</t>
  </si>
  <si>
    <t>3D / 2D</t>
  </si>
  <si>
    <t>nein</t>
  </si>
  <si>
    <t>-</t>
  </si>
  <si>
    <t>360°</t>
  </si>
  <si>
    <t>x</t>
  </si>
  <si>
    <t>~</t>
  </si>
  <si>
    <t>[cm x cm]</t>
  </si>
  <si>
    <t>min</t>
  </si>
  <si>
    <t>max</t>
  </si>
  <si>
    <t>Vehicle Data</t>
  </si>
  <si>
    <t>z_sensor [m]</t>
  </si>
  <si>
    <t>y_sensor [m]</t>
  </si>
  <si>
    <t>Value</t>
  </si>
  <si>
    <t>Attribute</t>
  </si>
  <si>
    <t>Comment</t>
  </si>
  <si>
    <t>y</t>
  </si>
  <si>
    <t>y=0 equals middle</t>
  </si>
  <si>
    <t>Z=0 euals ground</t>
  </si>
  <si>
    <t>Wikipedia, RPY angles of cars.png, CC BY-SA 3.0, Qniemiec</t>
  </si>
  <si>
    <t>Ebene</t>
  </si>
  <si>
    <t>Beispie</t>
  </si>
  <si>
    <t>XY</t>
  </si>
  <si>
    <t>XZ</t>
  </si>
  <si>
    <t>YZ</t>
  </si>
  <si>
    <t>z</t>
  </si>
  <si>
    <t>trapeze</t>
  </si>
  <si>
    <t>Stripe</t>
  </si>
  <si>
    <t>perpendicular</t>
  </si>
  <si>
    <t xml:space="preserve">Sensor </t>
  </si>
  <si>
    <t>Range [m]</t>
  </si>
  <si>
    <t>Object Middle Point Position from 0,0,0</t>
  </si>
  <si>
    <t>Start</t>
  </si>
  <si>
    <t>End</t>
  </si>
  <si>
    <t>P1</t>
  </si>
  <si>
    <t>x_sensor [m]</t>
  </si>
  <si>
    <t>middle point</t>
  </si>
  <si>
    <t>len</t>
  </si>
  <si>
    <t>P2</t>
  </si>
  <si>
    <t>Bildebene YZ @ 1m</t>
  </si>
  <si>
    <t>a</t>
  </si>
  <si>
    <t>a_vanishin</t>
  </si>
  <si>
    <t>a_sichtbar</t>
  </si>
  <si>
    <t>Trapez</t>
  </si>
  <si>
    <t>Linie</t>
  </si>
  <si>
    <t>P3</t>
  </si>
  <si>
    <t>P4</t>
  </si>
  <si>
    <t>doppelt (li+Re)</t>
  </si>
  <si>
    <t>einfach</t>
  </si>
  <si>
    <t>Abmessungen Objekt</t>
  </si>
  <si>
    <t>Objekt ist bleickstabil</t>
  </si>
  <si>
    <t>also eine Kugel!</t>
  </si>
  <si>
    <t>Rel Pos Straße</t>
  </si>
  <si>
    <t>rel.Pos Sensor</t>
  </si>
  <si>
    <t>x_min</t>
  </si>
  <si>
    <t>x_max</t>
  </si>
  <si>
    <t>(G8*((1/E8)-(1/F8)) / (F8-E8))</t>
  </si>
  <si>
    <t>Durschnittliche Fläche</t>
  </si>
  <si>
    <t>[1/km]</t>
  </si>
  <si>
    <t>lane markings</t>
  </si>
  <si>
    <t>delinator</t>
  </si>
  <si>
    <t>street lights</t>
  </si>
  <si>
    <t>traffic barrier</t>
  </si>
  <si>
    <t>big plant pot</t>
  </si>
  <si>
    <t>trashcan</t>
  </si>
  <si>
    <t>orientation object</t>
  </si>
  <si>
    <t xml:space="preserve">waterway </t>
  </si>
  <si>
    <t>anthill</t>
  </si>
  <si>
    <t>[m]</t>
  </si>
  <si>
    <t>a_obj</t>
  </si>
  <si>
    <t>m³</t>
  </si>
  <si>
    <t>a_norm</t>
  </si>
  <si>
    <t>dmax</t>
  </si>
  <si>
    <t>dmin</t>
  </si>
  <si>
    <t>Scaling Volumen</t>
  </si>
  <si>
    <t>https://www.wolframalpha.com/input/?i2d=true&amp;i=0.64Integrate%5BPower%5BDivide%5B1%2C300-x%5D%2C2%5D%2C%7Bx%2C0%2C297%7D%5D</t>
  </si>
  <si>
    <t>Street length in Germany [km]</t>
  </si>
  <si>
    <t>Area of Germany [km²]</t>
  </si>
  <si>
    <t>Street length in Berlin [km]</t>
  </si>
  <si>
    <t>Area of Berlin [km²]</t>
  </si>
  <si>
    <t>h=40 x w=8m</t>
  </si>
  <si>
    <t>h=3,5 x l=300</t>
  </si>
  <si>
    <t>w=12 - 30 x l=600-1200</t>
  </si>
  <si>
    <t>w=12 x h=100</t>
  </si>
  <si>
    <t>d=10 - 30</t>
  </si>
  <si>
    <t xml:space="preserve">d_pole=8 </t>
  </si>
  <si>
    <t>h=60 x w=100</t>
  </si>
  <si>
    <t>h=1000 x w=1000</t>
  </si>
  <si>
    <t>w=30 x h=60</t>
  </si>
  <si>
    <t>d=150</t>
  </si>
  <si>
    <t>h=2000 - 5100 x b=800</t>
  </si>
  <si>
    <t>h=50 - 3000</t>
  </si>
  <si>
    <t>w=2000</t>
  </si>
  <si>
    <t>w=20000 x 18000</t>
  </si>
  <si>
    <t>h=20 - 200</t>
  </si>
  <si>
    <t>d=140 x h=310</t>
  </si>
  <si>
    <t>b=310 - 370 
Upper edge 75</t>
  </si>
  <si>
    <t>d=100-300</t>
  </si>
  <si>
    <t>d=42 - 120</t>
  </si>
  <si>
    <t>l=30000 x w=300</t>
  </si>
  <si>
    <t>l=30000 x w=500</t>
  </si>
  <si>
    <t>[yr]</t>
  </si>
  <si>
    <t>distance</t>
  </si>
  <si>
    <t>[m²]</t>
  </si>
  <si>
    <t>frustum volume</t>
  </si>
  <si>
    <t>shape</t>
  </si>
  <si>
    <t>handling</t>
  </si>
  <si>
    <t>normed obj</t>
  </si>
  <si>
    <t>material</t>
  </si>
  <si>
    <t>surface</t>
  </si>
  <si>
    <t>persistence</t>
  </si>
  <si>
    <t>AI dataset</t>
  </si>
  <si>
    <t>spatial plane</t>
  </si>
  <si>
    <t>dimension 2D</t>
  </si>
  <si>
    <t>dimension</t>
  </si>
  <si>
    <t>suitability</t>
  </si>
  <si>
    <t>ground objects</t>
  </si>
  <si>
    <t>lane</t>
  </si>
  <si>
    <t>traffic sign</t>
  </si>
  <si>
    <t>sign</t>
  </si>
  <si>
    <t>light signal systems</t>
  </si>
  <si>
    <t>traffic lights</t>
  </si>
  <si>
    <t>house</t>
  </si>
  <si>
    <t>obstacles</t>
  </si>
  <si>
    <t>buildings</t>
  </si>
  <si>
    <t>city furniture</t>
  </si>
  <si>
    <t>bale storage</t>
  </si>
  <si>
    <t>electricity pylon</t>
  </si>
  <si>
    <t>vegitation</t>
  </si>
  <si>
    <t>tree</t>
  </si>
  <si>
    <t>object</t>
  </si>
  <si>
    <t>class</t>
  </si>
  <si>
    <t>number</t>
  </si>
  <si>
    <t>misc</t>
  </si>
  <si>
    <t>water bodies</t>
  </si>
  <si>
    <t>landscapes</t>
  </si>
  <si>
    <t>edge of forest</t>
  </si>
  <si>
    <t>animal buildings</t>
  </si>
  <si>
    <t>river</t>
  </si>
  <si>
    <t>advertising pillar</t>
  </si>
  <si>
    <t>church spires</t>
  </si>
  <si>
    <t>traffic restraint systems</t>
  </si>
  <si>
    <t>noise barrier</t>
  </si>
  <si>
    <t>N/A</t>
  </si>
  <si>
    <t>width</t>
  </si>
  <si>
    <t xml:space="preserve">point, </t>
  </si>
  <si>
    <t>pot</t>
  </si>
  <si>
    <t>driving direction</t>
  </si>
  <si>
    <t>infrastructure</t>
  </si>
  <si>
    <t>Camera height above ground [m]</t>
  </si>
  <si>
    <t>Camera to right lane boarder [m]</t>
  </si>
  <si>
    <t>wood</t>
  </si>
  <si>
    <t>wood, concrete, metal</t>
  </si>
  <si>
    <t>metal</t>
  </si>
  <si>
    <t>metal, glass</t>
  </si>
  <si>
    <t>wood, concrete, metal, glass, plastic</t>
  </si>
  <si>
    <t>plastic, glass</t>
  </si>
  <si>
    <t>asphalt, concrete, gravel</t>
  </si>
  <si>
    <t>metal sheet</t>
  </si>
  <si>
    <t>soil, Grad</t>
  </si>
  <si>
    <t>soil, wood</t>
  </si>
  <si>
    <t>plastic,reflector</t>
  </si>
  <si>
    <t>water</t>
  </si>
  <si>
    <t>irregular, -, -</t>
  </si>
  <si>
    <t>regular / irregular</t>
  </si>
  <si>
    <t>trihedron</t>
  </si>
  <si>
    <t>round</t>
  </si>
  <si>
    <t>rectangular</t>
  </si>
  <si>
    <t>regular, rough</t>
  </si>
  <si>
    <t>irregular, -, mat</t>
  </si>
  <si>
    <t>irregular,-, mat</t>
  </si>
  <si>
    <t>regular, smooth, mat</t>
  </si>
  <si>
    <t>regular / irregular, smooth, mat</t>
  </si>
  <si>
    <t>regular, smooth, mat
ggf reflective cat eye</t>
  </si>
  <si>
    <t>regular, smooth, mat
e.g. reflective cat eye</t>
  </si>
  <si>
    <t>regular, smooth, mat
e.g. reflektierendes Katenauge</t>
  </si>
  <si>
    <t>probability of occurence</t>
  </si>
  <si>
    <t>environment</t>
  </si>
  <si>
    <t>perception around vehicle</t>
  </si>
  <si>
    <t>city</t>
  </si>
  <si>
    <t>city, rural, highway</t>
  </si>
  <si>
    <t>rural, highway</t>
  </si>
  <si>
    <t xml:space="preserve">city, rural, highway </t>
  </si>
  <si>
    <t>city, highway</t>
  </si>
  <si>
    <t>city, rural, highway, forest, natural</t>
  </si>
  <si>
    <t>forest, natural</t>
  </si>
  <si>
    <t>regular, rough, reflecting</t>
  </si>
  <si>
    <t>regular, smooth, reflecting</t>
  </si>
  <si>
    <t>regular, smooth, reflecting - mat</t>
  </si>
  <si>
    <t>irregular, -, reflecting-mat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</si>
</sst>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1"/>
    <xf numFmtId="1" fontId="0" fillId="0" borderId="0" xfId="0" applyNumberFormat="1"/>
    <xf numFmtId="0" fontId="1" fillId="0" borderId="0" xfId="0" applyFont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Alignment="1">
      <alignment wrapText="1"/>
    </xf>
    <xf numFmtId="0" fontId="2" fillId="5" borderId="0" xfId="1" applyFill="1" applyBorder="1" applyAlignment="1">
      <alignment vertical="center" wrapText="1"/>
    </xf>
    <xf numFmtId="0" fontId="2" fillId="5" borderId="0" xfId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0</xdr:row>
      <xdr:rowOff>76200</xdr:rowOff>
    </xdr:from>
    <xdr:to>
      <xdr:col>13</xdr:col>
      <xdr:colOff>161925</xdr:colOff>
      <xdr:row>10</xdr:row>
      <xdr:rowOff>49559</xdr:rowOff>
    </xdr:to>
    <xdr:pic>
      <xdr:nvPicPr>
        <xdr:cNvPr id="2" name="Grafik 1" descr="Fahrzeugkoordinatensystem – Wikipedia">
          <a:extLst>
            <a:ext uri="{FF2B5EF4-FFF2-40B4-BE49-F238E27FC236}">
              <a16:creationId xmlns:a16="http://schemas.microsoft.com/office/drawing/2014/main" id="{13D5FB09-373E-4B07-BA4E-A3A4DF81C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76200"/>
          <a:ext cx="3162300" cy="1878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11</xdr:row>
      <xdr:rowOff>114300</xdr:rowOff>
    </xdr:from>
    <xdr:to>
      <xdr:col>23</xdr:col>
      <xdr:colOff>476250</xdr:colOff>
      <xdr:row>18</xdr:row>
      <xdr:rowOff>95250</xdr:rowOff>
    </xdr:to>
    <xdr:sp macro="" textlink="">
      <xdr:nvSpPr>
        <xdr:cNvPr id="4" name="Trapezoid 3">
          <a:extLst>
            <a:ext uri="{FF2B5EF4-FFF2-40B4-BE49-F238E27FC236}">
              <a16:creationId xmlns:a16="http://schemas.microsoft.com/office/drawing/2014/main" id="{5C9AC4C3-74E0-4A85-A2FC-0D51E91997E7}"/>
            </a:ext>
          </a:extLst>
        </xdr:cNvPr>
        <xdr:cNvSpPr/>
      </xdr:nvSpPr>
      <xdr:spPr>
        <a:xfrm>
          <a:off x="10610850" y="2209800"/>
          <a:ext cx="2381250" cy="1314450"/>
        </a:xfrm>
        <a:prstGeom prst="trapezoid">
          <a:avLst>
            <a:gd name="adj" fmla="val 8586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12</xdr:col>
      <xdr:colOff>314325</xdr:colOff>
      <xdr:row>36</xdr:row>
      <xdr:rowOff>152400</xdr:rowOff>
    </xdr:from>
    <xdr:to>
      <xdr:col>21</xdr:col>
      <xdr:colOff>333375</xdr:colOff>
      <xdr:row>41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D44BB6B6-9B4A-4C4D-938C-8B0C3B47459D}"/>
            </a:ext>
          </a:extLst>
        </xdr:cNvPr>
        <xdr:cNvSpPr/>
      </xdr:nvSpPr>
      <xdr:spPr>
        <a:xfrm>
          <a:off x="7381875" y="7010400"/>
          <a:ext cx="4781550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152400</xdr:colOff>
      <xdr:row>37</xdr:row>
      <xdr:rowOff>152400</xdr:rowOff>
    </xdr:from>
    <xdr:to>
      <xdr:col>15</xdr:col>
      <xdr:colOff>257175</xdr:colOff>
      <xdr:row>40</xdr:row>
      <xdr:rowOff>9525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14B457F4-2AE3-4D66-B559-725871C547B3}"/>
            </a:ext>
          </a:extLst>
        </xdr:cNvPr>
        <xdr:cNvSpPr/>
      </xdr:nvSpPr>
      <xdr:spPr>
        <a:xfrm>
          <a:off x="7591425" y="7200900"/>
          <a:ext cx="1171575" cy="4286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276225</xdr:colOff>
      <xdr:row>37</xdr:row>
      <xdr:rowOff>104776</xdr:rowOff>
    </xdr:from>
    <xdr:to>
      <xdr:col>14</xdr:col>
      <xdr:colOff>57150</xdr:colOff>
      <xdr:row>40</xdr:row>
      <xdr:rowOff>66676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4C817DF9-D650-4505-8FFD-C9B0FB955E9D}"/>
            </a:ext>
          </a:extLst>
        </xdr:cNvPr>
        <xdr:cNvSpPr/>
      </xdr:nvSpPr>
      <xdr:spPr>
        <a:xfrm>
          <a:off x="7715250" y="7153276"/>
          <a:ext cx="85725" cy="5334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9525</xdr:colOff>
      <xdr:row>37</xdr:row>
      <xdr:rowOff>95251</xdr:rowOff>
    </xdr:from>
    <xdr:to>
      <xdr:col>15</xdr:col>
      <xdr:colOff>95250</xdr:colOff>
      <xdr:row>40</xdr:row>
      <xdr:rowOff>57151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940F31A7-57F6-4EBD-BAAF-CAB796345715}"/>
            </a:ext>
          </a:extLst>
        </xdr:cNvPr>
        <xdr:cNvSpPr/>
      </xdr:nvSpPr>
      <xdr:spPr>
        <a:xfrm>
          <a:off x="8515350" y="7143751"/>
          <a:ext cx="85725" cy="5334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342900</xdr:colOff>
      <xdr:row>41</xdr:row>
      <xdr:rowOff>28575</xdr:rowOff>
    </xdr:from>
    <xdr:to>
      <xdr:col>20</xdr:col>
      <xdr:colOff>514350</xdr:colOff>
      <xdr:row>42</xdr:row>
      <xdr:rowOff>9525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2D6CC209-40DB-4465-87BB-682377FB63D6}"/>
            </a:ext>
          </a:extLst>
        </xdr:cNvPr>
        <xdr:cNvSpPr/>
      </xdr:nvSpPr>
      <xdr:spPr>
        <a:xfrm>
          <a:off x="11410950" y="7839075"/>
          <a:ext cx="171450" cy="1714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304800</xdr:colOff>
      <xdr:row>41</xdr:row>
      <xdr:rowOff>19050</xdr:rowOff>
    </xdr:from>
    <xdr:to>
      <xdr:col>16</xdr:col>
      <xdr:colOff>476250</xdr:colOff>
      <xdr:row>42</xdr:row>
      <xdr:rowOff>0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0FC471F0-5996-4DED-8FDF-BB039589B730}"/>
            </a:ext>
          </a:extLst>
        </xdr:cNvPr>
        <xdr:cNvSpPr/>
      </xdr:nvSpPr>
      <xdr:spPr>
        <a:xfrm>
          <a:off x="9124950" y="7829550"/>
          <a:ext cx="171450" cy="1714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228600</xdr:colOff>
      <xdr:row>42</xdr:row>
      <xdr:rowOff>57150</xdr:rowOff>
    </xdr:from>
    <xdr:to>
      <xdr:col>16</xdr:col>
      <xdr:colOff>257175</xdr:colOff>
      <xdr:row>42</xdr:row>
      <xdr:rowOff>66675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A55EAA5F-62D9-4ECA-917D-CBE345918842}"/>
            </a:ext>
          </a:extLst>
        </xdr:cNvPr>
        <xdr:cNvCxnSpPr/>
      </xdr:nvCxnSpPr>
      <xdr:spPr>
        <a:xfrm>
          <a:off x="8982075" y="8058150"/>
          <a:ext cx="34290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43</xdr:row>
      <xdr:rowOff>57150</xdr:rowOff>
    </xdr:from>
    <xdr:to>
      <xdr:col>20</xdr:col>
      <xdr:colOff>390525</xdr:colOff>
      <xdr:row>43</xdr:row>
      <xdr:rowOff>66675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A01E5B12-4B67-46A3-87D1-1A343C30F0FE}"/>
            </a:ext>
          </a:extLst>
        </xdr:cNvPr>
        <xdr:cNvCxnSpPr/>
      </xdr:nvCxnSpPr>
      <xdr:spPr>
        <a:xfrm flipV="1">
          <a:off x="9010650" y="8248650"/>
          <a:ext cx="26955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ank, Florian" id="{7117700C-6907-43C4-91BE-2DA9F6E9D372}" userId="S::Frank@iwt-bodensee.de::b4f2043f-a7c7-4956-a993-a0f97ce1e0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" dT="2022-02-04T13:20:08.44" personId="{7117700C-6907-43C4-91BE-2DA9F6E9D372}" id="{37875752-6C38-478F-BFBD-032B41D08A3E}">
    <text>https://www.google.com/search?q=wie+viele+h%C3%A4user+gibt+es+in+deutschland&amp;rlz=1C1GCEU_deDE978DE978&amp;oq=wie+viele+h%C3%A4user+gibt+es+in+deutschland&amp;aqs=chrome..69i57j0i512j0i22i30l8.10404j0j1&amp;sourceid=chrome&amp;ie=UTF-8</text>
  </threadedComment>
  <threadedComment ref="R4" dT="2022-01-23T19:27:03.63" personId="{7117700C-6907-43C4-91BE-2DA9F6E9D372}" id="{52B236FB-3D57-4608-829B-73EAFCD2B14C}">
    <text>http://willkommen.imwerk.ch/wp-content/uploads/2014/11/Lebensdauertabelle_MV.pdf</text>
  </threadedComment>
  <threadedComment ref="R4" dT="2022-01-23T19:31:38.78" personId="{7117700C-6907-43C4-91BE-2DA9F6E9D372}" id="{A39C564A-51CA-4251-8F9A-86AAA32203F9}" parentId="{52B236FB-3D57-4608-829B-73EAFCD2B14C}">
    <text>https://baumensch.de/wie-lange-haelt-ein-haus/#:~:text=Im%20Geschosswohnungsbau%20rechnet%20man%20heute,die%20Immobilien%20ordentlich%20gewartet%20werden.</text>
  </threadedComment>
  <threadedComment ref="R4" dT="2022-01-24T09:55:10.10" personId="{7117700C-6907-43C4-91BE-2DA9F6E9D372}" id="{3D9BE1EE-FE9C-41EA-B078-10FBE74A685D}" parentId="{52B236FB-3D57-4608-829B-73EAFCD2B14C}">
    <text>60 bis 100</text>
  </threadedComment>
  <threadedComment ref="Q5" dT="2022-02-04T13:36:58.15" personId="{7117700C-6907-43C4-91BE-2DA9F6E9D372}" id="{5376A056-6EAA-4EE8-B190-8EE8F38B6324}">
    <text>https://humberg-baumschutz.de/strassenbaeume-in-unseren-staedten#:~:text=Die%20h%C3%A4ufigsten%20Stra%C3%9Fenb%C3%A4ume%20nach%20St%C3%A4dten&amp;text=Rund%20433.000%20B%C3%A4ume%20zieren%20die,%25)%20und%20Rosskastanien%20(5%25).</text>
  </threadedComment>
  <threadedComment ref="R5" dT="2022-01-24T09:38:14.91" personId="{7117700C-6907-43C4-91BE-2DA9F6E9D372}" id="{BA2E73C2-7DD5-4550-85BE-1E9EA21A8B0B}">
    <text>https://de.statista.com/statistik/daten/studie/1175860/umfrage/natuerliches-alter-heimischer-baumarten/
200</text>
  </threadedComment>
  <threadedComment ref="Q6" dT="2022-02-04T13:07:07.56" personId="{7117700C-6907-43C4-91BE-2DA9F6E9D372}" id="{D85B98D8-DBF0-4E76-9537-A36524C94C10}">
    <text>the object occurs due to its permant presentece with a length of 300m at 1000m for 3.33333 times</text>
  </threadedComment>
  <threadedComment ref="R6" dT="2022-01-24T08:27:59.62" personId="{7117700C-6907-43C4-91BE-2DA9F6E9D372}" id="{1F3B9DDD-76A3-4CD9-86C8-BE8B3B38ED01}">
    <text>https://www.bmvi.de/DE/Themen/Mobilitaet/Strasse/Erhalt-Strassen-Bautechnik/erhalt-strassen-bautechnik.html</text>
  </threadedComment>
  <threadedComment ref="R6" dT="2022-01-24T08:29:43.54" personId="{7117700C-6907-43C4-91BE-2DA9F6E9D372}" id="{6081C038-80B7-4E61-AEDE-E976254BF605}" parentId="{1F3B9DDD-76A3-4CD9-86C8-BE8B3B38ED01}">
    <text>Richtlinien für die Standardisierung des Überbaus von Verkehrsflächen (RStO)</text>
  </threadedComment>
  <threadedComment ref="Q7" dT="2022-02-04T13:37:17.66" personId="{7117700C-6907-43C4-91BE-2DA9F6E9D372}" id="{6603E798-8AF8-423B-BA47-3DFA71744D47}">
    <text>https://www.wald.sachsen.de/15_3b.pdf</text>
  </threadedComment>
  <threadedComment ref="R7" dT="2022-01-23T19:21:16.33" personId="{7117700C-6907-43C4-91BE-2DA9F6E9D372}" id="{EAE473F0-2970-4FF5-B204-E21691C582ED}">
    <text>https://www.lwf.bayern.de/wissenstransfer/forstcastnet/234251/index.php</text>
  </threadedComment>
  <threadedComment ref="R7" dT="2022-01-24T09:58:15.22" personId="{7117700C-6907-43C4-91BE-2DA9F6E9D372}" id="{5F52F56F-7141-43CF-9CB9-9E75B21B87EF}" parentId="{EAE473F0-2970-4FF5-B204-E21691C582ED}">
    <text>1-200</text>
  </threadedComment>
  <threadedComment ref="Q8" dT="2022-02-04T13:23:32.08" personId="{7117700C-6907-43C4-91BE-2DA9F6E9D372}" id="{71EF15E0-D79A-4DA0-8E05-463EF275EAF4}">
    <text>https://de.statista.com/statistik/daten/studie/37962/umfrage/laenge-der-stromnetze-in-deutschland-in-1998-und-2008/</text>
  </threadedComment>
  <threadedComment ref="R8" dT="2022-01-23T19:24:24.17" personId="{7117700C-6907-43C4-91BE-2DA9F6E9D372}" id="{A3EA6196-F7D1-4235-92FF-615F43963361}">
    <text>https://de.wikipedia.org/wiki/Freileitungsmast#:~:text=Die%20Lebensdauer%20der%20Kompaktmasten%20liegt,Schweiz%20und%20den%20Niederlanden%20eingesetzt.</text>
  </threadedComment>
  <threadedComment ref="R8" dT="2022-01-24T09:54:55.82" personId="{7117700C-6907-43C4-91BE-2DA9F6E9D372}" id="{24464479-C21B-4B25-ACF8-163093940916}" parentId="{A3EA6196-F7D1-4235-92FF-615F43963361}">
    <text>80-100 Jahre</text>
  </threadedComment>
  <threadedComment ref="R8" dT="2022-01-26T21:39:58.14" personId="{7117700C-6907-43C4-91BE-2DA9F6E9D372}" id="{40ABBCFB-936D-42F0-B08A-0CDA41105DAF}" parentId="{A3EA6196-F7D1-4235-92FF-615F43963361}">
    <text>https://de.statista.com/statistik/daten/studie/37962/umfrage/laenge-der-stromnetze-in-deutschland-in-1998-und-2008/
656</text>
  </threadedComment>
  <threadedComment ref="Q9" dT="2022-02-04T13:08:46.92" personId="{7117700C-6907-43C4-91BE-2DA9F6E9D372}" id="{246B493F-CC89-4BA9-A712-9388076D1014}">
    <text>the object occurs due to its permant presentece with a length of 300m at 1000m for 3.33333 times</text>
  </threadedComment>
  <threadedComment ref="R9" dT="2022-01-23T19:40:34.28" personId="{7117700C-6907-43C4-91BE-2DA9F6E9D372}" id="{907FF7FD-A632-4940-881E-4361AF64FAAA}">
    <text>https://www.hp-fahrbahnmarkierung.de/index.php/fahrbahn-markierung/eigenschaften#:~:text=Die%20Lebensdauer%20betr%C3%A4gt%20je%20nach,5%20bis%208%20Jahre.</text>
  </threadedComment>
  <threadedComment ref="R9" dT="2022-01-24T09:07:02.65" personId="{7117700C-6907-43C4-91BE-2DA9F6E9D372}" id="{55E9EDC0-C6F0-4B93-9B7F-3DD2CA4B41C2}" parentId="{907FF7FD-A632-4940-881E-4361AF64FAAA}">
    <text>5 bis 8</text>
  </threadedComment>
  <threadedComment ref="F10" dT="2022-02-04T11:49:42.19" personId="{7117700C-6907-43C4-91BE-2DA9F6E9D372}" id="{023F599F-5DAE-475A-AE56-84553C548E8D}">
    <text>https://blog.seton.de/verkehrsschilder-groesse.html</text>
  </threadedComment>
  <threadedComment ref="Q10" dT="2022-02-04T13:08:33.73" personId="{7117700C-6907-43C4-91BE-2DA9F6E9D372}" id="{C7845B01-AB85-4BCA-A4AD-B159B0AE3949}">
    <text>https://www.kabeleins.de/tv/abenteuer-leben/freizeit-leben/auto/service-wissen/ratgeber-verkehr/so-gross-ist-der-schilderwald</text>
  </threadedComment>
  <threadedComment ref="R10" dT="2022-01-23T19:42:27.75" personId="{7117700C-6907-43C4-91BE-2DA9F6E9D372}" id="{5EC103D7-A716-4B51-A465-8D7981B513C0}">
    <text>https://www.absperrtechnik24.de/blog/verkehrsschilder-sind-dank-folie-moderne-hightechprodukte/
https://openjur.de/u/2192980.html#:~:text=Die%20Lebensdauer%20von%20Verkehrsschildern%20werde%20im%20Allgemeinen%20bei%2020%20Jahren%20gesehen.</text>
  </threadedComment>
  <threadedComment ref="R10" dT="2022-01-24T08:35:25.53" personId="{7117700C-6907-43C4-91BE-2DA9F6E9D372}" id="{4E191C0E-BBA1-4EA0-AAC5-3810D4EC85CB}" parentId="{5EC103D7-A716-4B51-A465-8D7981B513C0}">
    <text>12 bis 20</text>
  </threadedComment>
  <threadedComment ref="Q11" dT="2022-02-04T13:41:54.31" personId="{7117700C-6907-43C4-91BE-2DA9F6E9D372}" id="{858F0BF7-F6C8-4541-BA4D-D481D1A1E92D}">
    <text>https://de.statista.com/statistik/daten/studie/36948/umfrage/anzahl-der-moscheen-und-kirchen-in-deutschland/#:~:text=Die%20Statistik%20zeigt%20die%20Anzahl,es%20rund%2021.100%20evangelische%20Kirchen.</text>
  </threadedComment>
  <threadedComment ref="Q12" dT="2022-02-04T13:19:34.05" personId="{7117700C-6907-43C4-91BE-2DA9F6E9D372}" id="{A841DA99-B653-4BBD-B3DE-39325376C56B}">
    <text>https://rieder-gmbh.de/
multiplied by 2 because of the driving direction</text>
  </threadedComment>
  <threadedComment ref="R12" dT="2022-01-23T19:34:00.68" personId="{7117700C-6907-43C4-91BE-2DA9F6E9D372}" id="{130A0CB2-F659-4E79-B6F8-9A4D02D49040}">
    <text>https://bbv-unternehmensgruppe.de/unternehmen/bbv-wissen/fahrzeugrueckhaltesysteme/wie-lange-haelt-eine-leitplanke/?L=0#:~:text=Wie%20lange%20eine%20Leitplanke%20bzw,entsprechender%20Wartung%20durchaus%20auch%20l%C3%A4nger.</text>
  </threadedComment>
  <threadedComment ref="Q13" dT="2022-02-04T13:14:04.24" personId="{7117700C-6907-43C4-91BE-2DA9F6E9D372}" id="{C0AFEA15-D44B-4937-8307-542603275FBC}">
    <text>https://www.strassenbeleuchtung.de/index.php/technik/34-grundlagen-der-strassenbeleuchtung/319-zahlen-und-fakten</text>
  </threadedComment>
  <threadedComment ref="R13" dT="2022-01-23T19:32:53.54" personId="{7117700C-6907-43C4-91BE-2DA9F6E9D372}" id="{C7D54F79-6A45-44E7-B819-B08BC2073460}">
    <text>https://www.wn.de/muensterland/kreis-warendorf/drensteinfurt/280-masten-werden-auf-ihre-standfestigkeit-hin-uberpruft-lebensdauer-von-40-jahren-1901143</text>
  </threadedComment>
  <threadedComment ref="Q14" dT="2022-02-04T13:37:43.50" personId="{7117700C-6907-43C4-91BE-2DA9F6E9D372}" id="{3364C128-DA51-4F7E-8DD3-C9916129800F}">
    <text>aus der schweiz...
https://www.waldwissen.net/de/lebensraum-wald/naturschutz/monitoring/waldameisen-in-der-schweiz</text>
  </threadedComment>
  <threadedComment ref="R14" dT="2022-01-23T19:22:17.65" personId="{7117700C-6907-43C4-91BE-2DA9F6E9D372}" id="{AE0AD470-1B1D-43A7-BE4A-B4FFADB03EB7}">
    <text>https://www.waldwissen.net/de/lebensraum-wald/tiere-im-wald/insekten-wirbellose/huegelbauende-ameisen</text>
  </threadedComment>
  <threadedComment ref="R14" dT="2022-01-24T09:56:06.72" personId="{7117700C-6907-43C4-91BE-2DA9F6E9D372}" id="{490401E2-EAD0-49B7-A226-D821F2EA3798}" parentId="{AE0AD470-1B1D-43A7-BE4A-B4FFADB03EB7}">
    <text>15 bis 
30 jahre</text>
  </threadedComment>
  <threadedComment ref="Q15" dT="2022-02-04T13:42:35.46" personId="{7117700C-6907-43C4-91BE-2DA9F6E9D372}" id="{52619ADA-67F9-4846-BD34-0722595ED2E6}">
    <text>https://de.statista.com/statistik/daten/studie/152192/umfrage/gesamtlaenge-der-laermschutzwaende-an-deutschen-strassen/</text>
  </threadedComment>
  <threadedComment ref="R15" dT="2022-01-23T19:34:00.68" personId="{7117700C-6907-43C4-91BE-2DA9F6E9D372}" id="{DE9935CD-82BE-4439-A665-3E34A32B6FCB}">
    <text>https://bbv-unternehmensgruppe.de/unternehmen/bbv-wissen/fahrzeugrueckhaltesysteme/wie-lange-haelt-eine-leitplanke/?L=0#:~:text=Wie%20lange%20eine%20Leitplanke%20bzw,entsprechender%20Wartung%20durchaus%20auch%20l%C3%A4nger.</text>
  </threadedComment>
  <threadedComment ref="Q16" dT="2022-02-04T13:22:32.99" personId="{7117700C-6907-43C4-91BE-2DA9F6E9D372}" id="{367A4650-4E61-4DE8-B960-CAC826D25C3A}">
    <text>ttps://www.rbb24.de/panorama/beitrag/2019/03/muelleimer-verteilung-bsr-papierkoerbe-berlin.html
Flächenverteiung:https://www.inforadio.de/dossier/2019/wmr---mobilitaet-in-berlin/platz-da-daten.html#:~:text=892%20Quadratkilometer%20%E2%80%93%20so%20gro%C3%9F%20ist,einzelnen%20Bezirken%20allerdings%20sehr%20unterschiedlich.
24000 in berlin ==&gt; Annahme: 0,5 bebaute fäche</text>
  </threadedComment>
  <threadedComment ref="R16" dT="2022-01-23T19:30:41.37" personId="{7117700C-6907-43C4-91BE-2DA9F6E9D372}" id="{12D91DE5-314A-47D2-9987-EFE0AD2F421B}">
    <text>https://www.wolkdirekt.com/abfallbehaelter-mondo-_-5748952.html</text>
  </threadedComment>
  <threadedComment ref="R16" dT="2022-01-24T13:46:58.60" personId="{7117700C-6907-43C4-91BE-2DA9F6E9D372}" id="{EA6F08E7-CFA6-48D8-A05A-F30F7596C503}" parentId="{12D91DE5-314A-47D2-9987-EFE0AD2F421B}">
    <text>https://www.resorti-muelltonnenboxen.de/gruende-muelltonnenbox/#:~:text=Das%20regelm%C3%A4%C3%9Fige%20Leeren%2C%20Sonne%20und,verpflichtet%2C%20schadhafte%20Tonnen%20zu%20leeren.</text>
  </threadedComment>
  <threadedComment ref="R16" dT="2022-01-24T13:47:06.91" personId="{7117700C-6907-43C4-91BE-2DA9F6E9D372}" id="{1D21F967-525F-479A-9477-B948BE1026F3}" parentId="{12D91DE5-314A-47D2-9987-EFE0AD2F421B}">
    <text>12 - 25 Jahre</text>
  </threadedComment>
  <threadedComment ref="Q17" dT="2022-02-04T13:40:41.27" personId="{7117700C-6907-43C4-91BE-2DA9F6E9D372}" id="{6C391446-8D16-4EC9-9F8C-421D44BF4508}">
    <text>https://de.wikipedia.org/wiki/Litfa%C3%9Fs%C3%A4ule#:~:text=Ende%202005%20gab%20es%20nach,standen%20hier%20genau%202.548%20S%C3%A4ulen.</text>
  </threadedComment>
  <threadedComment ref="Q18" dT="2022-02-04T13:10:35.55" personId="{7117700C-6907-43C4-91BE-2DA9F6E9D372}" id="{8475B3B3-4FF3-4560-86A4-B307010F035B}">
    <text>calculated without inner city streets</text>
  </threadedComment>
  <threadedComment ref="R18" dT="2022-01-23T19:38:55.25" personId="{7117700C-6907-43C4-91BE-2DA9F6E9D372}" id="{4F1C3A8D-E1FC-4A74-8C76-B0FD6B3E2E9E}">
    <text>https://data.epo.org/publication-server/document?iDocId=179428&amp;iFormat=2#:~:text=%5B0005%5D%20Konventionelle%20Leitpfosten%20haben%20eine,damit%20eine%20Erneuerung%20der%20Leitpfosten.</text>
  </threadedComment>
  <threadedComment ref="Q19" dT="2022-02-04T13:40:12.25" personId="{7117700C-6907-43C4-91BE-2DA9F6E9D372}" id="{12FEB888-52E7-4341-BA3F-6CC4FB956373}">
    <text>https://www.lubw.baden-wuerttemberg.de/wasser/awgn#:~:text=Aktuell%20sind%20%C3%BCber%2019.680%20Flie%C3%9Fgew%C3%A4sser,von%20rund%2045.500%20km%20erfasst.&amp;text=Die%20Datenbest%C3%A4nde%20%C3%BCber%20stehende%20Gew%C3%A4sser,von%20533%20km2%20hat.&amp;text=F%C3%BCr%20Baden%2DW%C3%BCrttemberg%20wurden%209.350%20Basiseinzugsgebiete%20digitalisiert.</text>
  </threadedComment>
  <threadedComment ref="Q19" dT="2022-02-04T13:40:24.29" personId="{7117700C-6907-43C4-91BE-2DA9F6E9D372}" id="{16C5F3AE-CA58-4148-A186-D13A16558241}" parentId="{12FEB888-52E7-4341-BA3F-6CC4FB956373}">
    <text>width= 5m, length=45500km</text>
  </threadedComment>
  <threadedComment ref="Q20" dT="2022-02-04T13:11:07.91" personId="{7117700C-6907-43C4-91BE-2DA9F6E9D372}" id="{1CF97D4E-7F0A-418F-884A-4CDBDDC01EFA}">
    <text>https://www.bavc-automobilclub.de/de/component/k2/item/311-alles-ueber-ampeln#:~:text=Eine%20pro%201.000%20Bewohner.,Lichtsignalanlagen%20gibt%20es%20in%20Deutschland.</text>
  </threadedComment>
  <threadedComment ref="R20" dT="2022-01-24T08:15:03.06" personId="{7117700C-6907-43C4-91BE-2DA9F6E9D372}" id="{27B8355D-1375-413D-B1B0-BEDD84EF83BF}">
    <text>https://www.strassenverkehrstechnik-online.de/aktuelles/artikel/die-sparsamste-ampel-der-welt.html#:~:text=Die%20typische%20Lebensdauer%20von%20Ampeln,werden%20wieder%20gut%20zu%20machen.</text>
  </threadedComment>
  <threadedComment ref="Q24" dT="2022-02-04T13:39:06.58" personId="{7117700C-6907-43C4-91BE-2DA9F6E9D372}" id="{C3039CE1-F592-452A-9AD8-942136AF008D}">
    <text>https://www.schifffahrtsverein.de/wasserstrassennetz/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9" dT="2022-02-02T12:54:35.58" personId="{7117700C-6907-43C4-91BE-2DA9F6E9D372}" id="{85959BD2-A760-4656-BDE7-3D4F8E8A5612}">
    <text>https://de.statista.com/statistik/daten/studie/429371/umfrage/laenge-der-strassen-in-deutschen-grossstaedten/</text>
  </threadedComment>
  <threadedComment ref="B10" dT="2022-02-02T12:53:23.34" personId="{7117700C-6907-43C4-91BE-2DA9F6E9D372}" id="{C8D11C7F-6B58-40C9-8328-CE1CA7AAEB5A}">
    <text/>
  </threadedComment>
  <threadedComment ref="B10" dT="2022-02-02T12:54:22.78" personId="{7117700C-6907-43C4-91BE-2DA9F6E9D372}" id="{1AB29F31-3D0B-4C07-924C-A11A8DE437DA}" parentId="{C8D11C7F-6B58-40C9-8328-CE1CA7AAEB5A}">
    <text>https://www.google.com/search?q=area+of+berlin&amp;rlz=1C1GCEU_deDE978DE978&amp;oq=area+of+berlin&amp;aqs=chrome..69i57j0i19j0i19i22i30l6j0i10i19i22i30.3464j1j1&amp;sourceid=chrome&amp;ie=UTF-8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www.google.com/search?q=quadratmeter+deutschland&amp;rlz=1C1GCEU_deDE978DE978&amp;oq=quadrat&amp;aqs=chrome.0.69i59j69i57j69i59j0i67j0i67i131i433j0i67j69i60l2.6139j1j1&amp;sourceid=chrome&amp;ie=UTF-8" TargetMode="External"/><Relationship Id="rId1" Type="http://schemas.openxmlformats.org/officeDocument/2006/relationships/hyperlink" Target="https://toll-collect-blog.de/deutschland-dein-strassennetz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wolframalpha.com/input/?i2d=true&amp;i=0.64Integrate%5BPower%5BDivide%5B1%2C300-x%5D%2C2%5D%2C%7Bx%2C0%2C297%7D%5D" TargetMode="External"/><Relationship Id="rId1" Type="http://schemas.openxmlformats.org/officeDocument/2006/relationships/hyperlink" Target="https://de.wikipedia.org/wiki/Fahrzeugkoordinaten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2E8BC-B053-487C-81A5-5C703FCE4EBE}">
  <dimension ref="A1:V24"/>
  <sheetViews>
    <sheetView tabSelected="1" topLeftCell="E1" workbookViewId="0">
      <selection activeCell="M20" sqref="M20"/>
    </sheetView>
  </sheetViews>
  <sheetFormatPr baseColWidth="10" defaultRowHeight="15" x14ac:dyDescent="0.25"/>
  <cols>
    <col min="2" max="2" width="16.42578125" customWidth="1"/>
    <col min="6" max="6" width="19.28515625" customWidth="1"/>
    <col min="7" max="7" width="6" customWidth="1"/>
    <col min="13" max="13" width="9.5703125" customWidth="1"/>
    <col min="16" max="16" width="33.28515625" customWidth="1"/>
  </cols>
  <sheetData>
    <row r="1" spans="1:22" x14ac:dyDescent="0.25">
      <c r="A1" t="s">
        <v>140</v>
      </c>
      <c r="B1" t="s">
        <v>139</v>
      </c>
      <c r="C1" t="s">
        <v>138</v>
      </c>
      <c r="D1" t="s">
        <v>110</v>
      </c>
      <c r="E1" t="s">
        <v>110</v>
      </c>
      <c r="F1" t="s">
        <v>121</v>
      </c>
      <c r="G1" t="s">
        <v>152</v>
      </c>
      <c r="H1" t="s">
        <v>77</v>
      </c>
      <c r="I1" t="s">
        <v>120</v>
      </c>
      <c r="J1" t="s">
        <v>112</v>
      </c>
      <c r="K1" t="s">
        <v>79</v>
      </c>
      <c r="L1" t="s">
        <v>122</v>
      </c>
      <c r="M1" t="s">
        <v>113</v>
      </c>
      <c r="N1" t="s">
        <v>115</v>
      </c>
      <c r="O1" t="s">
        <v>116</v>
      </c>
      <c r="P1" t="s">
        <v>117</v>
      </c>
      <c r="Q1" t="s">
        <v>184</v>
      </c>
      <c r="R1" t="s">
        <v>118</v>
      </c>
      <c r="S1" t="s">
        <v>185</v>
      </c>
      <c r="T1" t="s">
        <v>119</v>
      </c>
      <c r="U1" t="s">
        <v>186</v>
      </c>
      <c r="V1" t="s">
        <v>123</v>
      </c>
    </row>
    <row r="2" spans="1:22" x14ac:dyDescent="0.25">
      <c r="D2" t="s">
        <v>16</v>
      </c>
      <c r="E2" t="s">
        <v>17</v>
      </c>
      <c r="L2" t="s">
        <v>114</v>
      </c>
    </row>
    <row r="3" spans="1:22" x14ac:dyDescent="0.25">
      <c r="D3" t="s">
        <v>76</v>
      </c>
      <c r="E3" t="s">
        <v>76</v>
      </c>
      <c r="F3" t="s">
        <v>15</v>
      </c>
      <c r="G3" t="s">
        <v>76</v>
      </c>
      <c r="H3" t="s">
        <v>111</v>
      </c>
      <c r="J3" t="s">
        <v>78</v>
      </c>
      <c r="K3" t="s">
        <v>111</v>
      </c>
      <c r="L3" t="s">
        <v>0</v>
      </c>
      <c r="Q3" t="s">
        <v>66</v>
      </c>
      <c r="R3" t="s">
        <v>109</v>
      </c>
    </row>
    <row r="4" spans="1:22" x14ac:dyDescent="0.25">
      <c r="A4">
        <v>9</v>
      </c>
      <c r="B4" t="s">
        <v>132</v>
      </c>
      <c r="C4" t="s">
        <v>132</v>
      </c>
      <c r="D4">
        <v>1.5</v>
      </c>
      <c r="E4">
        <v>300</v>
      </c>
      <c r="F4" t="s">
        <v>95</v>
      </c>
      <c r="H4">
        <f>(10*10)</f>
        <v>100</v>
      </c>
      <c r="I4" t="s">
        <v>32</v>
      </c>
      <c r="J4">
        <f t="shared" ref="J4:J24" si="0">IF(I4="YZ",IF(H4&lt;&gt;"N/A",(H4*(1/D4-1/E4)),0),K4*E4)</f>
        <v>66.333333333333329</v>
      </c>
      <c r="K4">
        <f>IF(I4="YZ",J4/(E4-D4),IF(I4="XZ",(1/D4*0.5*parameter!$B$4*G4*(1-(D4/E4)^2)),(1/D4*0.5*parameter!$B$3*G4*(1-(D4/E4)^2))))</f>
        <v>0.22222222222222221</v>
      </c>
      <c r="L4" t="s">
        <v>9</v>
      </c>
      <c r="M4" t="s">
        <v>130</v>
      </c>
      <c r="N4" t="s">
        <v>10</v>
      </c>
      <c r="O4" t="s">
        <v>163</v>
      </c>
      <c r="P4" t="s">
        <v>172</v>
      </c>
      <c r="Q4">
        <f>(19300000/parameter!$B$6)</f>
        <v>30.781499202551835</v>
      </c>
      <c r="R4">
        <v>60</v>
      </c>
      <c r="S4" t="s">
        <v>188</v>
      </c>
      <c r="T4" t="s">
        <v>11</v>
      </c>
      <c r="U4" t="s">
        <v>12</v>
      </c>
      <c r="V4">
        <f t="shared" ref="V4:V24" si="1">IF(Q4="N/A",0,(IF(R4&gt;10,10*Q4*K4,R4*Q4*K4)))</f>
        <v>68.403331561226295</v>
      </c>
    </row>
    <row r="5" spans="1:22" x14ac:dyDescent="0.25">
      <c r="A5">
        <v>14</v>
      </c>
      <c r="B5" t="s">
        <v>136</v>
      </c>
      <c r="C5" t="s">
        <v>137</v>
      </c>
      <c r="D5">
        <v>3</v>
      </c>
      <c r="E5">
        <v>300</v>
      </c>
      <c r="F5" t="s">
        <v>99</v>
      </c>
      <c r="H5">
        <f>(0.5*10 + 8*8)</f>
        <v>69</v>
      </c>
      <c r="I5" t="s">
        <v>32</v>
      </c>
      <c r="J5">
        <f t="shared" si="0"/>
        <v>22.769999999999996</v>
      </c>
      <c r="K5">
        <f>IF(I5="YZ",J5/(E5-D5),IF(I5="XZ",(1/D5*0.5*parameter!$B$4*G5*(1-(D5/E5)^2)),(1/D5*0.5*parameter!$B$3*G5*(1-(D5/E5)^2))))</f>
        <v>7.6666666666666647E-2</v>
      </c>
      <c r="L5" t="s">
        <v>8</v>
      </c>
      <c r="N5" t="s">
        <v>10</v>
      </c>
      <c r="O5" t="s">
        <v>159</v>
      </c>
      <c r="P5" t="s">
        <v>177</v>
      </c>
      <c r="Q5">
        <f>(23000/parameter!B6+SQRT(431101/parameter!B10))</f>
        <v>22.023166465462399</v>
      </c>
      <c r="R5">
        <v>200</v>
      </c>
      <c r="S5" t="s">
        <v>192</v>
      </c>
      <c r="T5" t="s">
        <v>14</v>
      </c>
      <c r="U5" t="s">
        <v>12</v>
      </c>
      <c r="V5">
        <f t="shared" si="1"/>
        <v>16.884427623521169</v>
      </c>
    </row>
    <row r="6" spans="1:22" x14ac:dyDescent="0.25">
      <c r="A6">
        <v>1</v>
      </c>
      <c r="B6" t="s">
        <v>124</v>
      </c>
      <c r="C6" t="s">
        <v>125</v>
      </c>
      <c r="D6">
        <v>10</v>
      </c>
      <c r="E6">
        <v>300</v>
      </c>
      <c r="F6" t="s">
        <v>107</v>
      </c>
      <c r="G6">
        <v>3</v>
      </c>
      <c r="H6" t="s">
        <v>151</v>
      </c>
      <c r="I6" t="s">
        <v>30</v>
      </c>
      <c r="J6">
        <f t="shared" si="0"/>
        <v>53.940000000000005</v>
      </c>
      <c r="K6">
        <f>IF(I6="YZ",J6/(E6-D6),(1/D6*0.5*parameter!$B$3*G6*(1-(D6/E6)^2)))</f>
        <v>0.17980000000000002</v>
      </c>
      <c r="L6" t="s">
        <v>2</v>
      </c>
      <c r="M6" t="s">
        <v>175</v>
      </c>
      <c r="N6" t="s">
        <v>6</v>
      </c>
      <c r="O6" t="s">
        <v>165</v>
      </c>
      <c r="P6" t="s">
        <v>176</v>
      </c>
      <c r="Q6">
        <f>(1000/E6)</f>
        <v>3.3333333333333335</v>
      </c>
      <c r="R6">
        <v>30</v>
      </c>
      <c r="S6" t="s">
        <v>11</v>
      </c>
      <c r="T6" t="s">
        <v>13</v>
      </c>
      <c r="U6" t="s">
        <v>155</v>
      </c>
      <c r="V6">
        <f t="shared" si="1"/>
        <v>5.9933333333333341</v>
      </c>
    </row>
    <row r="7" spans="1:22" x14ac:dyDescent="0.25">
      <c r="A7">
        <v>16</v>
      </c>
      <c r="B7" t="s">
        <v>143</v>
      </c>
      <c r="C7" t="s">
        <v>144</v>
      </c>
      <c r="D7">
        <v>5</v>
      </c>
      <c r="E7">
        <v>300</v>
      </c>
      <c r="F7" t="s">
        <v>101</v>
      </c>
      <c r="H7">
        <v>360</v>
      </c>
      <c r="I7" t="s">
        <v>32</v>
      </c>
      <c r="J7">
        <f t="shared" si="0"/>
        <v>70.800000000000011</v>
      </c>
      <c r="K7">
        <f>IF(I7="YZ",J7/(E7-D7),IF(I7="XZ",(1/D7*0.5*parameter!$B$4*G7*(1-(D7/E7)^2)),(1/D7*0.5*parameter!$B$3*G7*(1-(D7/E7)^2))))</f>
        <v>0.24000000000000005</v>
      </c>
      <c r="L7" t="s">
        <v>8</v>
      </c>
      <c r="N7" t="s">
        <v>10</v>
      </c>
      <c r="O7" t="s">
        <v>167</v>
      </c>
      <c r="P7" t="s">
        <v>178</v>
      </c>
      <c r="Q7">
        <f>(699954/parameter!B7)</f>
        <v>1.9585378274470739</v>
      </c>
      <c r="R7">
        <v>100</v>
      </c>
      <c r="S7" t="s">
        <v>192</v>
      </c>
      <c r="T7" t="s">
        <v>11</v>
      </c>
      <c r="U7" t="s">
        <v>12</v>
      </c>
      <c r="V7">
        <f t="shared" si="1"/>
        <v>4.7004907858729776</v>
      </c>
    </row>
    <row r="8" spans="1:22" x14ac:dyDescent="0.25">
      <c r="A8">
        <v>12</v>
      </c>
      <c r="B8" t="s">
        <v>156</v>
      </c>
      <c r="C8" t="s">
        <v>135</v>
      </c>
      <c r="D8">
        <v>20</v>
      </c>
      <c r="E8">
        <v>300</v>
      </c>
      <c r="F8" t="s">
        <v>98</v>
      </c>
      <c r="H8">
        <f>(40*5)</f>
        <v>200</v>
      </c>
      <c r="I8" t="s">
        <v>32</v>
      </c>
      <c r="J8">
        <f t="shared" si="0"/>
        <v>9.3333333333333339</v>
      </c>
      <c r="K8">
        <f>IF(I8="YZ",J8/(E8-D8),IF(I8="XZ",(1/D8*0.5*parameter!$B$4*G8*(1-(D8/E8)^2)),(1/D8*0.5*parameter!$B$3*G8*(1-(D8/E8)^2))))</f>
        <v>3.3333333333333333E-2</v>
      </c>
      <c r="L8" t="s">
        <v>8</v>
      </c>
      <c r="N8" t="s">
        <v>10</v>
      </c>
      <c r="O8" t="s">
        <v>160</v>
      </c>
      <c r="P8" t="s">
        <v>179</v>
      </c>
      <c r="Q8">
        <f>(SQRT(3.3*656000/parameter!B7))</f>
        <v>2.4611615508018239</v>
      </c>
      <c r="R8">
        <v>80</v>
      </c>
      <c r="S8" t="s">
        <v>189</v>
      </c>
      <c r="T8" t="s">
        <v>11</v>
      </c>
      <c r="U8" t="s">
        <v>12</v>
      </c>
      <c r="V8">
        <f t="shared" si="1"/>
        <v>0.82038718360060792</v>
      </c>
    </row>
    <row r="9" spans="1:22" x14ac:dyDescent="0.25">
      <c r="A9">
        <v>3</v>
      </c>
      <c r="B9" t="s">
        <v>126</v>
      </c>
      <c r="C9" t="s">
        <v>67</v>
      </c>
      <c r="D9">
        <v>10</v>
      </c>
      <c r="E9">
        <v>300</v>
      </c>
      <c r="F9" t="s">
        <v>90</v>
      </c>
      <c r="G9">
        <v>0.3</v>
      </c>
      <c r="H9" t="s">
        <v>151</v>
      </c>
      <c r="I9" t="s">
        <v>30</v>
      </c>
      <c r="J9">
        <f t="shared" si="0"/>
        <v>5.3940000000000001</v>
      </c>
      <c r="K9">
        <f>IF(I9="YZ",J9/(E9-D9),(1/D9*0.5*parameter!$B$3*G9*(1-(D9/E9)^2)))</f>
        <v>1.7979999999999999E-2</v>
      </c>
      <c r="L9" t="s">
        <v>2</v>
      </c>
      <c r="N9" t="s">
        <v>6</v>
      </c>
      <c r="O9" t="s">
        <v>164</v>
      </c>
      <c r="P9" t="s">
        <v>194</v>
      </c>
      <c r="Q9">
        <v>3.3333333333333335</v>
      </c>
      <c r="R9">
        <v>5</v>
      </c>
      <c r="S9" t="s">
        <v>190</v>
      </c>
      <c r="T9" t="s">
        <v>13</v>
      </c>
      <c r="U9" t="s">
        <v>12</v>
      </c>
      <c r="V9">
        <f t="shared" si="1"/>
        <v>0.29966666666666669</v>
      </c>
    </row>
    <row r="10" spans="1:22" x14ac:dyDescent="0.25">
      <c r="A10">
        <v>2</v>
      </c>
      <c r="B10" t="s">
        <v>126</v>
      </c>
      <c r="C10" t="s">
        <v>127</v>
      </c>
      <c r="D10">
        <v>3</v>
      </c>
      <c r="E10">
        <v>300</v>
      </c>
      <c r="F10" t="s">
        <v>106</v>
      </c>
      <c r="H10">
        <f>0.8*0.8</f>
        <v>0.64000000000000012</v>
      </c>
      <c r="I10" t="s">
        <v>32</v>
      </c>
      <c r="J10">
        <f t="shared" si="0"/>
        <v>0.21120000000000003</v>
      </c>
      <c r="K10">
        <f>IF(I10="YZ",J10/(E10-D10),(1/D10*0.5*parameter!$B$3*G10*(1-(D10/E10)^2)))</f>
        <v>7.1111111111111125E-4</v>
      </c>
      <c r="L10" t="s">
        <v>2</v>
      </c>
      <c r="N10" t="s">
        <v>6</v>
      </c>
      <c r="O10" t="s">
        <v>166</v>
      </c>
      <c r="P10" t="s">
        <v>195</v>
      </c>
      <c r="Q10">
        <f>(23500000/parameter!$B$6)</f>
        <v>37.480063795853269</v>
      </c>
      <c r="R10">
        <v>16</v>
      </c>
      <c r="S10" t="s">
        <v>192</v>
      </c>
      <c r="T10" t="s">
        <v>13</v>
      </c>
      <c r="U10" t="s">
        <v>12</v>
      </c>
      <c r="V10">
        <f t="shared" si="1"/>
        <v>0.2665248981038455</v>
      </c>
    </row>
    <row r="11" spans="1:22" ht="30" x14ac:dyDescent="0.25">
      <c r="A11">
        <v>20</v>
      </c>
      <c r="B11" t="s">
        <v>132</v>
      </c>
      <c r="C11" t="s">
        <v>148</v>
      </c>
      <c r="D11">
        <v>15</v>
      </c>
      <c r="E11">
        <v>300</v>
      </c>
      <c r="F11" t="s">
        <v>88</v>
      </c>
      <c r="H11">
        <f>(40*8)</f>
        <v>320</v>
      </c>
      <c r="I11" t="s">
        <v>32</v>
      </c>
      <c r="J11">
        <f t="shared" si="0"/>
        <v>20.266666666666669</v>
      </c>
      <c r="K11">
        <f>IF(I11="YZ",J11/(E11-D11),IF(I11="XZ",(1/D11*0.5*parameter!$B$4*G11*(1-(D11/E11)^2)),(1/D11*0.5*parameter!$B$3*G11*(1-(D11/E11)^2))))</f>
        <v>7.1111111111111125E-2</v>
      </c>
      <c r="L11" t="s">
        <v>7</v>
      </c>
      <c r="N11" t="s">
        <v>10</v>
      </c>
      <c r="O11" t="s">
        <v>160</v>
      </c>
      <c r="P11" s="16" t="s">
        <v>183</v>
      </c>
      <c r="Q11">
        <f>(SQRT((24500+21100) / parameter!B7))</f>
        <v>0.35720181213701652</v>
      </c>
      <c r="R11" s="4">
        <v>100</v>
      </c>
      <c r="S11" t="s">
        <v>190</v>
      </c>
      <c r="T11" t="s">
        <v>11</v>
      </c>
      <c r="U11" t="s">
        <v>12</v>
      </c>
      <c r="V11">
        <f t="shared" si="1"/>
        <v>0.25401017751965627</v>
      </c>
    </row>
    <row r="12" spans="1:22" ht="30" x14ac:dyDescent="0.25">
      <c r="A12">
        <v>7</v>
      </c>
      <c r="B12" t="s">
        <v>149</v>
      </c>
      <c r="C12" t="s">
        <v>70</v>
      </c>
      <c r="D12">
        <v>1.5</v>
      </c>
      <c r="E12">
        <v>300</v>
      </c>
      <c r="F12" s="16" t="s">
        <v>104</v>
      </c>
      <c r="G12" s="16">
        <v>0.31</v>
      </c>
      <c r="H12" t="s">
        <v>151</v>
      </c>
      <c r="I12" t="s">
        <v>31</v>
      </c>
      <c r="J12">
        <f t="shared" si="0"/>
        <v>54.248643749999992</v>
      </c>
      <c r="K12">
        <f>IF(I12="YZ",J12/(E12-D12),IF(I12="XZ",(1/D12*0.5*parameter!$B$4*G12*(1-(D12/E12)^2)),(1/D12*0.5*parameter!$B$3*G12*(1-(D12/E12)^2))))</f>
        <v>0.18082881249999996</v>
      </c>
      <c r="L12" t="s">
        <v>7</v>
      </c>
      <c r="N12" t="s">
        <v>6</v>
      </c>
      <c r="O12" t="s">
        <v>161</v>
      </c>
      <c r="P12" t="s">
        <v>179</v>
      </c>
      <c r="Q12">
        <f>(32000*2/parameter!$B$6)</f>
        <v>0.10207336523125997</v>
      </c>
      <c r="R12">
        <v>50</v>
      </c>
      <c r="S12" t="s">
        <v>188</v>
      </c>
      <c r="T12" t="s">
        <v>14</v>
      </c>
      <c r="U12" t="s">
        <v>12</v>
      </c>
      <c r="V12">
        <f t="shared" si="1"/>
        <v>0.18457805422647522</v>
      </c>
    </row>
    <row r="13" spans="1:22" x14ac:dyDescent="0.25">
      <c r="A13">
        <v>6</v>
      </c>
      <c r="B13" t="s">
        <v>69</v>
      </c>
      <c r="C13" t="s">
        <v>69</v>
      </c>
      <c r="D13">
        <v>5</v>
      </c>
      <c r="E13">
        <v>300</v>
      </c>
      <c r="F13" t="s">
        <v>93</v>
      </c>
      <c r="H13">
        <f>(0.12*5+0.6*0.6)</f>
        <v>0.96</v>
      </c>
      <c r="I13" t="s">
        <v>32</v>
      </c>
      <c r="J13">
        <f t="shared" si="0"/>
        <v>0.18880000000000002</v>
      </c>
      <c r="K13">
        <f>IF(I13="YZ",J13/(E13-D13),(1/D13*0.5*parameter!$B$3*G13*(1-(D13/E13)^2)))</f>
        <v>6.4000000000000005E-4</v>
      </c>
      <c r="L13" t="s">
        <v>8</v>
      </c>
      <c r="M13" t="s">
        <v>153</v>
      </c>
      <c r="N13" t="s">
        <v>10</v>
      </c>
      <c r="O13" t="s">
        <v>162</v>
      </c>
      <c r="P13" t="s">
        <v>179</v>
      </c>
      <c r="Q13">
        <f>(9500000/parameter!$B$6)</f>
        <v>15.151515151515152</v>
      </c>
      <c r="R13">
        <v>40</v>
      </c>
      <c r="S13" t="s">
        <v>187</v>
      </c>
      <c r="T13" t="s">
        <v>14</v>
      </c>
      <c r="U13" t="s">
        <v>12</v>
      </c>
      <c r="V13">
        <f t="shared" si="1"/>
        <v>9.6969696969696983E-2</v>
      </c>
    </row>
    <row r="14" spans="1:22" x14ac:dyDescent="0.25">
      <c r="A14">
        <v>17</v>
      </c>
      <c r="B14" t="s">
        <v>145</v>
      </c>
      <c r="C14" t="s">
        <v>75</v>
      </c>
      <c r="D14">
        <v>5</v>
      </c>
      <c r="E14">
        <v>300</v>
      </c>
      <c r="F14" t="s">
        <v>102</v>
      </c>
      <c r="H14">
        <f>(0.5* 0.8 * 1.5)</f>
        <v>0.60000000000000009</v>
      </c>
      <c r="I14" t="s">
        <v>32</v>
      </c>
      <c r="J14">
        <f t="shared" si="0"/>
        <v>0.11800000000000002</v>
      </c>
      <c r="K14">
        <f>IF(I14="YZ",J14/(E14-D14),IF(I14="XZ",(1/D14*0.5*parameter!$B$4*G14*(1-(D14/E14)^2)),(1/D14*0.5*parameter!$B$3*G14*(1-(D14/E14)^2))))</f>
        <v>4.0000000000000007E-4</v>
      </c>
      <c r="L14" t="s">
        <v>8</v>
      </c>
      <c r="N14" t="s">
        <v>10</v>
      </c>
      <c r="O14" t="s">
        <v>168</v>
      </c>
      <c r="P14" t="s">
        <v>178</v>
      </c>
      <c r="Q14">
        <v>14.832396974191328</v>
      </c>
      <c r="R14">
        <v>15</v>
      </c>
      <c r="S14" t="s">
        <v>193</v>
      </c>
      <c r="T14" t="s">
        <v>11</v>
      </c>
      <c r="U14" t="s">
        <v>12</v>
      </c>
      <c r="V14">
        <f t="shared" si="1"/>
        <v>5.9329587896765325E-2</v>
      </c>
    </row>
    <row r="15" spans="1:22" ht="30" x14ac:dyDescent="0.25">
      <c r="A15">
        <v>21</v>
      </c>
      <c r="B15" t="s">
        <v>149</v>
      </c>
      <c r="C15" t="s">
        <v>150</v>
      </c>
      <c r="D15">
        <v>5</v>
      </c>
      <c r="E15">
        <v>300</v>
      </c>
      <c r="F15" t="s">
        <v>89</v>
      </c>
      <c r="G15">
        <v>3.5</v>
      </c>
      <c r="H15" t="s">
        <v>151</v>
      </c>
      <c r="I15" t="s">
        <v>30</v>
      </c>
      <c r="J15">
        <f t="shared" si="0"/>
        <v>125.96499999999999</v>
      </c>
      <c r="K15">
        <f>IF(I15="YZ",J15/(E15-D15),IF(I15="XZ",(1/D15*0.5*parameter!$B$4*G15*(1-(D15/E15)^2)),(1/D15*0.5*parameter!$B$3*G15*(1-(D15/E15)^2))))</f>
        <v>0.41988333333333328</v>
      </c>
      <c r="L15" t="s">
        <v>2</v>
      </c>
      <c r="N15" t="s">
        <v>10</v>
      </c>
      <c r="O15" t="s">
        <v>160</v>
      </c>
      <c r="P15" s="16" t="s">
        <v>181</v>
      </c>
      <c r="Q15">
        <f>(2400/parameter!B6)</f>
        <v>3.8277511961722489E-3</v>
      </c>
      <c r="R15">
        <v>50</v>
      </c>
      <c r="S15" t="s">
        <v>191</v>
      </c>
      <c r="T15" t="s">
        <v>11</v>
      </c>
      <c r="U15" t="s">
        <v>155</v>
      </c>
      <c r="V15">
        <f t="shared" si="1"/>
        <v>1.6072089314194574E-2</v>
      </c>
    </row>
    <row r="16" spans="1:22" x14ac:dyDescent="0.25">
      <c r="A16">
        <v>10</v>
      </c>
      <c r="B16" t="s">
        <v>133</v>
      </c>
      <c r="C16" t="s">
        <v>72</v>
      </c>
      <c r="D16">
        <v>2</v>
      </c>
      <c r="E16">
        <v>300</v>
      </c>
      <c r="F16" t="s">
        <v>96</v>
      </c>
      <c r="H16">
        <f>(0.3*0.6)</f>
        <v>0.18</v>
      </c>
      <c r="I16" t="s">
        <v>32</v>
      </c>
      <c r="J16">
        <f t="shared" si="0"/>
        <v>8.9399999999999993E-2</v>
      </c>
      <c r="K16">
        <f>IF(I16="YZ",J16/(E16-D16),IF(I16="XZ",(1/D16*0.5*parameter!$B$4*G16*(1-(D16/E16)^2)),(1/D16*0.5*parameter!$B$3*G16*(1-(D16/E16)^2))))</f>
        <v>2.9999999999999997E-4</v>
      </c>
      <c r="L16" t="s">
        <v>8</v>
      </c>
      <c r="N16" t="s">
        <v>10</v>
      </c>
      <c r="O16" t="s">
        <v>160</v>
      </c>
      <c r="P16" t="s">
        <v>180</v>
      </c>
      <c r="Q16">
        <f>(SQRT(24000 / parameter!B10))</f>
        <v>5.1876645657325922</v>
      </c>
      <c r="R16">
        <v>12</v>
      </c>
      <c r="S16" t="s">
        <v>187</v>
      </c>
      <c r="T16" t="s">
        <v>13</v>
      </c>
      <c r="U16" t="s">
        <v>12</v>
      </c>
      <c r="V16">
        <f t="shared" si="1"/>
        <v>1.5562993697197776E-2</v>
      </c>
    </row>
    <row r="17" spans="1:22" ht="30" x14ac:dyDescent="0.25">
      <c r="A17">
        <v>19</v>
      </c>
      <c r="B17" t="s">
        <v>133</v>
      </c>
      <c r="C17" t="s">
        <v>147</v>
      </c>
      <c r="D17">
        <v>5</v>
      </c>
      <c r="E17">
        <v>300</v>
      </c>
      <c r="F17" t="s">
        <v>103</v>
      </c>
      <c r="H17">
        <f>(1.4*3.1)</f>
        <v>4.34</v>
      </c>
      <c r="I17" t="s">
        <v>32</v>
      </c>
      <c r="J17">
        <f t="shared" si="0"/>
        <v>0.85353333333333337</v>
      </c>
      <c r="K17">
        <f>IF(I17="YZ",J17/(E17-D17),IF(I17="XZ",(1/D17*0.5*parameter!$B$4*G17*(1-(D17/E17)^2)),(1/D17*0.5*parameter!$B$3*G17*(1-(D17/E17)^2))))</f>
        <v>2.8933333333333333E-3</v>
      </c>
      <c r="L17" t="s">
        <v>7</v>
      </c>
      <c r="N17" t="s">
        <v>10</v>
      </c>
      <c r="O17" t="s">
        <v>160</v>
      </c>
      <c r="P17" s="16" t="s">
        <v>182</v>
      </c>
      <c r="Q17">
        <f>(2548/parameter!B9)</f>
        <v>0.46864079455582125</v>
      </c>
      <c r="R17" s="4">
        <v>100</v>
      </c>
      <c r="S17" t="s">
        <v>187</v>
      </c>
      <c r="T17" t="s">
        <v>14</v>
      </c>
      <c r="U17" t="s">
        <v>12</v>
      </c>
      <c r="V17">
        <f t="shared" si="1"/>
        <v>1.355934032248176E-2</v>
      </c>
    </row>
    <row r="18" spans="1:22" x14ac:dyDescent="0.25">
      <c r="A18">
        <v>4</v>
      </c>
      <c r="B18" t="s">
        <v>126</v>
      </c>
      <c r="C18" t="s">
        <v>68</v>
      </c>
      <c r="D18">
        <v>1.5</v>
      </c>
      <c r="E18">
        <v>300</v>
      </c>
      <c r="F18" t="s">
        <v>91</v>
      </c>
      <c r="H18">
        <f>(0.12 *1)</f>
        <v>0.12</v>
      </c>
      <c r="I18" t="s">
        <v>32</v>
      </c>
      <c r="J18">
        <f t="shared" si="0"/>
        <v>7.959999999999999E-2</v>
      </c>
      <c r="K18">
        <f>IF(I18="YZ",J18/(E18-D18),(1/D18*0.5*parameter!$B$3*G18*(1-(D18/E18)^2)))</f>
        <v>2.6666666666666663E-4</v>
      </c>
      <c r="L18" t="s">
        <v>8</v>
      </c>
      <c r="M18" t="s">
        <v>173</v>
      </c>
      <c r="N18" t="s">
        <v>6</v>
      </c>
      <c r="O18" t="s">
        <v>169</v>
      </c>
      <c r="P18" t="s">
        <v>196</v>
      </c>
      <c r="Q18">
        <f>(6100000/parameter!B6)</f>
        <v>9.7288676236044651</v>
      </c>
      <c r="R18">
        <v>5</v>
      </c>
      <c r="S18" t="s">
        <v>189</v>
      </c>
      <c r="T18" t="s">
        <v>13</v>
      </c>
      <c r="U18" t="s">
        <v>12</v>
      </c>
      <c r="V18">
        <f t="shared" si="1"/>
        <v>1.2971823498139285E-2</v>
      </c>
    </row>
    <row r="19" spans="1:22" x14ac:dyDescent="0.25">
      <c r="A19">
        <v>18</v>
      </c>
      <c r="B19" t="s">
        <v>142</v>
      </c>
      <c r="C19" t="s">
        <v>146</v>
      </c>
      <c r="D19">
        <v>5</v>
      </c>
      <c r="E19">
        <v>300</v>
      </c>
      <c r="F19" t="s">
        <v>108</v>
      </c>
      <c r="G19">
        <v>5</v>
      </c>
      <c r="H19" t="s">
        <v>151</v>
      </c>
      <c r="I19" t="s">
        <v>30</v>
      </c>
      <c r="J19">
        <f t="shared" si="0"/>
        <v>179.95</v>
      </c>
      <c r="K19">
        <f>IF(I19="YZ",J19/(E19-D19),IF(I19="XZ",(1/D19*0.5*parameter!$B$4*G19*(1-(D19/E19)^2)),(1/D19*0.5*parameter!$B$3*G19*(1-(D19/E19)^2))))</f>
        <v>0.59983333333333333</v>
      </c>
      <c r="L19" t="s">
        <v>2</v>
      </c>
      <c r="N19" t="s">
        <v>10</v>
      </c>
      <c r="O19" t="s">
        <v>170</v>
      </c>
      <c r="P19" t="s">
        <v>178</v>
      </c>
      <c r="Q19">
        <v>6.2957138779918631E-4</v>
      </c>
      <c r="R19" s="4">
        <v>100</v>
      </c>
      <c r="S19" t="s">
        <v>192</v>
      </c>
      <c r="T19" t="s">
        <v>11</v>
      </c>
      <c r="U19" t="s">
        <v>12</v>
      </c>
      <c r="V19">
        <f t="shared" si="1"/>
        <v>3.7763790411487856E-3</v>
      </c>
    </row>
    <row r="20" spans="1:22" x14ac:dyDescent="0.25">
      <c r="A20">
        <v>5</v>
      </c>
      <c r="B20" t="s">
        <v>128</v>
      </c>
      <c r="C20" t="s">
        <v>129</v>
      </c>
      <c r="D20">
        <v>1.5</v>
      </c>
      <c r="E20">
        <v>300</v>
      </c>
      <c r="F20" t="s">
        <v>92</v>
      </c>
      <c r="H20">
        <f>0.3*0.3</f>
        <v>0.09</v>
      </c>
      <c r="I20" t="s">
        <v>32</v>
      </c>
      <c r="J20">
        <f t="shared" si="0"/>
        <v>5.9699999999999996E-2</v>
      </c>
      <c r="K20">
        <f>IF(I20="YZ",J20/(E20-D20),(1/D20*0.5*parameter!$B$3*G20*(1-(D20/E20)^2)))</f>
        <v>1.9999999999999998E-4</v>
      </c>
      <c r="L20" t="s">
        <v>7</v>
      </c>
      <c r="M20" t="s">
        <v>174</v>
      </c>
      <c r="N20" t="s">
        <v>6</v>
      </c>
      <c r="O20" t="s">
        <v>164</v>
      </c>
      <c r="P20" t="s">
        <v>179</v>
      </c>
      <c r="Q20">
        <f>(50000/parameter!B6)</f>
        <v>7.9744816586921854E-2</v>
      </c>
      <c r="R20">
        <v>10</v>
      </c>
      <c r="S20" t="s">
        <v>188</v>
      </c>
      <c r="T20" t="s">
        <v>13</v>
      </c>
      <c r="U20" t="s">
        <v>12</v>
      </c>
      <c r="V20">
        <f t="shared" si="1"/>
        <v>1.594896331738437E-4</v>
      </c>
    </row>
    <row r="21" spans="1:22" ht="30" x14ac:dyDescent="0.25">
      <c r="A21">
        <v>8</v>
      </c>
      <c r="B21" t="s">
        <v>131</v>
      </c>
      <c r="C21" t="s">
        <v>71</v>
      </c>
      <c r="D21">
        <v>1.5</v>
      </c>
      <c r="E21">
        <v>300</v>
      </c>
      <c r="F21" t="s">
        <v>94</v>
      </c>
      <c r="H21">
        <f>1*0.6</f>
        <v>0.6</v>
      </c>
      <c r="I21" t="s">
        <v>32</v>
      </c>
      <c r="J21">
        <f t="shared" si="0"/>
        <v>0.39799999999999996</v>
      </c>
      <c r="K21">
        <f>IF(I21="YZ",J21/(E21-D21),IF(I21="XZ",(1/D21*0.5*parameter!$B$4*G21*(1-(D21/E21)^2)),(1/D21*0.5*parameter!$B$3*G21*(1-(D21/E21)^2))))</f>
        <v>1.3333333333333333E-3</v>
      </c>
      <c r="L21" t="s">
        <v>8</v>
      </c>
      <c r="M21" t="s">
        <v>154</v>
      </c>
      <c r="N21" t="s">
        <v>10</v>
      </c>
      <c r="O21" t="s">
        <v>160</v>
      </c>
      <c r="P21" s="16" t="s">
        <v>182</v>
      </c>
      <c r="Q21" t="s">
        <v>151</v>
      </c>
      <c r="R21" t="s">
        <v>151</v>
      </c>
      <c r="S21" t="s">
        <v>192</v>
      </c>
      <c r="T21" t="s">
        <v>11</v>
      </c>
      <c r="U21" t="s">
        <v>12</v>
      </c>
      <c r="V21">
        <f t="shared" si="1"/>
        <v>0</v>
      </c>
    </row>
    <row r="22" spans="1:22" x14ac:dyDescent="0.25">
      <c r="A22">
        <v>11</v>
      </c>
      <c r="B22" t="s">
        <v>141</v>
      </c>
      <c r="C22" t="s">
        <v>134</v>
      </c>
      <c r="D22">
        <v>5</v>
      </c>
      <c r="E22">
        <v>300</v>
      </c>
      <c r="F22" t="s">
        <v>97</v>
      </c>
      <c r="H22" t="s">
        <v>151</v>
      </c>
      <c r="I22" t="s">
        <v>32</v>
      </c>
      <c r="J22">
        <f t="shared" si="0"/>
        <v>0</v>
      </c>
      <c r="K22">
        <f>IF(I22="YZ",J22/(E22-D22),IF(I22="XZ",(1/D22*0.5*parameter!$B$4*G22*(1-(D22/E22)^2)),(1/D22*0.5*parameter!$B$3*G22*(1-(D22/E22)^2))))</f>
        <v>0</v>
      </c>
      <c r="L22" t="s">
        <v>7</v>
      </c>
      <c r="N22" t="s">
        <v>10</v>
      </c>
      <c r="O22" t="s">
        <v>151</v>
      </c>
      <c r="P22" t="s">
        <v>151</v>
      </c>
      <c r="Q22" t="s">
        <v>151</v>
      </c>
      <c r="R22" t="s">
        <v>151</v>
      </c>
      <c r="S22" t="s">
        <v>151</v>
      </c>
      <c r="T22" t="s">
        <v>151</v>
      </c>
      <c r="U22" t="s">
        <v>12</v>
      </c>
      <c r="V22">
        <f t="shared" si="1"/>
        <v>0</v>
      </c>
    </row>
    <row r="23" spans="1:22" x14ac:dyDescent="0.25">
      <c r="A23">
        <v>13</v>
      </c>
      <c r="B23" t="s">
        <v>73</v>
      </c>
      <c r="C23" t="s">
        <v>5</v>
      </c>
      <c r="D23">
        <v>2</v>
      </c>
      <c r="E23">
        <v>300</v>
      </c>
      <c r="F23" t="s">
        <v>105</v>
      </c>
      <c r="H23" t="s">
        <v>151</v>
      </c>
      <c r="I23" t="s">
        <v>32</v>
      </c>
      <c r="J23">
        <f t="shared" si="0"/>
        <v>0</v>
      </c>
      <c r="K23">
        <f>IF(I23="YZ",J23/(E23-D23),IF(I23="XZ",(1/D23*0.5*parameter!$B$4*G23*(1-(D23/E23)^2)),(1/D23*0.5*parameter!$B$3*G23*(1-(D23/E23)^2))))</f>
        <v>0</v>
      </c>
      <c r="L23" t="s">
        <v>8</v>
      </c>
      <c r="N23" t="s">
        <v>10</v>
      </c>
      <c r="O23" t="s">
        <v>160</v>
      </c>
      <c r="P23" t="s">
        <v>171</v>
      </c>
      <c r="Q23" t="s">
        <v>151</v>
      </c>
      <c r="R23" t="s">
        <v>151</v>
      </c>
      <c r="S23" t="s">
        <v>192</v>
      </c>
      <c r="T23" t="s">
        <v>11</v>
      </c>
      <c r="U23" t="s">
        <v>12</v>
      </c>
      <c r="V23">
        <f t="shared" si="1"/>
        <v>0</v>
      </c>
    </row>
    <row r="24" spans="1:22" x14ac:dyDescent="0.25">
      <c r="A24">
        <v>15</v>
      </c>
      <c r="B24" t="s">
        <v>142</v>
      </c>
      <c r="C24" t="s">
        <v>74</v>
      </c>
      <c r="D24">
        <v>3</v>
      </c>
      <c r="E24">
        <v>300</v>
      </c>
      <c r="F24" t="s">
        <v>100</v>
      </c>
      <c r="G24" t="s">
        <v>151</v>
      </c>
      <c r="H24" t="s">
        <v>151</v>
      </c>
      <c r="I24" t="s">
        <v>30</v>
      </c>
      <c r="J24">
        <f t="shared" si="0"/>
        <v>0</v>
      </c>
      <c r="K24">
        <v>0</v>
      </c>
      <c r="L24" t="s">
        <v>7</v>
      </c>
      <c r="N24" t="s">
        <v>10</v>
      </c>
      <c r="O24" t="s">
        <v>170</v>
      </c>
      <c r="P24" t="s">
        <v>197</v>
      </c>
      <c r="Q24">
        <f>(7476/parameter!B6)</f>
        <v>1.1923444976076555E-2</v>
      </c>
      <c r="R24">
        <v>100</v>
      </c>
      <c r="S24" t="s">
        <v>192</v>
      </c>
      <c r="T24" t="s">
        <v>11</v>
      </c>
      <c r="U24" t="s">
        <v>12</v>
      </c>
      <c r="V24">
        <f t="shared" si="1"/>
        <v>0</v>
      </c>
    </row>
  </sheetData>
  <autoFilter ref="A3:V3" xr:uid="{E352E8BC-B053-487C-81A5-5C703FCE4EBE}">
    <sortState xmlns:xlrd2="http://schemas.microsoft.com/office/spreadsheetml/2017/richdata2" ref="A4:V24">
      <sortCondition descending="1" ref="V3"/>
    </sortState>
  </autoFilter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3ED4-261E-4B25-AA47-3BE1C2316DE4}">
  <dimension ref="A3:B10"/>
  <sheetViews>
    <sheetView workbookViewId="0">
      <selection activeCell="A5" sqref="A5"/>
    </sheetView>
  </sheetViews>
  <sheetFormatPr baseColWidth="10" defaultRowHeight="15" x14ac:dyDescent="0.25"/>
  <cols>
    <col min="1" max="1" width="30.42578125" bestFit="1" customWidth="1"/>
  </cols>
  <sheetData>
    <row r="3" spans="1:2" x14ac:dyDescent="0.25">
      <c r="A3" t="s">
        <v>157</v>
      </c>
      <c r="B3">
        <v>1.2</v>
      </c>
    </row>
    <row r="4" spans="1:2" x14ac:dyDescent="0.25">
      <c r="A4" t="s">
        <v>158</v>
      </c>
      <c r="B4">
        <v>1.75</v>
      </c>
    </row>
    <row r="6" spans="1:2" x14ac:dyDescent="0.25">
      <c r="A6" s="7" t="s">
        <v>84</v>
      </c>
      <c r="B6" s="17">
        <v>627000</v>
      </c>
    </row>
    <row r="7" spans="1:2" x14ac:dyDescent="0.25">
      <c r="A7" s="7" t="s">
        <v>85</v>
      </c>
      <c r="B7" s="18">
        <v>357386</v>
      </c>
    </row>
    <row r="9" spans="1:2" x14ac:dyDescent="0.25">
      <c r="A9" s="7" t="s">
        <v>86</v>
      </c>
      <c r="B9" s="7">
        <v>5437</v>
      </c>
    </row>
    <row r="10" spans="1:2" x14ac:dyDescent="0.25">
      <c r="A10" s="7" t="s">
        <v>87</v>
      </c>
      <c r="B10" s="7">
        <v>891.8</v>
      </c>
    </row>
  </sheetData>
  <hyperlinks>
    <hyperlink ref="B6" r:id="rId1" display="https://toll-collect-blog.de/deutschland-dein-strassennetz/" xr:uid="{D0D69B54-FC7A-436A-8569-F1C45D0872DF}"/>
    <hyperlink ref="B7" r:id="rId2" display="https://www.google.com/search?q=quadratmeter+deutschland&amp;rlz=1C1GCEU_deDE978DE978&amp;oq=quadrat&amp;aqs=chrome.0.69i59j69i57j69i59j0i67j0i67i131i433j0i67j69i60l2.6139j1j1&amp;sourceid=chrome&amp;ie=UTF-8" xr:uid="{EC5346B5-7A38-4509-B7D9-0B5094F4B57B}"/>
  </hyperlinks>
  <pageMargins left="0.7" right="0.7" top="0.78740157499999996" bottom="0.78740157499999996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AB70-197A-4A23-8DFD-0F85D9E5A417}">
  <dimension ref="B2:AD36"/>
  <sheetViews>
    <sheetView topLeftCell="C25" workbookViewId="0">
      <selection activeCell="T8" sqref="T8"/>
    </sheetView>
  </sheetViews>
  <sheetFormatPr baseColWidth="10" defaultRowHeight="15" x14ac:dyDescent="0.25"/>
  <cols>
    <col min="2" max="2" width="25.28515625" customWidth="1"/>
    <col min="3" max="3" width="13" bestFit="1" customWidth="1"/>
    <col min="4" max="4" width="5.140625" customWidth="1"/>
    <col min="5" max="5" width="4.42578125" customWidth="1"/>
    <col min="6" max="6" width="5.7109375" customWidth="1"/>
    <col min="7" max="7" width="5.5703125" customWidth="1"/>
    <col min="8" max="8" width="6.7109375" customWidth="1"/>
    <col min="9" max="9" width="6.7109375" bestFit="1" customWidth="1"/>
    <col min="10" max="10" width="11.42578125" customWidth="1"/>
    <col min="11" max="11" width="9.7109375" customWidth="1"/>
    <col min="12" max="12" width="4.5703125" customWidth="1"/>
    <col min="13" max="13" width="5.5703125" customWidth="1"/>
    <col min="14" max="14" width="4.5703125" customWidth="1"/>
    <col min="16" max="16" width="4.7109375" customWidth="1"/>
    <col min="17" max="17" width="8.42578125" customWidth="1"/>
    <col min="18" max="18" width="5.5703125" customWidth="1"/>
    <col min="19" max="19" width="8.28515625" customWidth="1"/>
    <col min="24" max="24" width="13.5703125" customWidth="1"/>
    <col min="28" max="28" width="14" customWidth="1"/>
  </cols>
  <sheetData>
    <row r="2" spans="2:24" s="5" customFormat="1" x14ac:dyDescent="0.25">
      <c r="Q2" t="s">
        <v>77</v>
      </c>
      <c r="R2" t="s">
        <v>81</v>
      </c>
      <c r="S2" t="s">
        <v>80</v>
      </c>
      <c r="T2" t="s">
        <v>82</v>
      </c>
      <c r="U2"/>
      <c r="V2"/>
      <c r="W2"/>
    </row>
    <row r="3" spans="2:24" s="5" customFormat="1" x14ac:dyDescent="0.25">
      <c r="Q3">
        <v>0.64</v>
      </c>
      <c r="R3">
        <v>3</v>
      </c>
      <c r="S3">
        <v>300</v>
      </c>
      <c r="T3">
        <v>0.2112</v>
      </c>
      <c r="U3" s="3" t="s">
        <v>83</v>
      </c>
      <c r="V3"/>
      <c r="W3"/>
    </row>
    <row r="4" spans="2:24" s="5" customFormat="1" x14ac:dyDescent="0.25"/>
    <row r="5" spans="2:24" x14ac:dyDescent="0.25">
      <c r="B5" s="2" t="s">
        <v>18</v>
      </c>
      <c r="C5" s="2"/>
      <c r="D5" s="2"/>
    </row>
    <row r="6" spans="2:24" x14ac:dyDescent="0.25">
      <c r="B6" s="2" t="s">
        <v>22</v>
      </c>
      <c r="C6" s="2" t="s">
        <v>21</v>
      </c>
      <c r="D6" s="2" t="s">
        <v>23</v>
      </c>
    </row>
    <row r="7" spans="2:24" x14ac:dyDescent="0.25">
      <c r="B7" s="2" t="s">
        <v>43</v>
      </c>
      <c r="C7" s="2">
        <v>0</v>
      </c>
      <c r="D7" s="2" t="s">
        <v>44</v>
      </c>
    </row>
    <row r="8" spans="2:24" x14ac:dyDescent="0.25">
      <c r="B8" s="2" t="s">
        <v>19</v>
      </c>
      <c r="C8" s="2">
        <v>1.2</v>
      </c>
      <c r="D8" s="2" t="s">
        <v>26</v>
      </c>
    </row>
    <row r="9" spans="2:24" x14ac:dyDescent="0.25">
      <c r="B9" s="2" t="s">
        <v>20</v>
      </c>
      <c r="C9" s="2">
        <v>0</v>
      </c>
      <c r="D9" s="2" t="s">
        <v>25</v>
      </c>
    </row>
    <row r="12" spans="2:24" x14ac:dyDescent="0.25">
      <c r="X12" t="s">
        <v>46</v>
      </c>
    </row>
    <row r="14" spans="2:24" x14ac:dyDescent="0.25">
      <c r="B14" t="s">
        <v>37</v>
      </c>
      <c r="K14" s="3" t="s">
        <v>27</v>
      </c>
    </row>
    <row r="15" spans="2:24" x14ac:dyDescent="0.25">
      <c r="B15" t="s">
        <v>38</v>
      </c>
      <c r="C15">
        <v>300</v>
      </c>
    </row>
    <row r="19" spans="2:30" x14ac:dyDescent="0.25">
      <c r="T19" t="s">
        <v>42</v>
      </c>
    </row>
    <row r="21" spans="2:30" x14ac:dyDescent="0.25">
      <c r="D21" t="s">
        <v>39</v>
      </c>
      <c r="U21" t="s">
        <v>47</v>
      </c>
    </row>
    <row r="22" spans="2:30" x14ac:dyDescent="0.25">
      <c r="B22" s="6" t="s">
        <v>28</v>
      </c>
      <c r="C22" s="6"/>
      <c r="D22" t="s">
        <v>40</v>
      </c>
      <c r="G22" t="s">
        <v>41</v>
      </c>
      <c r="L22" s="7" t="s">
        <v>42</v>
      </c>
      <c r="M22" s="7"/>
      <c r="N22" s="7"/>
      <c r="O22" s="7"/>
      <c r="P22" s="8" t="s">
        <v>46</v>
      </c>
      <c r="Q22" s="8"/>
      <c r="R22" s="8"/>
      <c r="S22" s="8"/>
      <c r="U22" s="9" t="s">
        <v>42</v>
      </c>
      <c r="V22" s="9"/>
      <c r="W22" s="9"/>
      <c r="X22" s="10" t="s">
        <v>46</v>
      </c>
      <c r="Y22" s="10"/>
      <c r="Z22" s="10"/>
      <c r="AA22" s="11" t="s">
        <v>51</v>
      </c>
      <c r="AB22" s="1"/>
      <c r="AC22" s="1"/>
      <c r="AD22" s="1"/>
    </row>
    <row r="23" spans="2:30" x14ac:dyDescent="0.25">
      <c r="B23" s="6" t="s">
        <v>28</v>
      </c>
      <c r="C23" s="6" t="s">
        <v>29</v>
      </c>
      <c r="D23" t="s">
        <v>13</v>
      </c>
      <c r="E23" t="s">
        <v>24</v>
      </c>
      <c r="F23" t="s">
        <v>33</v>
      </c>
      <c r="G23" t="s">
        <v>13</v>
      </c>
      <c r="H23" t="s">
        <v>24</v>
      </c>
      <c r="I23" t="s">
        <v>33</v>
      </c>
      <c r="L23" s="7" t="s">
        <v>13</v>
      </c>
      <c r="M23" s="7" t="s">
        <v>24</v>
      </c>
      <c r="N23" s="7" t="s">
        <v>33</v>
      </c>
      <c r="O23" s="7" t="s">
        <v>45</v>
      </c>
      <c r="P23" s="8" t="s">
        <v>13</v>
      </c>
      <c r="Q23" s="8" t="s">
        <v>24</v>
      </c>
      <c r="R23" s="8" t="s">
        <v>33</v>
      </c>
      <c r="S23" s="8" t="s">
        <v>45</v>
      </c>
      <c r="U23" s="9" t="s">
        <v>24</v>
      </c>
      <c r="V23" s="9" t="s">
        <v>33</v>
      </c>
      <c r="W23" s="9" t="s">
        <v>48</v>
      </c>
      <c r="X23" s="10" t="s">
        <v>24</v>
      </c>
      <c r="Y23" s="10" t="s">
        <v>33</v>
      </c>
      <c r="Z23" s="10" t="s">
        <v>49</v>
      </c>
      <c r="AA23" s="11" t="s">
        <v>50</v>
      </c>
      <c r="AB23" s="1" t="s">
        <v>52</v>
      </c>
      <c r="AC23" s="1"/>
      <c r="AD23" s="1"/>
    </row>
    <row r="24" spans="2:30" x14ac:dyDescent="0.25">
      <c r="B24" s="6" t="s">
        <v>30</v>
      </c>
      <c r="C24" s="6" t="s">
        <v>3</v>
      </c>
      <c r="D24">
        <v>10</v>
      </c>
      <c r="E24">
        <v>-1.5</v>
      </c>
      <c r="F24">
        <v>0</v>
      </c>
      <c r="G24">
        <v>300</v>
      </c>
      <c r="H24">
        <v>-1.65</v>
      </c>
      <c r="I24">
        <v>0</v>
      </c>
      <c r="J24" t="s">
        <v>34</v>
      </c>
      <c r="L24" s="7">
        <f>(D24-C7)</f>
        <v>10</v>
      </c>
      <c r="M24" s="7">
        <f>(E24-C9)</f>
        <v>-1.5</v>
      </c>
      <c r="N24" s="7">
        <f>(F24-C8)</f>
        <v>-1.2</v>
      </c>
      <c r="O24" s="7">
        <f>(SQRT(L24^2+M24^2+N24^2))</f>
        <v>10.182828683622247</v>
      </c>
      <c r="P24" s="8">
        <f>(G24-C7)</f>
        <v>300</v>
      </c>
      <c r="Q24" s="8">
        <f>(H24-C9)</f>
        <v>-1.65</v>
      </c>
      <c r="R24" s="8">
        <f>(I24-C8)</f>
        <v>-1.2</v>
      </c>
      <c r="S24" s="7">
        <f>(SQRT(P24^2+Q24^2+R24^2))</f>
        <v>300.00693741978699</v>
      </c>
      <c r="U24" s="9">
        <f>(M24*-1/L24)</f>
        <v>0.15</v>
      </c>
      <c r="V24" s="9">
        <f>(N24*-1/L24)</f>
        <v>0.12</v>
      </c>
      <c r="W24" s="9">
        <f>(ABS(U24*V24))</f>
        <v>1.7999999999999999E-2</v>
      </c>
      <c r="X24" s="10">
        <f>(Q24*-1/P24)</f>
        <v>5.4999999999999997E-3</v>
      </c>
      <c r="Y24" s="10">
        <f>(R24*-1/P24)</f>
        <v>4.0000000000000001E-3</v>
      </c>
      <c r="Z24" s="10">
        <f>(ABS(X24*Y24))</f>
        <v>2.1999999999999999E-5</v>
      </c>
      <c r="AA24" s="11">
        <f>((ABS(U24)+ABS(X24)) * (ABS(V24)-ABS(Y24)))</f>
        <v>1.8037999999999998E-2</v>
      </c>
      <c r="AB24" s="1" t="s">
        <v>55</v>
      </c>
      <c r="AC24" s="12" t="s">
        <v>56</v>
      </c>
      <c r="AD24" s="1"/>
    </row>
    <row r="25" spans="2:30" x14ac:dyDescent="0.25">
      <c r="B25" s="6" t="s">
        <v>31</v>
      </c>
      <c r="C25" s="6" t="s">
        <v>4</v>
      </c>
      <c r="J25" t="s">
        <v>35</v>
      </c>
      <c r="AA25" s="11"/>
      <c r="AB25" s="1">
        <f>(ABS(AA28-AA24))</f>
        <v>1.6819999999999995E-3</v>
      </c>
      <c r="AC25" s="12">
        <f>(AB25/2)</f>
        <v>8.4099999999999973E-4</v>
      </c>
      <c r="AD25" s="1"/>
    </row>
    <row r="26" spans="2:30" x14ac:dyDescent="0.25">
      <c r="J26" t="s">
        <v>36</v>
      </c>
      <c r="U26" s="9" t="s">
        <v>53</v>
      </c>
      <c r="X26" s="10" t="s">
        <v>54</v>
      </c>
      <c r="Y26" s="10"/>
      <c r="Z26" s="10"/>
      <c r="AA26" s="11" t="s">
        <v>51</v>
      </c>
      <c r="AB26" s="1"/>
      <c r="AC26" s="12"/>
      <c r="AD26" s="1"/>
    </row>
    <row r="27" spans="2:30" x14ac:dyDescent="0.25">
      <c r="U27" s="9" t="s">
        <v>24</v>
      </c>
      <c r="V27" s="9" t="s">
        <v>33</v>
      </c>
      <c r="W27" s="9" t="s">
        <v>48</v>
      </c>
      <c r="X27" s="10" t="s">
        <v>24</v>
      </c>
      <c r="Y27" s="10" t="s">
        <v>33</v>
      </c>
      <c r="Z27" s="10" t="s">
        <v>49</v>
      </c>
      <c r="AA27" s="11" t="s">
        <v>50</v>
      </c>
      <c r="AB27" s="1"/>
      <c r="AC27" s="1"/>
      <c r="AD27" s="1"/>
    </row>
    <row r="28" spans="2:30" x14ac:dyDescent="0.25">
      <c r="U28" s="9">
        <f>(Q24*-1/L24)</f>
        <v>0.16499999999999998</v>
      </c>
      <c r="V28" s="9">
        <f>(R24*-1/L24)</f>
        <v>0.12</v>
      </c>
      <c r="W28" s="9">
        <f>(ABS(U28*V28))</f>
        <v>1.9799999999999998E-2</v>
      </c>
      <c r="X28" s="10">
        <f>(M24*-1/P24)</f>
        <v>5.0000000000000001E-3</v>
      </c>
      <c r="Y28" s="10">
        <f>(N24*-1/P24)</f>
        <v>4.0000000000000001E-3</v>
      </c>
      <c r="Z28" s="10">
        <f>(ABS(X28*Y28))</f>
        <v>2.0000000000000002E-5</v>
      </c>
      <c r="AA28" s="11">
        <f>((ABS(U28)+ABS(X28)) * (ABS(V28)-ABS(Y28)))</f>
        <v>1.9719999999999998E-2</v>
      </c>
      <c r="AB28" s="1"/>
      <c r="AC28" s="1"/>
      <c r="AD28" s="1"/>
    </row>
    <row r="29" spans="2:30" x14ac:dyDescent="0.25">
      <c r="AA29" s="11"/>
    </row>
    <row r="30" spans="2:30" s="13" customFormat="1" x14ac:dyDescent="0.25"/>
    <row r="31" spans="2:30" x14ac:dyDescent="0.25">
      <c r="E31" s="7"/>
      <c r="F31" s="7"/>
      <c r="G31" s="7"/>
      <c r="H31" s="7"/>
      <c r="I31" s="7"/>
    </row>
    <row r="32" spans="2:30" x14ac:dyDescent="0.25">
      <c r="E32" s="7" t="s">
        <v>57</v>
      </c>
      <c r="F32" s="7"/>
      <c r="G32" s="7"/>
      <c r="H32" s="7"/>
      <c r="I32" s="7"/>
      <c r="K32" s="9" t="s">
        <v>60</v>
      </c>
      <c r="L32" s="9"/>
      <c r="N32" s="14" t="s">
        <v>61</v>
      </c>
      <c r="O32" s="14"/>
      <c r="S32" s="11"/>
    </row>
    <row r="33" spans="2:19" x14ac:dyDescent="0.25">
      <c r="B33" s="6" t="s">
        <v>32</v>
      </c>
      <c r="C33" s="6" t="s">
        <v>1</v>
      </c>
      <c r="E33" s="7" t="s">
        <v>24</v>
      </c>
      <c r="F33" s="7" t="s">
        <v>33</v>
      </c>
      <c r="G33" s="7" t="s">
        <v>48</v>
      </c>
      <c r="H33" s="15" t="s">
        <v>62</v>
      </c>
      <c r="I33" s="15" t="s">
        <v>63</v>
      </c>
      <c r="K33" s="9" t="s">
        <v>24</v>
      </c>
      <c r="L33" s="9" t="s">
        <v>33</v>
      </c>
      <c r="N33" s="14" t="s">
        <v>24</v>
      </c>
      <c r="O33" s="14" t="s">
        <v>33</v>
      </c>
      <c r="S33" s="11" t="s">
        <v>65</v>
      </c>
    </row>
    <row r="34" spans="2:19" x14ac:dyDescent="0.25">
      <c r="E34" s="7">
        <v>0.8</v>
      </c>
      <c r="F34" s="7">
        <v>0.8</v>
      </c>
      <c r="G34" s="7">
        <f>(E34*F34)</f>
        <v>0.64000000000000012</v>
      </c>
      <c r="H34" s="15">
        <v>3</v>
      </c>
      <c r="I34" s="15">
        <v>300</v>
      </c>
      <c r="K34" s="9">
        <v>2.5</v>
      </c>
      <c r="L34" s="9">
        <v>2</v>
      </c>
      <c r="N34" s="14">
        <f>(K34-C9)</f>
        <v>2.5</v>
      </c>
      <c r="O34" s="14">
        <f>(L34-C8)</f>
        <v>0.8</v>
      </c>
      <c r="S34" s="11">
        <f>(G34* ((1/H34)-(1/I34)) / (I34-H34) )</f>
        <v>7.1111111111111125E-4</v>
      </c>
    </row>
    <row r="35" spans="2:19" x14ac:dyDescent="0.25">
      <c r="E35" s="7" t="s">
        <v>58</v>
      </c>
      <c r="F35" s="7"/>
      <c r="G35" s="7"/>
      <c r="H35" s="7"/>
      <c r="I35" s="7"/>
    </row>
    <row r="36" spans="2:19" x14ac:dyDescent="0.25">
      <c r="E36" s="7" t="s">
        <v>59</v>
      </c>
      <c r="F36" s="7"/>
      <c r="G36" s="7"/>
      <c r="H36" s="7"/>
      <c r="I36" s="7"/>
      <c r="S36" t="s">
        <v>64</v>
      </c>
    </row>
  </sheetData>
  <hyperlinks>
    <hyperlink ref="K14" r:id="rId1" location="/media/Datei:RPY_angles_of_cars.png" xr:uid="{A281EB82-62D9-4A99-B7F4-AE0428A680FD}"/>
    <hyperlink ref="U3" r:id="rId2" xr:uid="{30CC91E9-3E2F-460A-9CBC-667AC6A31124}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objects</vt:lpstr>
      <vt:lpstr>parameter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2024-01-11T08:33:30Z</dcterms:modified>
</cp:coreProperties>
</file>