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ables/table7.xml" ContentType="application/vnd.openxmlformats-officedocument.spreadsheetml.table+xml"/>
  <Override PartName="/xl/tables/table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https://d.docs.live.net/dc87c2a862e400b7/Dad/Portfolio/CPU/"/>
    </mc:Choice>
  </mc:AlternateContent>
  <xr:revisionPtr revIDLastSave="6507" documentId="8_{D56C098B-105E-4F54-9109-F66A3E4383A9}" xr6:coauthVersionLast="47" xr6:coauthVersionMax="47" xr10:uidLastSave="{8B309CAB-A516-4D46-8D93-484A8C8631E6}"/>
  <bookViews>
    <workbookView xWindow="-108" yWindow="-108" windowWidth="23256" windowHeight="13176" tabRatio="826" xr2:uid="{242A98A9-F6FB-4C75-B445-F22145A7ACFD}"/>
  </bookViews>
  <sheets>
    <sheet name="CPU Review" sheetId="16" r:id="rId1"/>
    <sheet name="Departments" sheetId="1" r:id="rId2"/>
    <sheet name="Products" sheetId="10" r:id="rId3"/>
    <sheet name="ProductRates" sheetId="9" r:id="rId4"/>
    <sheet name="Products Calculations" sheetId="4" r:id="rId5"/>
    <sheet name="Volumes" sheetId="5" r:id="rId6"/>
    <sheet name="Costs" sheetId="7" r:id="rId7"/>
    <sheet name="Volume Calculations" sheetId="2" r:id="rId8"/>
    <sheet name="Years" sheetId="13" r:id="rId9"/>
  </sheets>
  <definedNames>
    <definedName name="_xlchart.v1.0" hidden="1">'CPU Review'!$R$24:$R$33</definedName>
    <definedName name="_xlchart.v1.1" hidden="1">'CPU Review'!$T$22</definedName>
    <definedName name="_xlchart.v1.2" hidden="1">'CPU Review'!$T$24:$T$33</definedName>
    <definedName name="_xlcn.WorksheetConnection_CPUExample.xlsxTable91" hidden="1">TableYears[]</definedName>
    <definedName name="BaseYr" localSheetId="0">'CPU Review'!$C$7</definedName>
    <definedName name="ChartMarker">INDEX('CPU Review'!$Q$9:$S$34,MATCH('CPU Review'!$B$10,'CPU Review'!$Q$9:$Q$34,0),3)</definedName>
    <definedName name="ChartMarker2">INDEX('CPU Review'!$Q$9:$S$34,MATCH('CPU Review'!$B$11,'CPU Review'!$Q$9:$Q$34,0),3)</definedName>
    <definedName name="ChartMarker3">INDEX('CPU Review'!$Q$9:$S$34,MATCH('CPU Review'!$B$12,'CPU Review'!$Q$9:$Q$34,0),3)</definedName>
    <definedName name="ChartMarker4">INDEX('CPU Review'!$Q$9:$S$34,MATCH('CPU Review'!$B$13,'CPU Review'!$Q$9:$Q$34,0),3)</definedName>
    <definedName name="ChartMarker5">IF(ISBLANK('CPU Review'!$B$14)=FALSE,INDEX('CPU Review'!$Q$10:$S$34,MATCH('CPU Review'!$B$14,'CPU Review'!$Q$10:$Q$34,0),3),"")</definedName>
    <definedName name="ChartPrdMarkers">'CPU Review'!$S$10:$S$20</definedName>
    <definedName name="ChartPrdNames">'CPU Review'!$Q$10:$Q$20</definedName>
    <definedName name="Costs_2020">Costs!$F$4:$F$31</definedName>
    <definedName name="Costs_2021">Costs!$G$4:$G$31</definedName>
    <definedName name="Costs_2022">Costs!$H$4:$H$31</definedName>
    <definedName name="Costs_2023">Costs!$I$4:$I$31</definedName>
    <definedName name="Department_Name" localSheetId="0">DepartmentTable[Department Name]</definedName>
    <definedName name="Department_Name">DepartmentTable[Department Name]</definedName>
    <definedName name="EvaluationYr" localSheetId="0">'CPU Review'!$C$6</definedName>
    <definedName name="ExternalData_1" localSheetId="5" hidden="1">Volumes!$A$4:$G$532</definedName>
    <definedName name="Icons">'CPU Review'!$V$10:$V$20</definedName>
    <definedName name="Marker01">INDIRECT('CPU Review'!$O$10)</definedName>
    <definedName name="Marker02">INDIRECT('CPU Review'!$O$11)</definedName>
    <definedName name="Marker03">INDIRECT('CPU Review'!$O$12)</definedName>
    <definedName name="Marker04">INDIRECT('CPU Review'!$O$13)</definedName>
    <definedName name="Marker05">INDIRECT('CPU Review'!$O$14)</definedName>
    <definedName name="Marker06">INDIRECT('CPU Review'!$O$15)</definedName>
    <definedName name="Marker07">INDIRECT('CPU Review'!$O$16)</definedName>
    <definedName name="Marker08">INDIRECT('CPU Review'!$O$17)</definedName>
    <definedName name="Marker09">INDIRECT('CPU Review'!$O$18)</definedName>
    <definedName name="Marker10">INDIRECT('CPU Review'!$O$19)</definedName>
    <definedName name="Marker11">INDIRECT('CPU Review'!$O$20)</definedName>
    <definedName name="Pic_0">'CPU Review'!$S$9</definedName>
    <definedName name="Pic_1">'CPU Review'!$S$10</definedName>
    <definedName name="Pic_10">'CPU Review'!$S$19</definedName>
    <definedName name="Pic_11">'CPU Review'!$S$20</definedName>
    <definedName name="Pic_2">'CPU Review'!$S$11</definedName>
    <definedName name="Pic_3">'CPU Review'!$S$12</definedName>
    <definedName name="Pic_4">'CPU Review'!$S$13</definedName>
    <definedName name="Pic_5">'CPU Review'!$S$14</definedName>
    <definedName name="Pic_6">'CPU Review'!$S$15</definedName>
    <definedName name="Pic_7">'CPU Review'!$S$16</definedName>
    <definedName name="Pic_8">'CPU Review'!$S$17</definedName>
    <definedName name="Pic_9">'CPU Review'!$S$18</definedName>
    <definedName name="_xlnm.Print_Area" localSheetId="0">'CPU Review'!$A$2:$M$34</definedName>
    <definedName name="Rates2020">Costs!$P$5:$S$14</definedName>
    <definedName name="Rates2021">Costs!$U$5:$X$14</definedName>
    <definedName name="Rates2022">Costs!$Z$5:$AC$14</definedName>
    <definedName name="Rates2023">Costs!$AE$5:$AH$14</definedName>
    <definedName name="Share_2020">Costs!$K$5:$K$29</definedName>
    <definedName name="Share_2021">Costs!$L$5:$L$29</definedName>
    <definedName name="Share_2022">Costs!$M$5:$M$29</definedName>
    <definedName name="Share_2023">Costs!$N$5:$N$29</definedName>
    <definedName name="Slicer_Department_Name">#N/A</definedName>
    <definedName name="Slicer_Products">#N/A</definedName>
    <definedName name="Volume_Measures">'Volume Calculations'!$C$5:$C$16</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4:slicerCache r:id="rId11"/>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9" name="Years" connection="WorksheetConnection_CPU Example.xlsx!Table9"/>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1" i="16" l="1"/>
  <c r="R30" i="16"/>
  <c r="R29" i="16"/>
  <c r="R28" i="16"/>
  <c r="R27" i="16"/>
  <c r="R26" i="16"/>
  <c r="R25" i="16"/>
  <c r="R32" i="16"/>
  <c r="B10" i="16" l="1" a="1"/>
  <c r="B10" i="16" s="1"/>
  <c r="E23" i="16"/>
  <c r="D23" i="16"/>
  <c r="R33" i="16" s="1"/>
  <c r="F21" i="16"/>
  <c r="E21" i="16"/>
  <c r="D21" i="16"/>
  <c r="Y15" i="4"/>
  <c r="Y14" i="4"/>
  <c r="Y13" i="4"/>
  <c r="Y12" i="4"/>
  <c r="Y11" i="4"/>
  <c r="Y10" i="4"/>
  <c r="Y9" i="4"/>
  <c r="Y7" i="4"/>
  <c r="Y6" i="4"/>
  <c r="Y17" i="4" s="1"/>
  <c r="Y5" i="4"/>
  <c r="Y8" i="4"/>
  <c r="AW4" i="4"/>
  <c r="AV4" i="4"/>
  <c r="AU4" i="4"/>
  <c r="AT4" i="4"/>
  <c r="AS4" i="4"/>
  <c r="AQ4" i="4"/>
  <c r="AP4" i="4"/>
  <c r="AN4" i="4"/>
  <c r="AM4" i="4"/>
  <c r="AE2" i="4"/>
  <c r="AW2" i="4" s="1"/>
  <c r="AD2" i="4"/>
  <c r="AV2" i="4" s="1"/>
  <c r="AC2" i="4"/>
  <c r="AU2" i="4" s="1"/>
  <c r="AB2" i="4"/>
  <c r="AT2" i="4" s="1"/>
  <c r="AA2" i="4"/>
  <c r="AS2" i="4" s="1"/>
  <c r="Z2" i="4"/>
  <c r="AQ2" i="4" s="1"/>
  <c r="Y2" i="4"/>
  <c r="AP2" i="4" s="1"/>
  <c r="X2" i="4"/>
  <c r="AN2" i="4" s="1"/>
  <c r="W2" i="4"/>
  <c r="AM2" i="4" s="1"/>
  <c r="W3" i="4"/>
  <c r="AM3" i="4" s="1"/>
  <c r="X3" i="4"/>
  <c r="AN3" i="4" s="1"/>
  <c r="Y3" i="4"/>
  <c r="AP3" i="4" s="1"/>
  <c r="Z3" i="4"/>
  <c r="AQ3" i="4" s="1"/>
  <c r="AA3" i="4"/>
  <c r="AS3" i="4" s="1"/>
  <c r="AB3" i="4"/>
  <c r="AT3" i="4" s="1"/>
  <c r="AC3" i="4"/>
  <c r="AU3" i="4" s="1"/>
  <c r="AD3" i="4"/>
  <c r="AV3" i="4" s="1"/>
  <c r="AE3" i="4"/>
  <c r="AW3" i="4" s="1"/>
  <c r="Q10" i="16" a="1"/>
  <c r="Q10" i="16" s="1"/>
  <c r="F9" i="10"/>
  <c r="F10" i="10"/>
  <c r="F11" i="10"/>
  <c r="F12" i="10"/>
  <c r="F13" i="10"/>
  <c r="F14" i="10"/>
  <c r="F15" i="10"/>
  <c r="F16" i="10"/>
  <c r="F17" i="10"/>
  <c r="F18" i="10"/>
  <c r="F19" i="10"/>
  <c r="Q33" i="16" l="1"/>
  <c r="Q24" i="16"/>
  <c r="R24" i="16"/>
  <c r="E26" i="16" a="1"/>
  <c r="E26" i="16" s="1"/>
  <c r="D29" i="16" a="1"/>
  <c r="D29" i="16" s="1"/>
  <c r="E29" i="16" a="1"/>
  <c r="E29" i="16" s="1"/>
  <c r="D28" i="16" a="1"/>
  <c r="D28" i="16" s="1"/>
  <c r="E27" i="16" a="1"/>
  <c r="E27" i="16" s="1"/>
  <c r="D31" i="16" a="1"/>
  <c r="D31" i="16" s="1"/>
  <c r="E32" i="16" a="1"/>
  <c r="E32" i="16" s="1"/>
  <c r="D25" i="16" a="1"/>
  <c r="D25" i="16" s="1"/>
  <c r="E31" i="16" a="1"/>
  <c r="E31" i="16" s="1"/>
  <c r="D32" i="16" a="1"/>
  <c r="D32" i="16" s="1"/>
  <c r="E30" i="16" a="1"/>
  <c r="E30" i="16" s="1"/>
  <c r="D30" i="16" a="1"/>
  <c r="D30" i="16" s="1"/>
  <c r="D27" i="16" a="1"/>
  <c r="D27" i="16" s="1"/>
  <c r="E28" i="16" a="1"/>
  <c r="E28" i="16" s="1"/>
  <c r="D26" i="16" a="1"/>
  <c r="D26" i="16" s="1"/>
  <c r="E25" i="16" a="1"/>
  <c r="E25" i="16" s="1"/>
  <c r="A13" i="16"/>
  <c r="A14" i="16"/>
  <c r="A15" i="16"/>
  <c r="A16" i="16"/>
  <c r="A11" i="16"/>
  <c r="A12" i="16"/>
  <c r="A17" i="16"/>
  <c r="A18" i="16"/>
  <c r="A19" i="16"/>
  <c r="A20" i="16"/>
  <c r="A10" i="16"/>
  <c r="Y23" i="4"/>
  <c r="Y21" i="4"/>
  <c r="Y19" i="4"/>
  <c r="Y16" i="4"/>
  <c r="Y18" i="4"/>
  <c r="Y29" i="4" s="1"/>
  <c r="Y20" i="4"/>
  <c r="Y25" i="4"/>
  <c r="Y24" i="4"/>
  <c r="Y35" i="4" s="1"/>
  <c r="Y22" i="4"/>
  <c r="Y26" i="4"/>
  <c r="O18" i="16"/>
  <c r="O17" i="16"/>
  <c r="O16" i="16"/>
  <c r="O15" i="16"/>
  <c r="O19" i="16"/>
  <c r="O14" i="16"/>
  <c r="O13" i="16"/>
  <c r="O20" i="16"/>
  <c r="O11" i="16"/>
  <c r="O12" i="16"/>
  <c r="E20" i="16"/>
  <c r="D16" i="16"/>
  <c r="E13" i="16"/>
  <c r="E16" i="16"/>
  <c r="D19" i="16"/>
  <c r="E19" i="16"/>
  <c r="D13" i="16"/>
  <c r="D12" i="16"/>
  <c r="D15" i="16"/>
  <c r="D18" i="16"/>
  <c r="E12" i="16"/>
  <c r="E15" i="16"/>
  <c r="E18" i="16"/>
  <c r="D11" i="16"/>
  <c r="D14" i="16"/>
  <c r="D17" i="16"/>
  <c r="D20" i="16"/>
  <c r="E11" i="16"/>
  <c r="E14" i="16"/>
  <c r="E17" i="16"/>
  <c r="F28" i="16" l="1"/>
  <c r="G28" i="16" s="1"/>
  <c r="F27" i="16"/>
  <c r="G27" i="16" s="1"/>
  <c r="F32" i="16"/>
  <c r="G32" i="16" s="1"/>
  <c r="F31" i="16"/>
  <c r="G31" i="16" s="1"/>
  <c r="F29" i="16"/>
  <c r="F30" i="16"/>
  <c r="O10" i="16"/>
  <c r="Y36" i="4"/>
  <c r="Y28" i="4"/>
  <c r="Y39" i="4" s="1"/>
  <c r="Y30" i="4"/>
  <c r="Y27" i="4"/>
  <c r="Y41" i="4" s="1"/>
  <c r="Y34" i="4"/>
  <c r="Y33" i="4"/>
  <c r="Y32" i="4"/>
  <c r="Y37" i="4"/>
  <c r="Y46" i="4" s="1"/>
  <c r="Y31" i="4"/>
  <c r="F20" i="16"/>
  <c r="F13" i="16"/>
  <c r="F15" i="16"/>
  <c r="F11" i="16"/>
  <c r="F19" i="16"/>
  <c r="F16" i="16"/>
  <c r="F18" i="16"/>
  <c r="F14" i="16"/>
  <c r="F12" i="16"/>
  <c r="E10" i="16"/>
  <c r="D10" i="16"/>
  <c r="F17" i="16"/>
  <c r="S10" i="7"/>
  <c r="S28" i="7" s="1"/>
  <c r="R10" i="7"/>
  <c r="R27" i="7" s="1"/>
  <c r="Q10" i="7"/>
  <c r="Q26" i="7" s="1"/>
  <c r="G10" i="7"/>
  <c r="H10" i="7" s="1"/>
  <c r="AH25" i="7"/>
  <c r="AE25" i="7"/>
  <c r="AG24" i="7"/>
  <c r="AE24" i="7" s="1"/>
  <c r="I24" i="7" s="1"/>
  <c r="AF23" i="7"/>
  <c r="C8" i="13"/>
  <c r="C7" i="13"/>
  <c r="C6" i="13"/>
  <c r="C5" i="13"/>
  <c r="AA19" i="7"/>
  <c r="V19" i="7" s="1"/>
  <c r="Q19" i="7" s="1"/>
  <c r="AA18" i="7"/>
  <c r="AB19" i="7"/>
  <c r="AB17" i="7"/>
  <c r="AB18" i="7"/>
  <c r="W18" i="7" s="1"/>
  <c r="R18" i="7" s="1"/>
  <c r="AC18" i="7"/>
  <c r="X18" i="7" s="1"/>
  <c r="S18" i="7" s="1"/>
  <c r="AC19" i="7"/>
  <c r="X19" i="7" s="1"/>
  <c r="AE18" i="7"/>
  <c r="AE19" i="7"/>
  <c r="H401" i="5"/>
  <c r="H402" i="5"/>
  <c r="H403" i="5"/>
  <c r="H404" i="5"/>
  <c r="H405" i="5"/>
  <c r="H406" i="5"/>
  <c r="H407" i="5"/>
  <c r="H408" i="5"/>
  <c r="H409" i="5"/>
  <c r="H410" i="5"/>
  <c r="H411" i="5"/>
  <c r="H412" i="5"/>
  <c r="H269" i="5"/>
  <c r="H270" i="5"/>
  <c r="H271" i="5"/>
  <c r="H272" i="5"/>
  <c r="H273" i="5"/>
  <c r="H274" i="5"/>
  <c r="H275" i="5"/>
  <c r="H276" i="5"/>
  <c r="H277" i="5"/>
  <c r="H278" i="5"/>
  <c r="H279" i="5"/>
  <c r="H280" i="5"/>
  <c r="H137" i="5"/>
  <c r="H138" i="5"/>
  <c r="H139" i="5"/>
  <c r="H140" i="5"/>
  <c r="H141" i="5"/>
  <c r="H142" i="5"/>
  <c r="H143" i="5"/>
  <c r="H144" i="5"/>
  <c r="H145" i="5"/>
  <c r="H146" i="5"/>
  <c r="H147" i="5"/>
  <c r="H148" i="5"/>
  <c r="H5" i="5"/>
  <c r="H6" i="5"/>
  <c r="H7" i="5"/>
  <c r="H8" i="5"/>
  <c r="H9" i="5"/>
  <c r="H10" i="5"/>
  <c r="H11" i="5"/>
  <c r="H12" i="5"/>
  <c r="H13" i="5"/>
  <c r="H14" i="5"/>
  <c r="H15" i="5"/>
  <c r="H16" i="5"/>
  <c r="H413" i="5"/>
  <c r="H414" i="5"/>
  <c r="H415" i="5"/>
  <c r="H416" i="5"/>
  <c r="H417" i="5"/>
  <c r="H418" i="5"/>
  <c r="H419" i="5"/>
  <c r="H420" i="5"/>
  <c r="H421" i="5"/>
  <c r="H422" i="5"/>
  <c r="H423" i="5"/>
  <c r="H424" i="5"/>
  <c r="H281" i="5"/>
  <c r="H282" i="5"/>
  <c r="H283" i="5"/>
  <c r="H284" i="5"/>
  <c r="H285" i="5"/>
  <c r="H286" i="5"/>
  <c r="H287" i="5"/>
  <c r="H288" i="5"/>
  <c r="H289" i="5"/>
  <c r="H290" i="5"/>
  <c r="H291" i="5"/>
  <c r="H292" i="5"/>
  <c r="H149" i="5"/>
  <c r="H150" i="5"/>
  <c r="H151" i="5"/>
  <c r="H152" i="5"/>
  <c r="H153" i="5"/>
  <c r="H154" i="5"/>
  <c r="H155" i="5"/>
  <c r="H156" i="5"/>
  <c r="H157" i="5"/>
  <c r="H158" i="5"/>
  <c r="H159" i="5"/>
  <c r="H160" i="5"/>
  <c r="H17" i="5"/>
  <c r="H18" i="5"/>
  <c r="H19" i="5"/>
  <c r="H20" i="5"/>
  <c r="H21" i="5"/>
  <c r="H22" i="5"/>
  <c r="H23" i="5"/>
  <c r="H24" i="5"/>
  <c r="H25" i="5"/>
  <c r="H26" i="5"/>
  <c r="H27" i="5"/>
  <c r="H28" i="5"/>
  <c r="H425" i="5"/>
  <c r="H426" i="5"/>
  <c r="H427" i="5"/>
  <c r="H428" i="5"/>
  <c r="H429" i="5"/>
  <c r="H430" i="5"/>
  <c r="H431" i="5"/>
  <c r="H432" i="5"/>
  <c r="H433" i="5"/>
  <c r="H434" i="5"/>
  <c r="H435" i="5"/>
  <c r="H436" i="5"/>
  <c r="H293" i="5"/>
  <c r="H294" i="5"/>
  <c r="H295" i="5"/>
  <c r="H296" i="5"/>
  <c r="H297" i="5"/>
  <c r="H298" i="5"/>
  <c r="H299" i="5"/>
  <c r="H300" i="5"/>
  <c r="H301" i="5"/>
  <c r="H302" i="5"/>
  <c r="H303" i="5"/>
  <c r="H304" i="5"/>
  <c r="H161" i="5"/>
  <c r="H162" i="5"/>
  <c r="H163" i="5"/>
  <c r="H164" i="5"/>
  <c r="H165" i="5"/>
  <c r="H166" i="5"/>
  <c r="H167" i="5"/>
  <c r="H168" i="5"/>
  <c r="H169" i="5"/>
  <c r="H170" i="5"/>
  <c r="H171" i="5"/>
  <c r="H172" i="5"/>
  <c r="H29" i="5"/>
  <c r="H30" i="5"/>
  <c r="H31" i="5"/>
  <c r="H32" i="5"/>
  <c r="H33" i="5"/>
  <c r="H34" i="5"/>
  <c r="H35" i="5"/>
  <c r="H36" i="5"/>
  <c r="H37" i="5"/>
  <c r="H38" i="5"/>
  <c r="H39" i="5"/>
  <c r="H40" i="5"/>
  <c r="H437" i="5"/>
  <c r="H438" i="5"/>
  <c r="H439" i="5"/>
  <c r="H440" i="5"/>
  <c r="H441" i="5"/>
  <c r="H442" i="5"/>
  <c r="H443" i="5"/>
  <c r="H444" i="5"/>
  <c r="H445" i="5"/>
  <c r="H446" i="5"/>
  <c r="H447" i="5"/>
  <c r="H448" i="5"/>
  <c r="H305" i="5"/>
  <c r="H306" i="5"/>
  <c r="H307" i="5"/>
  <c r="H308" i="5"/>
  <c r="H309" i="5"/>
  <c r="H310" i="5"/>
  <c r="H311" i="5"/>
  <c r="H312" i="5"/>
  <c r="H313" i="5"/>
  <c r="H314" i="5"/>
  <c r="H315" i="5"/>
  <c r="H316" i="5"/>
  <c r="H173" i="5"/>
  <c r="H174" i="5"/>
  <c r="H175" i="5"/>
  <c r="H176" i="5"/>
  <c r="H177" i="5"/>
  <c r="H178" i="5"/>
  <c r="H179" i="5"/>
  <c r="H180" i="5"/>
  <c r="H181" i="5"/>
  <c r="H182" i="5"/>
  <c r="H183" i="5"/>
  <c r="H184" i="5"/>
  <c r="H41" i="5"/>
  <c r="H42" i="5"/>
  <c r="H43" i="5"/>
  <c r="H44" i="5"/>
  <c r="H45" i="5"/>
  <c r="H46" i="5"/>
  <c r="H47" i="5"/>
  <c r="H48" i="5"/>
  <c r="H49" i="5"/>
  <c r="H50" i="5"/>
  <c r="H51" i="5"/>
  <c r="H52" i="5"/>
  <c r="H449" i="5"/>
  <c r="H450" i="5"/>
  <c r="H451" i="5"/>
  <c r="H452" i="5"/>
  <c r="H453" i="5"/>
  <c r="H454" i="5"/>
  <c r="H455" i="5"/>
  <c r="H456" i="5"/>
  <c r="H457" i="5"/>
  <c r="H458" i="5"/>
  <c r="H459" i="5"/>
  <c r="H460" i="5"/>
  <c r="H317" i="5"/>
  <c r="H318" i="5"/>
  <c r="H319" i="5"/>
  <c r="H320" i="5"/>
  <c r="H321" i="5"/>
  <c r="H322" i="5"/>
  <c r="H323" i="5"/>
  <c r="H324" i="5"/>
  <c r="H325" i="5"/>
  <c r="H326" i="5"/>
  <c r="H327" i="5"/>
  <c r="H328" i="5"/>
  <c r="H185" i="5"/>
  <c r="H186" i="5"/>
  <c r="H187" i="5"/>
  <c r="H188" i="5"/>
  <c r="H189" i="5"/>
  <c r="H190" i="5"/>
  <c r="H191" i="5"/>
  <c r="H192" i="5"/>
  <c r="H193" i="5"/>
  <c r="H194" i="5"/>
  <c r="H195" i="5"/>
  <c r="H196" i="5"/>
  <c r="H53" i="5"/>
  <c r="H54" i="5"/>
  <c r="H55" i="5"/>
  <c r="H56" i="5"/>
  <c r="H57" i="5"/>
  <c r="H58" i="5"/>
  <c r="H59" i="5"/>
  <c r="H60" i="5"/>
  <c r="H61" i="5"/>
  <c r="H62" i="5"/>
  <c r="H63" i="5"/>
  <c r="H64" i="5"/>
  <c r="H461" i="5"/>
  <c r="H462" i="5"/>
  <c r="H463" i="5"/>
  <c r="H464" i="5"/>
  <c r="H465" i="5"/>
  <c r="H466" i="5"/>
  <c r="H467" i="5"/>
  <c r="H468" i="5"/>
  <c r="H469" i="5"/>
  <c r="H470" i="5"/>
  <c r="H471" i="5"/>
  <c r="H472" i="5"/>
  <c r="H329" i="5"/>
  <c r="H330" i="5"/>
  <c r="H331" i="5"/>
  <c r="H332" i="5"/>
  <c r="H333" i="5"/>
  <c r="H334" i="5"/>
  <c r="H335" i="5"/>
  <c r="H336" i="5"/>
  <c r="H337" i="5"/>
  <c r="H338" i="5"/>
  <c r="H339" i="5"/>
  <c r="H340" i="5"/>
  <c r="H197" i="5"/>
  <c r="H198" i="5"/>
  <c r="H199" i="5"/>
  <c r="H200" i="5"/>
  <c r="H201" i="5"/>
  <c r="H202" i="5"/>
  <c r="H203" i="5"/>
  <c r="H204" i="5"/>
  <c r="H205" i="5"/>
  <c r="H206" i="5"/>
  <c r="H207" i="5"/>
  <c r="H208" i="5"/>
  <c r="H65" i="5"/>
  <c r="H66" i="5"/>
  <c r="H67" i="5"/>
  <c r="H68" i="5"/>
  <c r="H69" i="5"/>
  <c r="H70" i="5"/>
  <c r="H71" i="5"/>
  <c r="H72" i="5"/>
  <c r="H73" i="5"/>
  <c r="H74" i="5"/>
  <c r="H75" i="5"/>
  <c r="H76" i="5"/>
  <c r="H473" i="5"/>
  <c r="H474" i="5"/>
  <c r="H475" i="5"/>
  <c r="H476" i="5"/>
  <c r="H477" i="5"/>
  <c r="H478" i="5"/>
  <c r="H479" i="5"/>
  <c r="H480" i="5"/>
  <c r="H481" i="5"/>
  <c r="H482" i="5"/>
  <c r="H483" i="5"/>
  <c r="H484" i="5"/>
  <c r="H341" i="5"/>
  <c r="H342" i="5"/>
  <c r="H343" i="5"/>
  <c r="H344" i="5"/>
  <c r="H345" i="5"/>
  <c r="H346" i="5"/>
  <c r="H347" i="5"/>
  <c r="H348" i="5"/>
  <c r="H349" i="5"/>
  <c r="H350" i="5"/>
  <c r="H351" i="5"/>
  <c r="H352" i="5"/>
  <c r="H209" i="5"/>
  <c r="H210" i="5"/>
  <c r="H211" i="5"/>
  <c r="H212" i="5"/>
  <c r="H213" i="5"/>
  <c r="H214" i="5"/>
  <c r="H215" i="5"/>
  <c r="H216" i="5"/>
  <c r="H217" i="5"/>
  <c r="H218" i="5"/>
  <c r="H219" i="5"/>
  <c r="H220" i="5"/>
  <c r="H77" i="5"/>
  <c r="H78" i="5"/>
  <c r="H79" i="5"/>
  <c r="H80" i="5"/>
  <c r="H81" i="5"/>
  <c r="H82" i="5"/>
  <c r="H83" i="5"/>
  <c r="H84" i="5"/>
  <c r="H85" i="5"/>
  <c r="H86" i="5"/>
  <c r="H87" i="5"/>
  <c r="H88" i="5"/>
  <c r="H485" i="5"/>
  <c r="H486" i="5"/>
  <c r="H487" i="5"/>
  <c r="H488" i="5"/>
  <c r="H489" i="5"/>
  <c r="H490" i="5"/>
  <c r="H491" i="5"/>
  <c r="H492" i="5"/>
  <c r="H493" i="5"/>
  <c r="H494" i="5"/>
  <c r="H495" i="5"/>
  <c r="H496" i="5"/>
  <c r="H353" i="5"/>
  <c r="H354" i="5"/>
  <c r="H355" i="5"/>
  <c r="H356" i="5"/>
  <c r="H357" i="5"/>
  <c r="H358" i="5"/>
  <c r="H359" i="5"/>
  <c r="H360" i="5"/>
  <c r="H361" i="5"/>
  <c r="H362" i="5"/>
  <c r="H363" i="5"/>
  <c r="H364" i="5"/>
  <c r="H221" i="5"/>
  <c r="H222" i="5"/>
  <c r="H223" i="5"/>
  <c r="H224" i="5"/>
  <c r="H225" i="5"/>
  <c r="H226" i="5"/>
  <c r="H227" i="5"/>
  <c r="H228" i="5"/>
  <c r="H229" i="5"/>
  <c r="H230" i="5"/>
  <c r="H231" i="5"/>
  <c r="H232" i="5"/>
  <c r="H89" i="5"/>
  <c r="H90" i="5"/>
  <c r="H91" i="5"/>
  <c r="H92" i="5"/>
  <c r="H93" i="5"/>
  <c r="H94" i="5"/>
  <c r="H95" i="5"/>
  <c r="H96" i="5"/>
  <c r="H97" i="5"/>
  <c r="H98" i="5"/>
  <c r="H99" i="5"/>
  <c r="H100" i="5"/>
  <c r="H497" i="5"/>
  <c r="H498" i="5"/>
  <c r="H499" i="5"/>
  <c r="H500" i="5"/>
  <c r="H501" i="5"/>
  <c r="H502" i="5"/>
  <c r="H503" i="5"/>
  <c r="H504" i="5"/>
  <c r="H505" i="5"/>
  <c r="H506" i="5"/>
  <c r="H507" i="5"/>
  <c r="H508" i="5"/>
  <c r="H365" i="5"/>
  <c r="H366" i="5"/>
  <c r="H367" i="5"/>
  <c r="H368" i="5"/>
  <c r="H369" i="5"/>
  <c r="H370" i="5"/>
  <c r="H371" i="5"/>
  <c r="H372" i="5"/>
  <c r="H373" i="5"/>
  <c r="H374" i="5"/>
  <c r="H375" i="5"/>
  <c r="H376" i="5"/>
  <c r="H233" i="5"/>
  <c r="H234" i="5"/>
  <c r="H235" i="5"/>
  <c r="H236" i="5"/>
  <c r="H237" i="5"/>
  <c r="H238" i="5"/>
  <c r="H239" i="5"/>
  <c r="H240" i="5"/>
  <c r="H241" i="5"/>
  <c r="H242" i="5"/>
  <c r="H243" i="5"/>
  <c r="H244" i="5"/>
  <c r="H101" i="5"/>
  <c r="H102" i="5"/>
  <c r="H103" i="5"/>
  <c r="H104" i="5"/>
  <c r="H105" i="5"/>
  <c r="H106" i="5"/>
  <c r="H107" i="5"/>
  <c r="H108" i="5"/>
  <c r="H109" i="5"/>
  <c r="H110" i="5"/>
  <c r="H111" i="5"/>
  <c r="H112" i="5"/>
  <c r="H509" i="5"/>
  <c r="H510" i="5"/>
  <c r="H511" i="5"/>
  <c r="H512" i="5"/>
  <c r="H513" i="5"/>
  <c r="H514" i="5"/>
  <c r="H515" i="5"/>
  <c r="H516" i="5"/>
  <c r="H517" i="5"/>
  <c r="H518" i="5"/>
  <c r="H519" i="5"/>
  <c r="H520" i="5"/>
  <c r="H377" i="5"/>
  <c r="H378" i="5"/>
  <c r="H379" i="5"/>
  <c r="H380" i="5"/>
  <c r="H381" i="5"/>
  <c r="H382" i="5"/>
  <c r="H383" i="5"/>
  <c r="H384" i="5"/>
  <c r="H385" i="5"/>
  <c r="H386" i="5"/>
  <c r="H387" i="5"/>
  <c r="H388" i="5"/>
  <c r="H245" i="5"/>
  <c r="H246" i="5"/>
  <c r="H247" i="5"/>
  <c r="H248" i="5"/>
  <c r="H249" i="5"/>
  <c r="H250" i="5"/>
  <c r="H251" i="5"/>
  <c r="H252" i="5"/>
  <c r="H253" i="5"/>
  <c r="H254" i="5"/>
  <c r="H255" i="5"/>
  <c r="H256" i="5"/>
  <c r="H113" i="5"/>
  <c r="H114" i="5"/>
  <c r="H115" i="5"/>
  <c r="H116" i="5"/>
  <c r="H117" i="5"/>
  <c r="H118" i="5"/>
  <c r="H119" i="5"/>
  <c r="H120" i="5"/>
  <c r="H121" i="5"/>
  <c r="H122" i="5"/>
  <c r="H123" i="5"/>
  <c r="H124" i="5"/>
  <c r="H521" i="5"/>
  <c r="H522" i="5"/>
  <c r="H523" i="5"/>
  <c r="H524" i="5"/>
  <c r="H525" i="5"/>
  <c r="H526" i="5"/>
  <c r="H527" i="5"/>
  <c r="H528" i="5"/>
  <c r="H529" i="5"/>
  <c r="H530" i="5"/>
  <c r="H531" i="5"/>
  <c r="H532" i="5"/>
  <c r="H389" i="5"/>
  <c r="H390" i="5"/>
  <c r="H391" i="5"/>
  <c r="H392" i="5"/>
  <c r="H393" i="5"/>
  <c r="H394" i="5"/>
  <c r="H395" i="5"/>
  <c r="H396" i="5"/>
  <c r="H397" i="5"/>
  <c r="H398" i="5"/>
  <c r="H399" i="5"/>
  <c r="H400" i="5"/>
  <c r="H257" i="5"/>
  <c r="H258" i="5"/>
  <c r="H259" i="5"/>
  <c r="H260" i="5"/>
  <c r="H261" i="5"/>
  <c r="H262" i="5"/>
  <c r="H263" i="5"/>
  <c r="H264" i="5"/>
  <c r="H265" i="5"/>
  <c r="H266" i="5"/>
  <c r="H267" i="5"/>
  <c r="H268" i="5"/>
  <c r="H125" i="5"/>
  <c r="H126" i="5"/>
  <c r="H127" i="5"/>
  <c r="H128" i="5"/>
  <c r="H129" i="5"/>
  <c r="H130" i="5"/>
  <c r="H131" i="5"/>
  <c r="H132" i="5"/>
  <c r="H133" i="5"/>
  <c r="H134" i="5"/>
  <c r="H135" i="5"/>
  <c r="H136" i="5"/>
  <c r="P10" i="2" a="1"/>
  <c r="P10" i="2" s="1"/>
  <c r="P15" i="2" a="1"/>
  <c r="P15" i="2" s="1"/>
  <c r="P12" i="2" a="1"/>
  <c r="P12" i="2" s="1"/>
  <c r="P9" i="2" a="1"/>
  <c r="P9" i="2" s="1"/>
  <c r="P8" i="2" a="1"/>
  <c r="P8" i="2" s="1"/>
  <c r="P6" i="2" a="1"/>
  <c r="P6" i="2" s="1"/>
  <c r="P14" i="2" a="1"/>
  <c r="P14" i="2" s="1"/>
  <c r="P11" i="2" a="1"/>
  <c r="P11" i="2" s="1"/>
  <c r="P5" i="2" a="1"/>
  <c r="P5" i="2" s="1"/>
  <c r="P7" i="2" a="1"/>
  <c r="P7" i="2"/>
  <c r="P13" i="2" a="1"/>
  <c r="P13" i="2" s="1"/>
  <c r="X38" i="7"/>
  <c r="W38" i="7"/>
  <c r="V38" i="7"/>
  <c r="X37" i="7"/>
  <c r="W37" i="7"/>
  <c r="V37" i="7"/>
  <c r="AC38" i="7"/>
  <c r="AB38" i="7"/>
  <c r="AA38" i="7"/>
  <c r="AC37" i="7"/>
  <c r="AB37" i="7"/>
  <c r="AA37" i="7"/>
  <c r="AH38" i="7"/>
  <c r="AH37" i="7"/>
  <c r="AG37" i="7"/>
  <c r="AF37" i="7"/>
  <c r="AF38" i="7"/>
  <c r="T31" i="16" l="1"/>
  <c r="T27" i="16"/>
  <c r="T32" i="16"/>
  <c r="T28" i="16"/>
  <c r="G29" i="16"/>
  <c r="T29" i="16"/>
  <c r="G30" i="16"/>
  <c r="T30" i="16"/>
  <c r="Y48" i="4"/>
  <c r="Y38" i="4"/>
  <c r="Y43" i="4"/>
  <c r="Y40" i="4"/>
  <c r="Y42" i="4"/>
  <c r="Y44" i="4"/>
  <c r="Y45" i="4"/>
  <c r="Y47" i="4"/>
  <c r="V10" i="7"/>
  <c r="V26" i="7" s="1"/>
  <c r="W10" i="7"/>
  <c r="W27" i="7" s="1"/>
  <c r="U27" i="7" s="1"/>
  <c r="G27" i="7" s="1"/>
  <c r="X10" i="7"/>
  <c r="X28" i="7" s="1"/>
  <c r="U28" i="7" s="1"/>
  <c r="G28" i="7" s="1"/>
  <c r="G12" i="16"/>
  <c r="G17" i="16"/>
  <c r="T17" i="16"/>
  <c r="S17" i="16" s="1"/>
  <c r="G19" i="16"/>
  <c r="G14" i="16"/>
  <c r="G15" i="16"/>
  <c r="G18" i="16"/>
  <c r="G16" i="16"/>
  <c r="G13" i="16"/>
  <c r="G20" i="16"/>
  <c r="G11" i="16"/>
  <c r="F10" i="16"/>
  <c r="T10" i="16" s="1"/>
  <c r="I10" i="7"/>
  <c r="AA10" i="7"/>
  <c r="AA26" i="7" s="1"/>
  <c r="AC10" i="7"/>
  <c r="AC28" i="7" s="1"/>
  <c r="AB10" i="7"/>
  <c r="AB27" i="7" s="1"/>
  <c r="P28" i="7"/>
  <c r="F28" i="7" s="1"/>
  <c r="P27" i="7"/>
  <c r="F27" i="7" s="1"/>
  <c r="H24" i="7"/>
  <c r="Z19" i="7"/>
  <c r="H19" i="7" s="1"/>
  <c r="I25" i="7"/>
  <c r="Z38" i="7"/>
  <c r="Z18" i="7"/>
  <c r="H18" i="7" s="1"/>
  <c r="U37" i="7"/>
  <c r="W19" i="7"/>
  <c r="R19" i="7" s="1"/>
  <c r="Z37" i="7"/>
  <c r="V18" i="7"/>
  <c r="U18" i="7" s="1"/>
  <c r="G18" i="7" s="1"/>
  <c r="S19" i="7"/>
  <c r="AE37" i="7"/>
  <c r="U38" i="7"/>
  <c r="R10" i="2" a="1"/>
  <c r="R10" i="2" s="1"/>
  <c r="Q10" i="2" a="1"/>
  <c r="Q10" i="2" s="1"/>
  <c r="R15" i="2" a="1"/>
  <c r="R15" i="2" s="1"/>
  <c r="Q15" i="2" a="1"/>
  <c r="Q15" i="2" s="1"/>
  <c r="Q9" i="2" a="1"/>
  <c r="Q9" i="2" s="1"/>
  <c r="Q12" i="2" a="1"/>
  <c r="Q12" i="2" s="1"/>
  <c r="Q8" i="2" a="1"/>
  <c r="Q8" i="2" s="1"/>
  <c r="Q6" i="2" a="1"/>
  <c r="Q6" i="2" s="1"/>
  <c r="R6" i="2" a="1"/>
  <c r="R6" i="2" s="1"/>
  <c r="Q14" i="2" a="1"/>
  <c r="Q14" i="2" s="1"/>
  <c r="R11" i="2" a="1"/>
  <c r="R11" i="2" s="1"/>
  <c r="Q11" i="2" a="1"/>
  <c r="Q11" i="2" s="1"/>
  <c r="Q5" i="2" a="1"/>
  <c r="Q5" i="2" s="1"/>
  <c r="R13" i="2" a="1"/>
  <c r="R13" i="2" s="1"/>
  <c r="Q13" i="2" a="1"/>
  <c r="Q13" i="2" s="1"/>
  <c r="R7" i="2" a="1"/>
  <c r="R7" i="2" s="1"/>
  <c r="S7" i="2" s="1" a="1"/>
  <c r="S7" i="2" s="1"/>
  <c r="Q7" i="2" a="1"/>
  <c r="Q7" i="2" s="1"/>
  <c r="G6" i="4"/>
  <c r="AB6" i="4" s="1"/>
  <c r="AT6" i="4" s="1"/>
  <c r="G7" i="4"/>
  <c r="AB7" i="4" s="1"/>
  <c r="AT7" i="4" s="1"/>
  <c r="G8" i="4"/>
  <c r="AB8" i="4" s="1"/>
  <c r="AT8" i="4" s="1"/>
  <c r="G9" i="4"/>
  <c r="G10" i="4"/>
  <c r="H10" i="4" s="1"/>
  <c r="G11" i="4"/>
  <c r="AB11" i="4" s="1"/>
  <c r="AT11" i="4" s="1"/>
  <c r="G12" i="4"/>
  <c r="H12" i="4" s="1"/>
  <c r="G13" i="4"/>
  <c r="G14" i="4"/>
  <c r="AB14" i="4" s="1"/>
  <c r="AT14" i="4" s="1"/>
  <c r="G15" i="4"/>
  <c r="AB15" i="4" s="1"/>
  <c r="AT15" i="4" s="1"/>
  <c r="G16" i="4"/>
  <c r="G17" i="4"/>
  <c r="AB17" i="4" s="1"/>
  <c r="AT17" i="4" s="1"/>
  <c r="G18" i="4"/>
  <c r="AB18" i="4" s="1"/>
  <c r="AT18" i="4" s="1"/>
  <c r="G19" i="4"/>
  <c r="AB19" i="4" s="1"/>
  <c r="AT19" i="4" s="1"/>
  <c r="G20" i="4"/>
  <c r="G21" i="4"/>
  <c r="AB21" i="4" s="1"/>
  <c r="AT21" i="4" s="1"/>
  <c r="G22" i="4"/>
  <c r="AB22" i="4" s="1"/>
  <c r="AT22" i="4" s="1"/>
  <c r="G23" i="4"/>
  <c r="AB23" i="4" s="1"/>
  <c r="AT23" i="4" s="1"/>
  <c r="G24" i="4"/>
  <c r="G25" i="4"/>
  <c r="AB25" i="4" s="1"/>
  <c r="AT25" i="4" s="1"/>
  <c r="G26" i="4"/>
  <c r="AB26" i="4" s="1"/>
  <c r="AT26" i="4" s="1"/>
  <c r="G27" i="4"/>
  <c r="G28" i="4"/>
  <c r="AB28" i="4" s="1"/>
  <c r="AT28" i="4" s="1"/>
  <c r="G29" i="4"/>
  <c r="AB29" i="4" s="1"/>
  <c r="AT29" i="4" s="1"/>
  <c r="G30" i="4"/>
  <c r="AB30" i="4" s="1"/>
  <c r="AT30" i="4" s="1"/>
  <c r="G31" i="4"/>
  <c r="G32" i="4"/>
  <c r="AB32" i="4" s="1"/>
  <c r="AT32" i="4" s="1"/>
  <c r="G33" i="4"/>
  <c r="AB33" i="4" s="1"/>
  <c r="AT33" i="4" s="1"/>
  <c r="G34" i="4"/>
  <c r="AB34" i="4" s="1"/>
  <c r="AT34" i="4" s="1"/>
  <c r="G35" i="4"/>
  <c r="G36" i="4"/>
  <c r="AB36" i="4" s="1"/>
  <c r="AT36" i="4" s="1"/>
  <c r="G37" i="4"/>
  <c r="AB37" i="4" s="1"/>
  <c r="AT37" i="4" s="1"/>
  <c r="G38" i="4"/>
  <c r="G39" i="4"/>
  <c r="AB39" i="4" s="1"/>
  <c r="AT39" i="4" s="1"/>
  <c r="G40" i="4"/>
  <c r="AB40" i="4" s="1"/>
  <c r="AT40" i="4" s="1"/>
  <c r="G41" i="4"/>
  <c r="AB41" i="4" s="1"/>
  <c r="AT41" i="4" s="1"/>
  <c r="G42" i="4"/>
  <c r="G43" i="4"/>
  <c r="AB43" i="4" s="1"/>
  <c r="AT43" i="4" s="1"/>
  <c r="G44" i="4"/>
  <c r="AB44" i="4" s="1"/>
  <c r="AT44" i="4" s="1"/>
  <c r="G45" i="4"/>
  <c r="AB45" i="4" s="1"/>
  <c r="AT45" i="4" s="1"/>
  <c r="G46" i="4"/>
  <c r="G47" i="4"/>
  <c r="AB47" i="4" s="1"/>
  <c r="AT47" i="4" s="1"/>
  <c r="G48" i="4"/>
  <c r="AB48" i="4" s="1"/>
  <c r="AT48" i="4" s="1"/>
  <c r="G5" i="4"/>
  <c r="G48" i="9"/>
  <c r="J48" i="9" s="1"/>
  <c r="G47" i="9"/>
  <c r="J47" i="9" s="1"/>
  <c r="G46" i="9"/>
  <c r="G45" i="9"/>
  <c r="J45" i="9" s="1"/>
  <c r="G44" i="9"/>
  <c r="J44" i="9" s="1"/>
  <c r="G43" i="9"/>
  <c r="G42" i="9"/>
  <c r="G41" i="9"/>
  <c r="J41" i="9" s="1"/>
  <c r="G40" i="9"/>
  <c r="J40" i="9" s="1"/>
  <c r="G39" i="9"/>
  <c r="G38" i="9"/>
  <c r="G37" i="9"/>
  <c r="J37" i="9" s="1"/>
  <c r="G36" i="9"/>
  <c r="J36" i="9" s="1"/>
  <c r="G35" i="9"/>
  <c r="J35" i="9" s="1"/>
  <c r="G34" i="9"/>
  <c r="G33" i="9"/>
  <c r="J33" i="9" s="1"/>
  <c r="G32" i="9"/>
  <c r="J32" i="9" s="1"/>
  <c r="G31" i="9"/>
  <c r="G30" i="9"/>
  <c r="J30" i="9" s="1"/>
  <c r="G29" i="9"/>
  <c r="G28" i="9"/>
  <c r="J28" i="9" s="1"/>
  <c r="G27" i="9"/>
  <c r="G26" i="9"/>
  <c r="J26" i="9" s="1"/>
  <c r="G25" i="9"/>
  <c r="G24" i="9"/>
  <c r="G23" i="9"/>
  <c r="G22" i="9"/>
  <c r="G21" i="9"/>
  <c r="G20" i="9"/>
  <c r="G19" i="9"/>
  <c r="G18" i="9"/>
  <c r="J18" i="9" s="1"/>
  <c r="G17" i="9"/>
  <c r="J17" i="9" s="1"/>
  <c r="G16" i="9"/>
  <c r="J16" i="9" s="1"/>
  <c r="G15" i="9"/>
  <c r="G14" i="9"/>
  <c r="G13" i="9"/>
  <c r="G12" i="9"/>
  <c r="J12" i="9" s="1"/>
  <c r="G11" i="9"/>
  <c r="J11" i="9" s="1"/>
  <c r="G10" i="9"/>
  <c r="J10" i="9" s="1"/>
  <c r="G9" i="9"/>
  <c r="G8" i="9"/>
  <c r="J8" i="9" s="1"/>
  <c r="G7" i="9"/>
  <c r="J7" i="9" s="1"/>
  <c r="G6" i="9"/>
  <c r="J6" i="9" s="1"/>
  <c r="G5" i="9"/>
  <c r="K38" i="4"/>
  <c r="K39" i="4"/>
  <c r="K40" i="4"/>
  <c r="K41" i="4"/>
  <c r="K42" i="4"/>
  <c r="K43" i="4"/>
  <c r="K44" i="4"/>
  <c r="K45" i="4"/>
  <c r="K46" i="4"/>
  <c r="K47" i="4"/>
  <c r="K48"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5" i="4"/>
  <c r="R6" i="4"/>
  <c r="R7" i="4"/>
  <c r="R8" i="4"/>
  <c r="R9" i="4"/>
  <c r="U9" i="4" s="1"/>
  <c r="R10" i="4"/>
  <c r="R11" i="4"/>
  <c r="R12" i="4"/>
  <c r="U12" i="4" s="1"/>
  <c r="R13" i="4"/>
  <c r="R14" i="4"/>
  <c r="R15" i="4"/>
  <c r="R16" i="4"/>
  <c r="R17" i="4"/>
  <c r="R18" i="4"/>
  <c r="R19" i="4"/>
  <c r="R20" i="4"/>
  <c r="R21" i="4"/>
  <c r="U21" i="4" s="1"/>
  <c r="R22" i="4"/>
  <c r="R23" i="4"/>
  <c r="R24" i="4"/>
  <c r="U24" i="4" s="1"/>
  <c r="R25" i="4"/>
  <c r="R26" i="4"/>
  <c r="R27" i="4"/>
  <c r="R28" i="4"/>
  <c r="R29" i="4"/>
  <c r="R30" i="4"/>
  <c r="R31" i="4"/>
  <c r="R32" i="4"/>
  <c r="R33" i="4"/>
  <c r="U33" i="4" s="1"/>
  <c r="R34" i="4"/>
  <c r="R35" i="4"/>
  <c r="R36" i="4"/>
  <c r="U36" i="4" s="1"/>
  <c r="R37" i="4"/>
  <c r="R38" i="4"/>
  <c r="R39" i="4"/>
  <c r="R40" i="4"/>
  <c r="R41" i="4"/>
  <c r="R42" i="4"/>
  <c r="R43" i="4"/>
  <c r="R44" i="4"/>
  <c r="R45" i="4"/>
  <c r="U45" i="4" s="1"/>
  <c r="R46" i="4"/>
  <c r="R47" i="4"/>
  <c r="R48" i="4"/>
  <c r="U48" i="4" s="1"/>
  <c r="R5" i="4"/>
  <c r="M38" i="4"/>
  <c r="N38" i="4"/>
  <c r="M39" i="4"/>
  <c r="N39" i="4"/>
  <c r="M40" i="4"/>
  <c r="N40" i="4"/>
  <c r="M41" i="4"/>
  <c r="N41" i="4"/>
  <c r="M42" i="4"/>
  <c r="N42" i="4"/>
  <c r="M43" i="4"/>
  <c r="N43" i="4"/>
  <c r="M44" i="4"/>
  <c r="N44" i="4"/>
  <c r="M45" i="4"/>
  <c r="N45" i="4"/>
  <c r="M46" i="4"/>
  <c r="N46" i="4"/>
  <c r="M47" i="4"/>
  <c r="N47" i="4"/>
  <c r="M48" i="4"/>
  <c r="N48" i="4"/>
  <c r="P12" i="7"/>
  <c r="P11" i="7"/>
  <c r="S9" i="7"/>
  <c r="R9" i="7"/>
  <c r="Q9" i="7"/>
  <c r="U11" i="7"/>
  <c r="AA17" i="7"/>
  <c r="AC17" i="7"/>
  <c r="AH9" i="7"/>
  <c r="AG9" i="7"/>
  <c r="AF9" i="7"/>
  <c r="AC9" i="7"/>
  <c r="AB9" i="7"/>
  <c r="AA9" i="7"/>
  <c r="X9" i="7"/>
  <c r="W9" i="7"/>
  <c r="V9" i="7"/>
  <c r="U12" i="7"/>
  <c r="E48" i="4" a="1"/>
  <c r="E48" i="4" s="1"/>
  <c r="E47" i="4" a="1"/>
  <c r="E47" i="4" s="1"/>
  <c r="E46" i="4" a="1"/>
  <c r="E46" i="4" s="1"/>
  <c r="E45" i="4" a="1"/>
  <c r="E45" i="4" s="1"/>
  <c r="E44" i="4" a="1"/>
  <c r="E44" i="4" s="1"/>
  <c r="E43" i="4" a="1"/>
  <c r="E43" i="4" s="1"/>
  <c r="E42" i="4" a="1"/>
  <c r="E42" i="4" s="1"/>
  <c r="E41" i="4" a="1"/>
  <c r="E41" i="4" s="1"/>
  <c r="E40" i="4" a="1"/>
  <c r="E40" i="4" s="1"/>
  <c r="E39" i="4" a="1"/>
  <c r="E39" i="4" s="1"/>
  <c r="E38" i="4" a="1"/>
  <c r="E38" i="4" s="1"/>
  <c r="E37" i="4" a="1"/>
  <c r="E37" i="4" s="1"/>
  <c r="E36" i="4" a="1"/>
  <c r="E36" i="4" s="1"/>
  <c r="E35" i="4" a="1"/>
  <c r="E35" i="4" s="1"/>
  <c r="E34" i="4" a="1"/>
  <c r="E34" i="4" s="1"/>
  <c r="E33" i="4" a="1"/>
  <c r="E33" i="4" s="1"/>
  <c r="E32" i="4" a="1"/>
  <c r="E32" i="4" s="1"/>
  <c r="E31" i="4" a="1"/>
  <c r="E31" i="4" s="1"/>
  <c r="E30" i="4" a="1"/>
  <c r="E30" i="4" s="1"/>
  <c r="E29" i="4" a="1"/>
  <c r="E29" i="4" s="1"/>
  <c r="E28" i="4" a="1"/>
  <c r="E28" i="4" s="1"/>
  <c r="E27" i="4" a="1"/>
  <c r="E27" i="4" s="1"/>
  <c r="E26" i="4" a="1"/>
  <c r="E26" i="4" s="1"/>
  <c r="E25" i="4" a="1"/>
  <c r="E25" i="4" s="1"/>
  <c r="E24" i="4" a="1"/>
  <c r="E24" i="4" s="1"/>
  <c r="E23" i="4" a="1"/>
  <c r="E23" i="4" s="1"/>
  <c r="E22" i="4" a="1"/>
  <c r="E22" i="4" s="1"/>
  <c r="E21" i="4" a="1"/>
  <c r="E21" i="4" s="1"/>
  <c r="E20" i="4" a="1"/>
  <c r="E20" i="4" s="1"/>
  <c r="E19" i="4" a="1"/>
  <c r="E19" i="4" s="1"/>
  <c r="E18" i="4" a="1"/>
  <c r="E18" i="4" s="1"/>
  <c r="E17" i="4" a="1"/>
  <c r="E17" i="4" s="1"/>
  <c r="E16" i="4" a="1"/>
  <c r="E16" i="4" s="1"/>
  <c r="E15" i="4" a="1"/>
  <c r="E15" i="4" s="1"/>
  <c r="F16" i="4" a="1"/>
  <c r="F16" i="4" s="1"/>
  <c r="F17" i="4" a="1"/>
  <c r="F17" i="4" s="1"/>
  <c r="F18" i="4" a="1"/>
  <c r="F18" i="4" s="1"/>
  <c r="F19" i="4" a="1"/>
  <c r="F19" i="4" s="1"/>
  <c r="F20" i="4" a="1"/>
  <c r="F20" i="4" s="1"/>
  <c r="F21" i="4" a="1"/>
  <c r="F21" i="4" s="1"/>
  <c r="F22" i="4" a="1"/>
  <c r="F22" i="4" s="1"/>
  <c r="F23" i="4" a="1"/>
  <c r="F23" i="4" s="1"/>
  <c r="F24" i="4" a="1"/>
  <c r="F24" i="4" s="1"/>
  <c r="F25" i="4" a="1"/>
  <c r="F25" i="4" s="1"/>
  <c r="F26" i="4" a="1"/>
  <c r="F26" i="4" s="1"/>
  <c r="F27" i="4" a="1"/>
  <c r="F27" i="4" s="1"/>
  <c r="F28" i="4" a="1"/>
  <c r="F28" i="4" s="1"/>
  <c r="F29" i="4" a="1"/>
  <c r="F29" i="4" s="1"/>
  <c r="F30" i="4" a="1"/>
  <c r="F30" i="4" s="1"/>
  <c r="F31" i="4" a="1"/>
  <c r="F31" i="4" s="1"/>
  <c r="F32" i="4" a="1"/>
  <c r="F32" i="4" s="1"/>
  <c r="F33" i="4" a="1"/>
  <c r="F33" i="4" s="1"/>
  <c r="F34" i="4" a="1"/>
  <c r="F34" i="4" s="1"/>
  <c r="F35" i="4" a="1"/>
  <c r="F35" i="4" s="1"/>
  <c r="F36" i="4" a="1"/>
  <c r="F36" i="4" s="1"/>
  <c r="F37" i="4" a="1"/>
  <c r="F37" i="4" s="1"/>
  <c r="F38" i="4" a="1"/>
  <c r="F38" i="4" s="1"/>
  <c r="F39" i="4" a="1"/>
  <c r="F39" i="4" s="1"/>
  <c r="F40" i="4" a="1"/>
  <c r="F40" i="4" s="1"/>
  <c r="F41" i="4" a="1"/>
  <c r="F41" i="4" s="1"/>
  <c r="F42" i="4" a="1"/>
  <c r="F42" i="4" s="1"/>
  <c r="F43" i="4" a="1"/>
  <c r="F43" i="4" s="1"/>
  <c r="F44" i="4" a="1"/>
  <c r="F44" i="4" s="1"/>
  <c r="F45" i="4" a="1"/>
  <c r="F45" i="4" s="1"/>
  <c r="F46" i="4" a="1"/>
  <c r="F46" i="4" s="1"/>
  <c r="F47" i="4" a="1"/>
  <c r="F47" i="4" s="1"/>
  <c r="F48" i="4" a="1"/>
  <c r="F48" i="4" s="1"/>
  <c r="F15" i="4" a="1"/>
  <c r="F15" i="4" s="1"/>
  <c r="F14" i="4" a="1"/>
  <c r="F14" i="4" s="1"/>
  <c r="F13" i="4" a="1"/>
  <c r="F13" i="4" s="1"/>
  <c r="F12" i="4" a="1"/>
  <c r="F12" i="4" s="1"/>
  <c r="F11" i="4" a="1"/>
  <c r="F11" i="4" s="1"/>
  <c r="F10" i="4" a="1"/>
  <c r="F10" i="4" s="1"/>
  <c r="F9" i="4" a="1"/>
  <c r="F9" i="4" s="1"/>
  <c r="F8" i="4" a="1"/>
  <c r="F8" i="4" s="1"/>
  <c r="F7" i="4" a="1"/>
  <c r="F7" i="4" s="1"/>
  <c r="F6" i="4" a="1"/>
  <c r="F6" i="4" s="1"/>
  <c r="F5" i="4" a="1"/>
  <c r="F5" i="4" s="1"/>
  <c r="Z12" i="7"/>
  <c r="Z11" i="7"/>
  <c r="N4" i="7"/>
  <c r="M4" i="7"/>
  <c r="L4" i="7"/>
  <c r="K4" i="7"/>
  <c r="AG12" i="7"/>
  <c r="AE11" i="7"/>
  <c r="I21" i="7"/>
  <c r="H21" i="7"/>
  <c r="G21" i="7"/>
  <c r="F21" i="7"/>
  <c r="F15" i="7"/>
  <c r="F16" i="7"/>
  <c r="G8" i="7"/>
  <c r="G16" i="7" s="1"/>
  <c r="G7" i="7"/>
  <c r="H7" i="7" s="1"/>
  <c r="I7" i="7" s="1"/>
  <c r="I15" i="7" s="1"/>
  <c r="O15" i="2"/>
  <c r="N15" i="2"/>
  <c r="M15" i="2"/>
  <c r="L15" i="2"/>
  <c r="K15" i="2"/>
  <c r="J15" i="2"/>
  <c r="I15" i="2"/>
  <c r="H15" i="2"/>
  <c r="G15" i="2"/>
  <c r="F15" i="2"/>
  <c r="E15" i="2"/>
  <c r="D15" i="2"/>
  <c r="E7" i="2"/>
  <c r="F7" i="2"/>
  <c r="G7" i="2"/>
  <c r="H7" i="2"/>
  <c r="I7" i="2"/>
  <c r="J7" i="2"/>
  <c r="K7" i="2"/>
  <c r="L7" i="2"/>
  <c r="M7" i="2"/>
  <c r="N7" i="2"/>
  <c r="O7" i="2"/>
  <c r="D7" i="2"/>
  <c r="E9" i="2"/>
  <c r="F9" i="2"/>
  <c r="G9" i="2"/>
  <c r="H9" i="2"/>
  <c r="I9" i="2"/>
  <c r="J9" i="2"/>
  <c r="K9" i="2"/>
  <c r="L9" i="2"/>
  <c r="M9" i="2"/>
  <c r="N9" i="2"/>
  <c r="O9" i="2"/>
  <c r="E10" i="2"/>
  <c r="F10" i="2"/>
  <c r="G10" i="2"/>
  <c r="H10" i="2"/>
  <c r="I10" i="2"/>
  <c r="J10" i="2"/>
  <c r="K10" i="2"/>
  <c r="L10" i="2"/>
  <c r="M10" i="2"/>
  <c r="N10" i="2"/>
  <c r="O10" i="2"/>
  <c r="E11" i="2"/>
  <c r="F11" i="2"/>
  <c r="G11" i="2"/>
  <c r="H11" i="2"/>
  <c r="I11" i="2"/>
  <c r="J11" i="2"/>
  <c r="K11" i="2"/>
  <c r="L11" i="2"/>
  <c r="M11" i="2"/>
  <c r="N11" i="2"/>
  <c r="O11" i="2"/>
  <c r="E12" i="2"/>
  <c r="F12" i="2"/>
  <c r="G12" i="2"/>
  <c r="H12" i="2"/>
  <c r="I12" i="2"/>
  <c r="J12" i="2"/>
  <c r="K12" i="2"/>
  <c r="L12" i="2"/>
  <c r="M12" i="2"/>
  <c r="N12" i="2"/>
  <c r="O12" i="2"/>
  <c r="D12" i="2"/>
  <c r="D11" i="2"/>
  <c r="D10" i="2"/>
  <c r="D9" i="2"/>
  <c r="O14" i="2"/>
  <c r="N14" i="2"/>
  <c r="M14" i="2"/>
  <c r="L14" i="2"/>
  <c r="K14" i="2"/>
  <c r="J14" i="2"/>
  <c r="I14" i="2"/>
  <c r="H14" i="2"/>
  <c r="G14" i="2"/>
  <c r="F14" i="2"/>
  <c r="E14" i="2"/>
  <c r="D14" i="2"/>
  <c r="O13" i="2"/>
  <c r="N13" i="2"/>
  <c r="M13" i="2"/>
  <c r="L13" i="2"/>
  <c r="K13" i="2"/>
  <c r="J13" i="2"/>
  <c r="I13" i="2"/>
  <c r="H13" i="2"/>
  <c r="G13" i="2"/>
  <c r="F13" i="2"/>
  <c r="E13" i="2"/>
  <c r="D13" i="2"/>
  <c r="E6" i="4"/>
  <c r="E5" i="4"/>
  <c r="T11" i="16" l="1"/>
  <c r="S11" i="16" s="1"/>
  <c r="T15" i="16"/>
  <c r="S15" i="16" s="1"/>
  <c r="T19" i="16"/>
  <c r="S19" i="16" s="1"/>
  <c r="T20" i="16"/>
  <c r="S20" i="16" s="1"/>
  <c r="U46" i="4"/>
  <c r="X46" i="4" s="1"/>
  <c r="AN46" i="4" s="1"/>
  <c r="U34" i="4"/>
  <c r="U22" i="4"/>
  <c r="U10" i="4"/>
  <c r="AA12" i="4" s="1"/>
  <c r="AS12" i="4" s="1"/>
  <c r="U47" i="4"/>
  <c r="U35" i="4"/>
  <c r="U23" i="4"/>
  <c r="U11" i="4"/>
  <c r="T13" i="16"/>
  <c r="S13" i="16" s="1"/>
  <c r="T16" i="16"/>
  <c r="S16" i="16" s="1"/>
  <c r="T12" i="16"/>
  <c r="S12" i="16" s="1"/>
  <c r="X48" i="4"/>
  <c r="AN48" i="4" s="1"/>
  <c r="U44" i="4"/>
  <c r="U32" i="4"/>
  <c r="T31" i="4" s="1"/>
  <c r="U20" i="4"/>
  <c r="T21" i="4" s="1"/>
  <c r="U43" i="4"/>
  <c r="U31" i="4"/>
  <c r="U19" i="4"/>
  <c r="U7" i="4"/>
  <c r="U42" i="4"/>
  <c r="X42" i="4" s="1"/>
  <c r="AN42" i="4" s="1"/>
  <c r="U30" i="4"/>
  <c r="U18" i="4"/>
  <c r="U6" i="4"/>
  <c r="U41" i="4"/>
  <c r="X41" i="4" s="1"/>
  <c r="AN41" i="4" s="1"/>
  <c r="U29" i="4"/>
  <c r="U17" i="4"/>
  <c r="U8" i="4"/>
  <c r="AA6" i="4" s="1"/>
  <c r="AS6" i="4" s="1"/>
  <c r="AC45" i="4"/>
  <c r="AC44" i="4"/>
  <c r="AC43" i="4"/>
  <c r="AC42" i="4"/>
  <c r="AD45" i="4"/>
  <c r="AV45" i="4" s="1"/>
  <c r="AD44" i="4"/>
  <c r="AV44" i="4" s="1"/>
  <c r="AD43" i="4"/>
  <c r="AV43" i="4" s="1"/>
  <c r="AD42" i="4"/>
  <c r="AC34" i="4"/>
  <c r="AC33" i="4"/>
  <c r="AC32" i="4"/>
  <c r="AC31" i="4"/>
  <c r="AD34" i="4"/>
  <c r="AD33" i="4"/>
  <c r="AD32" i="4"/>
  <c r="AV32" i="4" s="1"/>
  <c r="AD31" i="4"/>
  <c r="AC19" i="4"/>
  <c r="AD18" i="4"/>
  <c r="AC18" i="4"/>
  <c r="AC17" i="4"/>
  <c r="AC16" i="4"/>
  <c r="AD19" i="4"/>
  <c r="AD17" i="4"/>
  <c r="AD16" i="4"/>
  <c r="U40" i="4"/>
  <c r="X40" i="4" s="1"/>
  <c r="AN40" i="4" s="1"/>
  <c r="U28" i="4"/>
  <c r="U16" i="4"/>
  <c r="T12" i="4"/>
  <c r="AC30" i="4"/>
  <c r="AC29" i="4"/>
  <c r="AC28" i="4"/>
  <c r="AC27" i="4"/>
  <c r="AD30" i="4"/>
  <c r="AD29" i="4"/>
  <c r="AD28" i="4"/>
  <c r="AD27" i="4"/>
  <c r="X45" i="4"/>
  <c r="AN45" i="4" s="1"/>
  <c r="U39" i="4"/>
  <c r="X39" i="4" s="1"/>
  <c r="AN39" i="4" s="1"/>
  <c r="U27" i="4"/>
  <c r="U15" i="4"/>
  <c r="T47" i="4"/>
  <c r="W47" i="4" s="1"/>
  <c r="AM47" i="4" s="1"/>
  <c r="AA11" i="4"/>
  <c r="AS11" i="4" s="1"/>
  <c r="AD38" i="4"/>
  <c r="AC38" i="4"/>
  <c r="AC41" i="4"/>
  <c r="AC40" i="4"/>
  <c r="AC39" i="4"/>
  <c r="AD41" i="4"/>
  <c r="AD39" i="4"/>
  <c r="AD40" i="4"/>
  <c r="U38" i="4"/>
  <c r="U26" i="4"/>
  <c r="U14" i="4"/>
  <c r="T46" i="4"/>
  <c r="W46" i="4" s="1"/>
  <c r="AM46" i="4" s="1"/>
  <c r="AA10" i="4"/>
  <c r="AS10" i="4" s="1"/>
  <c r="AC5" i="4"/>
  <c r="AC8" i="4"/>
  <c r="AC7" i="4"/>
  <c r="AC6" i="4"/>
  <c r="AD6" i="4"/>
  <c r="AD8" i="4"/>
  <c r="AD7" i="4"/>
  <c r="AD5" i="4"/>
  <c r="AB13" i="4"/>
  <c r="AT13" i="4" s="1"/>
  <c r="AD14" i="4"/>
  <c r="AD13" i="4"/>
  <c r="AC14" i="4"/>
  <c r="AU14" i="4" s="1"/>
  <c r="AC15" i="4"/>
  <c r="AU15" i="4" s="1"/>
  <c r="AC13" i="4"/>
  <c r="AD15" i="4"/>
  <c r="X43" i="4"/>
  <c r="AN43" i="4" s="1"/>
  <c r="U5" i="4"/>
  <c r="U37" i="4"/>
  <c r="T35" i="4" s="1"/>
  <c r="U25" i="4"/>
  <c r="U13" i="4"/>
  <c r="AA9" i="4"/>
  <c r="AS9" i="4" s="1"/>
  <c r="T9" i="4"/>
  <c r="AD26" i="4"/>
  <c r="AD25" i="4"/>
  <c r="AD24" i="4"/>
  <c r="AC26" i="4"/>
  <c r="AC25" i="4"/>
  <c r="AC24" i="4"/>
  <c r="T32" i="4"/>
  <c r="AA8" i="4"/>
  <c r="AS8" i="4" s="1"/>
  <c r="T8" i="4"/>
  <c r="AD37" i="4"/>
  <c r="AV37" i="4" s="1"/>
  <c r="AD36" i="4"/>
  <c r="AV36" i="4" s="1"/>
  <c r="AD35" i="4"/>
  <c r="AV35" i="4" s="1"/>
  <c r="AC37" i="4"/>
  <c r="AC36" i="4"/>
  <c r="AC35" i="4"/>
  <c r="T7" i="4"/>
  <c r="AC46" i="4"/>
  <c r="AD48" i="4"/>
  <c r="AV48" i="4" s="1"/>
  <c r="AD47" i="4"/>
  <c r="AD46" i="4"/>
  <c r="AV46" i="4" s="1"/>
  <c r="AC47" i="4"/>
  <c r="AC48" i="4"/>
  <c r="T6" i="4"/>
  <c r="AC10" i="4"/>
  <c r="AU10" i="4" s="1"/>
  <c r="AC9" i="4"/>
  <c r="AU9" i="4" s="1"/>
  <c r="AD12" i="4"/>
  <c r="AD11" i="4"/>
  <c r="AD10" i="4"/>
  <c r="AD9" i="4"/>
  <c r="AC12" i="4"/>
  <c r="AU12" i="4" s="1"/>
  <c r="AC11" i="4"/>
  <c r="AU11" i="4" s="1"/>
  <c r="X47" i="4"/>
  <c r="AN47" i="4" s="1"/>
  <c r="AC22" i="4"/>
  <c r="AU22" i="4" s="1"/>
  <c r="AC21" i="4"/>
  <c r="AU21" i="4" s="1"/>
  <c r="AC20" i="4"/>
  <c r="AU20" i="4" s="1"/>
  <c r="AD23" i="4"/>
  <c r="AD22" i="4"/>
  <c r="AD21" i="4"/>
  <c r="AD20" i="4"/>
  <c r="AC23" i="4"/>
  <c r="AU23" i="4" s="1"/>
  <c r="T14" i="16"/>
  <c r="S14" i="16" s="1"/>
  <c r="T18" i="16"/>
  <c r="S18" i="16" s="1"/>
  <c r="Q18" i="7"/>
  <c r="P18" i="7" s="1"/>
  <c r="F18" i="7" s="1"/>
  <c r="G10" i="16"/>
  <c r="S10" i="16"/>
  <c r="AB5" i="4"/>
  <c r="AT5" i="4" s="1"/>
  <c r="AB24" i="4"/>
  <c r="AT24" i="4" s="1"/>
  <c r="AB16" i="4"/>
  <c r="AT16" i="4" s="1"/>
  <c r="AB27" i="4"/>
  <c r="AT27" i="4" s="1"/>
  <c r="AB35" i="4"/>
  <c r="AT35" i="4" s="1"/>
  <c r="AB38" i="4"/>
  <c r="AT38" i="4" s="1"/>
  <c r="AB46" i="4"/>
  <c r="AT46" i="4" s="1"/>
  <c r="AV47" i="4"/>
  <c r="AB9" i="4"/>
  <c r="AT9" i="4" s="1"/>
  <c r="AB20" i="4"/>
  <c r="AT20" i="4" s="1"/>
  <c r="AB31" i="4"/>
  <c r="AT31" i="4" s="1"/>
  <c r="AV33" i="4"/>
  <c r="AV34" i="4"/>
  <c r="AV31" i="4"/>
  <c r="AB42" i="4"/>
  <c r="AT42" i="4" s="1"/>
  <c r="AV42" i="4"/>
  <c r="AG38" i="7"/>
  <c r="AE38" i="7" s="1"/>
  <c r="G24" i="7"/>
  <c r="W24" i="7" s="1"/>
  <c r="AH10" i="7"/>
  <c r="AH28" i="7" s="1"/>
  <c r="AG10" i="7"/>
  <c r="AG27" i="7" s="1"/>
  <c r="AF10" i="7"/>
  <c r="AF26" i="7" s="1"/>
  <c r="V24" i="7"/>
  <c r="AC24" i="7"/>
  <c r="AA24" i="7"/>
  <c r="AB24" i="7"/>
  <c r="AU13" i="4"/>
  <c r="H25" i="7"/>
  <c r="P19" i="7"/>
  <c r="F19" i="7" s="1"/>
  <c r="U19" i="7"/>
  <c r="G19" i="7" s="1"/>
  <c r="M19" i="4"/>
  <c r="M18" i="4"/>
  <c r="M17" i="4"/>
  <c r="M20" i="4"/>
  <c r="M16" i="4"/>
  <c r="M35" i="4"/>
  <c r="M14" i="4"/>
  <c r="M34" i="4"/>
  <c r="M8" i="4"/>
  <c r="M23" i="4"/>
  <c r="M32" i="4"/>
  <c r="M6" i="4"/>
  <c r="M31" i="4"/>
  <c r="M30" i="4"/>
  <c r="M29" i="4"/>
  <c r="M28" i="4"/>
  <c r="M13" i="4"/>
  <c r="M26" i="4"/>
  <c r="M12" i="4"/>
  <c r="N28" i="4"/>
  <c r="AG7" i="7"/>
  <c r="AG15" i="7" s="1"/>
  <c r="M37" i="4"/>
  <c r="M25" i="4"/>
  <c r="M11" i="4"/>
  <c r="M5" i="4"/>
  <c r="M36" i="4"/>
  <c r="M24" i="4"/>
  <c r="M10" i="4"/>
  <c r="N34" i="4"/>
  <c r="X34" i="4" s="1"/>
  <c r="AN34" i="4" s="1"/>
  <c r="M22" i="4"/>
  <c r="M7" i="4"/>
  <c r="N33" i="4"/>
  <c r="X33" i="4" s="1"/>
  <c r="AN33" i="4" s="1"/>
  <c r="N27" i="4"/>
  <c r="M33" i="4"/>
  <c r="M27" i="4"/>
  <c r="M21" i="4"/>
  <c r="M15" i="4"/>
  <c r="M9" i="4"/>
  <c r="N32" i="4"/>
  <c r="N37" i="4"/>
  <c r="X37" i="4" s="1"/>
  <c r="AN37" i="4" s="1"/>
  <c r="N31" i="4"/>
  <c r="X31" i="4" s="1"/>
  <c r="AN31" i="4" s="1"/>
  <c r="N36" i="4"/>
  <c r="X36" i="4" s="1"/>
  <c r="AN36" i="4" s="1"/>
  <c r="N30" i="4"/>
  <c r="W17" i="7"/>
  <c r="AG42" i="7"/>
  <c r="X17" i="7"/>
  <c r="AC42" i="7" s="1"/>
  <c r="AH42" i="7"/>
  <c r="V17" i="7"/>
  <c r="AA42" i="7" s="1"/>
  <c r="AF42" i="7"/>
  <c r="N35" i="4"/>
  <c r="X35" i="4" s="1"/>
  <c r="AN35" i="4" s="1"/>
  <c r="N29" i="4"/>
  <c r="S10" i="2" a="1"/>
  <c r="S10" i="2" s="1"/>
  <c r="S15" i="2" a="1"/>
  <c r="S15" i="2" s="1"/>
  <c r="R12" i="2" a="1"/>
  <c r="R12" i="2" s="1"/>
  <c r="R9" i="2" a="1"/>
  <c r="R9" i="2" s="1"/>
  <c r="S9" i="2" s="1" a="1"/>
  <c r="S9" i="2" s="1"/>
  <c r="R8" i="2" a="1"/>
  <c r="R8" i="2" s="1"/>
  <c r="S6" i="2" a="1"/>
  <c r="S6" i="2" s="1"/>
  <c r="R14" i="2" a="1"/>
  <c r="R14" i="2" s="1"/>
  <c r="S11" i="2" a="1"/>
  <c r="S11" i="2" s="1"/>
  <c r="T11" i="2" s="1" a="1"/>
  <c r="T11" i="2" s="1"/>
  <c r="R5" i="2" a="1"/>
  <c r="R5" i="2" s="1"/>
  <c r="T7" i="2" a="1"/>
  <c r="T7" i="2" s="1"/>
  <c r="U7" i="2" s="1" a="1"/>
  <c r="U7" i="2" s="1"/>
  <c r="S13" i="2" a="1"/>
  <c r="S13" i="2" s="1"/>
  <c r="AG22" i="7" a="1"/>
  <c r="AG22" i="7" s="1"/>
  <c r="Q22" i="7" a="1"/>
  <c r="Q22" i="7" s="1"/>
  <c r="V22" i="7" a="1"/>
  <c r="V22" i="7" s="1"/>
  <c r="R22" i="7" a="1"/>
  <c r="R22" i="7" s="1"/>
  <c r="W22" i="7" a="1"/>
  <c r="W22" i="7" s="1"/>
  <c r="S22" i="7" a="1"/>
  <c r="S22" i="7" s="1"/>
  <c r="X22" i="7" a="1"/>
  <c r="X22" i="7" s="1"/>
  <c r="AB10" i="4"/>
  <c r="AT10" i="4" s="1"/>
  <c r="AB12" i="4"/>
  <c r="AT12" i="4" s="1"/>
  <c r="AH7" i="7"/>
  <c r="AH15" i="7" s="1"/>
  <c r="AA7" i="7"/>
  <c r="AA15" i="7" s="1"/>
  <c r="AB7" i="7"/>
  <c r="AB15" i="7" s="1"/>
  <c r="Q7" i="7"/>
  <c r="Q15" i="7" s="1"/>
  <c r="AC7" i="7"/>
  <c r="AC15" i="7" s="1"/>
  <c r="R7" i="7"/>
  <c r="R15" i="7" s="1"/>
  <c r="V7" i="7"/>
  <c r="V15" i="7" s="1"/>
  <c r="S7" i="7"/>
  <c r="S15" i="7" s="1"/>
  <c r="W7" i="7"/>
  <c r="W15" i="7" s="1"/>
  <c r="Q8" i="7"/>
  <c r="Q16" i="7" s="1"/>
  <c r="X7" i="7"/>
  <c r="X15" i="7" s="1"/>
  <c r="R8" i="7"/>
  <c r="R16" i="7" s="1"/>
  <c r="V8" i="7"/>
  <c r="S8" i="7"/>
  <c r="S16" i="7" s="1"/>
  <c r="W8" i="7"/>
  <c r="X8" i="7"/>
  <c r="AF7" i="7"/>
  <c r="AF15" i="7" s="1"/>
  <c r="H25" i="4"/>
  <c r="G56" i="9"/>
  <c r="AA22" i="7" a="1"/>
  <c r="AA22" i="7" s="1"/>
  <c r="AB22" i="7" a="1"/>
  <c r="AB22" i="7" s="1"/>
  <c r="AC22" i="7" a="1"/>
  <c r="AC22" i="7" s="1"/>
  <c r="AH22" i="7" a="1"/>
  <c r="AH22" i="7" s="1"/>
  <c r="AF22" i="7" a="1"/>
  <c r="AF22" i="7" s="1"/>
  <c r="H17" i="4"/>
  <c r="H19" i="4"/>
  <c r="H22" i="4"/>
  <c r="H40" i="4"/>
  <c r="H41" i="4"/>
  <c r="H42" i="4"/>
  <c r="H43" i="4"/>
  <c r="H44" i="4"/>
  <c r="H45" i="4"/>
  <c r="H39" i="4"/>
  <c r="H47" i="4"/>
  <c r="H46" i="4"/>
  <c r="H48" i="4"/>
  <c r="H38" i="4"/>
  <c r="H30" i="4"/>
  <c r="H32" i="4"/>
  <c r="H34" i="4"/>
  <c r="H28" i="4"/>
  <c r="H37" i="4"/>
  <c r="H27" i="4"/>
  <c r="H31" i="4"/>
  <c r="H36" i="4"/>
  <c r="H35" i="4"/>
  <c r="H21" i="4"/>
  <c r="H18" i="4"/>
  <c r="H26" i="4"/>
  <c r="H24" i="4"/>
  <c r="H20" i="4"/>
  <c r="H16" i="4"/>
  <c r="H23" i="4"/>
  <c r="H33" i="4"/>
  <c r="H29" i="4"/>
  <c r="J43" i="9"/>
  <c r="J39" i="9"/>
  <c r="J38" i="9"/>
  <c r="J46" i="9"/>
  <c r="J42" i="9"/>
  <c r="J31" i="9"/>
  <c r="J34" i="9"/>
  <c r="J29" i="9"/>
  <c r="J27" i="9"/>
  <c r="J25" i="9"/>
  <c r="J21" i="9"/>
  <c r="J24" i="9"/>
  <c r="J20" i="9"/>
  <c r="J23" i="9"/>
  <c r="J22" i="9"/>
  <c r="J19" i="9"/>
  <c r="J14" i="9"/>
  <c r="J9" i="9"/>
  <c r="J13" i="9"/>
  <c r="J15" i="9"/>
  <c r="J5" i="9"/>
  <c r="AE12" i="7"/>
  <c r="H8" i="7"/>
  <c r="G15" i="7"/>
  <c r="H15" i="7"/>
  <c r="H5" i="4"/>
  <c r="H13" i="4"/>
  <c r="H11" i="4"/>
  <c r="D1" i="2"/>
  <c r="D3" i="2"/>
  <c r="E1" i="2"/>
  <c r="X30" i="4" l="1"/>
  <c r="AN30" i="4" s="1"/>
  <c r="W7" i="4"/>
  <c r="AM7" i="4" s="1"/>
  <c r="W12" i="4"/>
  <c r="AM12" i="4" s="1"/>
  <c r="T10" i="4"/>
  <c r="T11" i="4"/>
  <c r="W10" i="4"/>
  <c r="AM10" i="4" s="1"/>
  <c r="T15" i="4"/>
  <c r="W15" i="4" s="1"/>
  <c r="AM15" i="4" s="1"/>
  <c r="T20" i="4"/>
  <c r="W20" i="4" s="1"/>
  <c r="AM20" i="4" s="1"/>
  <c r="AO47" i="4"/>
  <c r="AA5" i="4"/>
  <c r="AS5" i="4" s="1"/>
  <c r="T33" i="4"/>
  <c r="T19" i="4"/>
  <c r="AO46" i="4"/>
  <c r="T26" i="4"/>
  <c r="T17" i="4"/>
  <c r="T23" i="4"/>
  <c r="T48" i="4"/>
  <c r="W48" i="4" s="1"/>
  <c r="AM48" i="4" s="1"/>
  <c r="W8" i="4"/>
  <c r="AM8" i="4" s="1"/>
  <c r="T22" i="4"/>
  <c r="W22" i="4" s="1"/>
  <c r="AM22" i="4" s="1"/>
  <c r="T34" i="4"/>
  <c r="W34" i="4" s="1"/>
  <c r="AM34" i="4" s="1"/>
  <c r="T45" i="4"/>
  <c r="W45" i="4" s="1"/>
  <c r="AM45" i="4" s="1"/>
  <c r="X29" i="4"/>
  <c r="AN29" i="4" s="1"/>
  <c r="X32" i="4"/>
  <c r="AN32" i="4" s="1"/>
  <c r="T28" i="4"/>
  <c r="T18" i="4"/>
  <c r="W18" i="4" s="1"/>
  <c r="AM18" i="4" s="1"/>
  <c r="W11" i="4"/>
  <c r="AM11" i="4" s="1"/>
  <c r="W33" i="4"/>
  <c r="AM33" i="4" s="1"/>
  <c r="W23" i="4"/>
  <c r="AM23" i="4" s="1"/>
  <c r="X44" i="4"/>
  <c r="AN44" i="4" s="1"/>
  <c r="AA7" i="4"/>
  <c r="AS7" i="4" s="1"/>
  <c r="T16" i="4"/>
  <c r="W16" i="4" s="1"/>
  <c r="AM16" i="4" s="1"/>
  <c r="T44" i="4"/>
  <c r="W44" i="4" s="1"/>
  <c r="AM44" i="4" s="1"/>
  <c r="W31" i="4"/>
  <c r="AM31" i="4" s="1"/>
  <c r="W19" i="4"/>
  <c r="AM19" i="4" s="1"/>
  <c r="T43" i="4"/>
  <c r="W43" i="4" s="1"/>
  <c r="AM43" i="4" s="1"/>
  <c r="W21" i="4"/>
  <c r="AM21" i="4" s="1"/>
  <c r="W6" i="4"/>
  <c r="AM6" i="4" s="1"/>
  <c r="T42" i="4"/>
  <c r="W42" i="4" s="1"/>
  <c r="AM42" i="4" s="1"/>
  <c r="W32" i="4"/>
  <c r="AM32" i="4" s="1"/>
  <c r="X27" i="4"/>
  <c r="AN27" i="4" s="1"/>
  <c r="T29" i="4"/>
  <c r="W29" i="4" s="1"/>
  <c r="AM29" i="4" s="1"/>
  <c r="T30" i="4"/>
  <c r="W30" i="4" s="1"/>
  <c r="AM30" i="4" s="1"/>
  <c r="W9" i="4"/>
  <c r="AM9" i="4" s="1"/>
  <c r="T39" i="4"/>
  <c r="W39" i="4" s="1"/>
  <c r="AM39" i="4" s="1"/>
  <c r="X28" i="4"/>
  <c r="AN28" i="4" s="1"/>
  <c r="T13" i="4"/>
  <c r="W13" i="4" s="1"/>
  <c r="AM13" i="4" s="1"/>
  <c r="T41" i="4"/>
  <c r="W41" i="4" s="1"/>
  <c r="AM41" i="4" s="1"/>
  <c r="AA13" i="4"/>
  <c r="AS13" i="4" s="1"/>
  <c r="X38" i="4"/>
  <c r="AN38" i="4" s="1"/>
  <c r="T25" i="4"/>
  <c r="W25" i="4" s="1"/>
  <c r="AM25" i="4" s="1"/>
  <c r="T24" i="4"/>
  <c r="W24" i="4" s="1"/>
  <c r="AM24" i="4" s="1"/>
  <c r="T37" i="4"/>
  <c r="W37" i="4" s="1"/>
  <c r="AM37" i="4" s="1"/>
  <c r="T36" i="4"/>
  <c r="W36" i="4" s="1"/>
  <c r="AM36" i="4" s="1"/>
  <c r="W26" i="4"/>
  <c r="AM26" i="4" s="1"/>
  <c r="W35" i="4"/>
  <c r="AM35" i="4" s="1"/>
  <c r="T14" i="4"/>
  <c r="W14" i="4" s="1"/>
  <c r="AM14" i="4" s="1"/>
  <c r="T38" i="4"/>
  <c r="W38" i="4" s="1"/>
  <c r="AM38" i="4" s="1"/>
  <c r="AA15" i="4"/>
  <c r="AS15" i="4" s="1"/>
  <c r="AA14" i="4"/>
  <c r="AS14" i="4" s="1"/>
  <c r="T5" i="4"/>
  <c r="W5" i="4" s="1"/>
  <c r="AM5" i="4" s="1"/>
  <c r="T27" i="4"/>
  <c r="W27" i="4" s="1"/>
  <c r="AM27" i="4" s="1"/>
  <c r="W28" i="4"/>
  <c r="AM28" i="4" s="1"/>
  <c r="W17" i="4"/>
  <c r="AM17" i="4" s="1"/>
  <c r="T40" i="4"/>
  <c r="W40" i="4" s="1"/>
  <c r="AM40" i="4" s="1"/>
  <c r="X24" i="7"/>
  <c r="W40" i="7"/>
  <c r="AU26" i="4"/>
  <c r="AU25" i="4"/>
  <c r="AU24" i="4"/>
  <c r="F24" i="7"/>
  <c r="AU32" i="4"/>
  <c r="AU31" i="4"/>
  <c r="AU34" i="4"/>
  <c r="AU33" i="4"/>
  <c r="Z24" i="7"/>
  <c r="Z27" i="7"/>
  <c r="H27" i="7" s="1"/>
  <c r="Z28" i="7"/>
  <c r="H28" i="7" s="1"/>
  <c r="U24" i="7"/>
  <c r="G25" i="7"/>
  <c r="AB25" i="7"/>
  <c r="AC25" i="7"/>
  <c r="AA25" i="7"/>
  <c r="AF40" i="7"/>
  <c r="X40" i="7"/>
  <c r="AP5" i="4"/>
  <c r="AC40" i="7"/>
  <c r="V40" i="7"/>
  <c r="AA40" i="7"/>
  <c r="R17" i="7"/>
  <c r="W42" i="7" s="1"/>
  <c r="N17" i="4"/>
  <c r="X17" i="4" s="1"/>
  <c r="AN17" i="4" s="1"/>
  <c r="N23" i="4"/>
  <c r="X23" i="4" s="1"/>
  <c r="AN23" i="4" s="1"/>
  <c r="N18" i="4"/>
  <c r="X18" i="4" s="1"/>
  <c r="AN18" i="4" s="1"/>
  <c r="N24" i="4"/>
  <c r="X24" i="4" s="1"/>
  <c r="AN24" i="4" s="1"/>
  <c r="N19" i="4"/>
  <c r="X19" i="4" s="1"/>
  <c r="AN19" i="4" s="1"/>
  <c r="N25" i="4"/>
  <c r="X25" i="4" s="1"/>
  <c r="AN25" i="4" s="1"/>
  <c r="N20" i="4"/>
  <c r="X20" i="4" s="1"/>
  <c r="AN20" i="4" s="1"/>
  <c r="N26" i="4"/>
  <c r="X26" i="4" s="1"/>
  <c r="AN26" i="4" s="1"/>
  <c r="N16" i="4"/>
  <c r="X16" i="4" s="1"/>
  <c r="AN16" i="4" s="1"/>
  <c r="N22" i="4"/>
  <c r="X22" i="4" s="1"/>
  <c r="AN22" i="4" s="1"/>
  <c r="N21" i="4"/>
  <c r="X21" i="4" s="1"/>
  <c r="AN21" i="4" s="1"/>
  <c r="AH40" i="7"/>
  <c r="AE42" i="7"/>
  <c r="AG40" i="7"/>
  <c r="Q17" i="7"/>
  <c r="V42" i="7" s="1"/>
  <c r="S17" i="7"/>
  <c r="X42" i="7" s="1"/>
  <c r="AB42" i="7"/>
  <c r="Z42" i="7" s="1"/>
  <c r="AB40" i="7"/>
  <c r="V45" i="7"/>
  <c r="T10" i="2" a="1"/>
  <c r="T10" i="2" s="1"/>
  <c r="T15" i="2" a="1"/>
  <c r="T15" i="2" s="1"/>
  <c r="T9" i="2" a="1"/>
  <c r="T9" i="2" s="1"/>
  <c r="U9" i="2" s="1" a="1"/>
  <c r="U9" i="2" s="1"/>
  <c r="S12" i="2" a="1"/>
  <c r="S12" i="2" s="1"/>
  <c r="S8" i="2" a="1"/>
  <c r="S8" i="2" s="1"/>
  <c r="T6" i="2" a="1"/>
  <c r="T6" i="2" s="1"/>
  <c r="V6" i="2" s="1" a="1"/>
  <c r="V6" i="2" s="1"/>
  <c r="U6" i="2" a="1"/>
  <c r="U6" i="2" s="1"/>
  <c r="S14" i="2" a="1"/>
  <c r="S14" i="2" s="1"/>
  <c r="U11" i="2" a="1"/>
  <c r="U11" i="2" s="1"/>
  <c r="V11" i="2" s="1" a="1"/>
  <c r="V11" i="2" s="1"/>
  <c r="S5" i="2" a="1"/>
  <c r="S5" i="2" s="1"/>
  <c r="V7" i="2" a="1"/>
  <c r="V7" i="2" s="1"/>
  <c r="T13" i="2" a="1"/>
  <c r="T13" i="2" s="1"/>
  <c r="W45" i="7"/>
  <c r="X45" i="7"/>
  <c r="AB45" i="7"/>
  <c r="AC45" i="7"/>
  <c r="AA45" i="7"/>
  <c r="AF45" i="7"/>
  <c r="AH45" i="7"/>
  <c r="AG45" i="7"/>
  <c r="U22" i="7"/>
  <c r="G22" i="7" s="1"/>
  <c r="P22" i="7"/>
  <c r="F22" i="7" s="1"/>
  <c r="P15" i="7"/>
  <c r="P16" i="7"/>
  <c r="AC8" i="7"/>
  <c r="AC16" i="7" s="1"/>
  <c r="AB8" i="7"/>
  <c r="AB16" i="7" s="1"/>
  <c r="AA8" i="7"/>
  <c r="AA16" i="7" s="1"/>
  <c r="I8" i="7"/>
  <c r="I16" i="7" s="1"/>
  <c r="X16" i="7"/>
  <c r="X41" i="7" s="1"/>
  <c r="W16" i="7"/>
  <c r="W41" i="7" s="1"/>
  <c r="V16" i="7"/>
  <c r="V41" i="7" s="1"/>
  <c r="U15" i="7"/>
  <c r="Z15" i="7"/>
  <c r="J49" i="9"/>
  <c r="H16" i="7"/>
  <c r="H14" i="4"/>
  <c r="H6" i="4"/>
  <c r="H15" i="4"/>
  <c r="H9" i="4"/>
  <c r="H7" i="4"/>
  <c r="H8" i="4"/>
  <c r="E3" i="2"/>
  <c r="AO31" i="4" l="1"/>
  <c r="AO45" i="4"/>
  <c r="AO40" i="4"/>
  <c r="AO38" i="4"/>
  <c r="AO35" i="4"/>
  <c r="AO39" i="4"/>
  <c r="AO34" i="4"/>
  <c r="AO30" i="4"/>
  <c r="AO37" i="4"/>
  <c r="AO29" i="4"/>
  <c r="AO48" i="4"/>
  <c r="AO17" i="4"/>
  <c r="AO27" i="4"/>
  <c r="AO24" i="4"/>
  <c r="AO23" i="4"/>
  <c r="AO28" i="4"/>
  <c r="AO25" i="4"/>
  <c r="AO32" i="4"/>
  <c r="AO33" i="4"/>
  <c r="AO22" i="4"/>
  <c r="AO36" i="4"/>
  <c r="AO42" i="4"/>
  <c r="AO41" i="4"/>
  <c r="AO43" i="4"/>
  <c r="AO16" i="4"/>
  <c r="AO44" i="4"/>
  <c r="AO26" i="4"/>
  <c r="AO20" i="4"/>
  <c r="AO18" i="4"/>
  <c r="AO21" i="4"/>
  <c r="AO19" i="4"/>
  <c r="AV24" i="4"/>
  <c r="AV25" i="4"/>
  <c r="AV26" i="4"/>
  <c r="AV20" i="4"/>
  <c r="AV21" i="4"/>
  <c r="AV23" i="4"/>
  <c r="AV22" i="4"/>
  <c r="Z25" i="7"/>
  <c r="R24" i="7"/>
  <c r="AU44" i="4"/>
  <c r="AU43" i="4"/>
  <c r="AU42" i="4"/>
  <c r="AU45" i="4"/>
  <c r="S24" i="7"/>
  <c r="Q24" i="7"/>
  <c r="AU37" i="4"/>
  <c r="AU36" i="4"/>
  <c r="AU35" i="4"/>
  <c r="AE27" i="7"/>
  <c r="I27" i="7" s="1"/>
  <c r="AE28" i="7"/>
  <c r="I28" i="7" s="1"/>
  <c r="U40" i="7"/>
  <c r="F25" i="7"/>
  <c r="W25" i="7"/>
  <c r="V25" i="7"/>
  <c r="X25" i="7"/>
  <c r="AE40" i="7"/>
  <c r="AA41" i="7"/>
  <c r="U42" i="7"/>
  <c r="U41" i="7"/>
  <c r="P17" i="7"/>
  <c r="F17" i="7" s="1"/>
  <c r="F20" i="7" s="1"/>
  <c r="G20" i="7" s="1"/>
  <c r="H20" i="7" s="1"/>
  <c r="I20" i="7" s="1"/>
  <c r="N11" i="4"/>
  <c r="X11" i="4" s="1"/>
  <c r="AN11" i="4" s="1"/>
  <c r="AO11" i="4" s="1"/>
  <c r="N6" i="4"/>
  <c r="X6" i="4" s="1"/>
  <c r="AN6" i="4" s="1"/>
  <c r="AO6" i="4" s="1"/>
  <c r="N12" i="4"/>
  <c r="X12" i="4" s="1"/>
  <c r="AN12" i="4" s="1"/>
  <c r="AO12" i="4" s="1"/>
  <c r="N7" i="4"/>
  <c r="X7" i="4" s="1"/>
  <c r="AN7" i="4" s="1"/>
  <c r="AO7" i="4" s="1"/>
  <c r="N13" i="4"/>
  <c r="X13" i="4" s="1"/>
  <c r="AN13" i="4" s="1"/>
  <c r="AO13" i="4" s="1"/>
  <c r="N5" i="4"/>
  <c r="X5" i="4" s="1"/>
  <c r="AN5" i="4" s="1"/>
  <c r="N8" i="4"/>
  <c r="X8" i="4" s="1"/>
  <c r="AN8" i="4" s="1"/>
  <c r="AO8" i="4" s="1"/>
  <c r="N14" i="4"/>
  <c r="X14" i="4" s="1"/>
  <c r="AN14" i="4" s="1"/>
  <c r="AO14" i="4" s="1"/>
  <c r="N9" i="4"/>
  <c r="X9" i="4" s="1"/>
  <c r="AN9" i="4" s="1"/>
  <c r="AO9" i="4" s="1"/>
  <c r="N15" i="4"/>
  <c r="X15" i="4" s="1"/>
  <c r="AN15" i="4" s="1"/>
  <c r="AO15" i="4" s="1"/>
  <c r="N10" i="4"/>
  <c r="X10" i="4" s="1"/>
  <c r="AN10" i="4" s="1"/>
  <c r="AO10" i="4" s="1"/>
  <c r="AC41" i="7"/>
  <c r="AB41" i="7"/>
  <c r="Z40" i="7"/>
  <c r="U45" i="7"/>
  <c r="U10" i="2" a="1"/>
  <c r="U10" i="2" s="1"/>
  <c r="U15" i="2" a="1"/>
  <c r="U15" i="2" s="1"/>
  <c r="V15" i="2" s="1" a="1"/>
  <c r="V15" i="2" s="1"/>
  <c r="V9" i="2" a="1"/>
  <c r="V9" i="2" s="1"/>
  <c r="W9" i="2" a="1"/>
  <c r="W9" i="2" s="1"/>
  <c r="T12" i="2" a="1"/>
  <c r="T12" i="2" s="1"/>
  <c r="V12" i="2" s="1" a="1"/>
  <c r="V12" i="2" s="1"/>
  <c r="U12" i="2" a="1"/>
  <c r="U12" i="2" s="1"/>
  <c r="T8" i="2" a="1"/>
  <c r="T8" i="2" s="1"/>
  <c r="W6" i="2" a="1"/>
  <c r="W6" i="2" s="1"/>
  <c r="U14" i="2" a="1"/>
  <c r="U14" i="2" s="1"/>
  <c r="T14" i="2" a="1"/>
  <c r="T14" i="2" s="1"/>
  <c r="W11" i="2" a="1"/>
  <c r="W11" i="2" s="1"/>
  <c r="T5" i="2" a="1"/>
  <c r="T5" i="2" s="1"/>
  <c r="U13" i="2" a="1"/>
  <c r="U13" i="2" s="1"/>
  <c r="W7" i="2" a="1"/>
  <c r="W7" i="2" s="1"/>
  <c r="Z45" i="7"/>
  <c r="AE45" i="7"/>
  <c r="AH8" i="7"/>
  <c r="AH16" i="7" s="1"/>
  <c r="AH41" i="7" s="1"/>
  <c r="AG8" i="7"/>
  <c r="AG16" i="7" s="1"/>
  <c r="AG41" i="7" s="1"/>
  <c r="AF8" i="7"/>
  <c r="AF16" i="7" s="1"/>
  <c r="AF41" i="7" s="1"/>
  <c r="U16" i="7"/>
  <c r="Z16" i="7"/>
  <c r="H49" i="4"/>
  <c r="G1" i="2"/>
  <c r="G3" i="2"/>
  <c r="F1" i="2"/>
  <c r="F3" i="2"/>
  <c r="H3" i="2"/>
  <c r="H1" i="2"/>
  <c r="AO5" i="4" l="1"/>
  <c r="AV12" i="4"/>
  <c r="AV11" i="4"/>
  <c r="AV9" i="4"/>
  <c r="AV10" i="4"/>
  <c r="AV13" i="4"/>
  <c r="AV14" i="4"/>
  <c r="AV15" i="4"/>
  <c r="P24" i="7"/>
  <c r="AU46" i="4"/>
  <c r="AU48" i="4"/>
  <c r="AU47" i="4"/>
  <c r="U25" i="7"/>
  <c r="Q25" i="7"/>
  <c r="R25" i="7"/>
  <c r="S25" i="7"/>
  <c r="Z41" i="7"/>
  <c r="AE41" i="7"/>
  <c r="V10" i="2" a="1"/>
  <c r="V10" i="2" s="1"/>
  <c r="W10" i="2" s="1" a="1"/>
  <c r="W10" i="2" s="1"/>
  <c r="W15" i="2" a="1"/>
  <c r="W15" i="2" s="1"/>
  <c r="W12" i="2" a="1"/>
  <c r="W12" i="2" s="1"/>
  <c r="X12" i="2" a="1"/>
  <c r="X12" i="2" s="1"/>
  <c r="Y12" i="2" s="1" a="1"/>
  <c r="Y12" i="2" s="1"/>
  <c r="X9" i="2" a="1"/>
  <c r="X9" i="2" s="1"/>
  <c r="U8" i="2" a="1"/>
  <c r="U8" i="2" s="1"/>
  <c r="V8" i="2" s="1" a="1"/>
  <c r="V8" i="2" s="1"/>
  <c r="X6" i="2" a="1"/>
  <c r="X6" i="2" s="1"/>
  <c r="Y6" i="2" a="1"/>
  <c r="Y6" i="2" s="1"/>
  <c r="Z6" i="2" s="1" a="1"/>
  <c r="Z6" i="2" s="1"/>
  <c r="V14" i="2" a="1"/>
  <c r="V14" i="2" s="1"/>
  <c r="X11" i="2" a="1"/>
  <c r="X11" i="2" s="1"/>
  <c r="Y11" i="2" s="1" a="1"/>
  <c r="Y11" i="2" s="1"/>
  <c r="U5" i="2" a="1"/>
  <c r="U5" i="2" s="1"/>
  <c r="V5" i="2" a="1"/>
  <c r="V5" i="2" s="1"/>
  <c r="W5" i="2" a="1"/>
  <c r="W5" i="2" s="1"/>
  <c r="X5" i="2" s="1" a="1"/>
  <c r="X5" i="2" s="1"/>
  <c r="Z7" i="2" a="1"/>
  <c r="Z7" i="2" s="1"/>
  <c r="AA7" i="2" s="1" a="1"/>
  <c r="AA7" i="2" s="1"/>
  <c r="X7" i="2" a="1"/>
  <c r="X7" i="2" s="1"/>
  <c r="Y7" i="2" a="1"/>
  <c r="Y7" i="2" s="1"/>
  <c r="W13" i="2" a="1"/>
  <c r="W13" i="2" s="1"/>
  <c r="V13" i="2" a="1"/>
  <c r="V13" i="2" s="1"/>
  <c r="I3" i="2"/>
  <c r="I1" i="2"/>
  <c r="F25" i="16" l="1"/>
  <c r="P25" i="7"/>
  <c r="X10" i="2" a="1"/>
  <c r="X10" i="2" s="1"/>
  <c r="X15" i="2" a="1"/>
  <c r="X15" i="2" s="1"/>
  <c r="Z12" i="2" a="1"/>
  <c r="Z12" i="2" s="1"/>
  <c r="AA12" i="2" a="1"/>
  <c r="AA12" i="2" s="1"/>
  <c r="Y9" i="2" a="1"/>
  <c r="Y9" i="2" s="1"/>
  <c r="Z9" i="2" s="1" a="1"/>
  <c r="Z9" i="2" s="1"/>
  <c r="W8" i="2" a="1"/>
  <c r="W8" i="2" s="1"/>
  <c r="AA6" i="2" a="1"/>
  <c r="AA6" i="2" s="1"/>
  <c r="W14" i="2" a="1"/>
  <c r="W14" i="2" s="1"/>
  <c r="X14" i="2" s="1" a="1"/>
  <c r="X14" i="2" s="1"/>
  <c r="Z11" i="2" a="1"/>
  <c r="Z11" i="2" s="1"/>
  <c r="AA11" i="2" a="1"/>
  <c r="AA11" i="2" s="1"/>
  <c r="Y5" i="2" a="1"/>
  <c r="Y5" i="2" s="1"/>
  <c r="Z5" i="2" s="1" a="1"/>
  <c r="Z5" i="2" s="1"/>
  <c r="X13" i="2" a="1"/>
  <c r="X13" i="2" s="1"/>
  <c r="AJ12" i="4"/>
  <c r="AI12" i="4" s="1"/>
  <c r="AH12" i="4" s="1"/>
  <c r="AG12" i="4" s="1"/>
  <c r="AE15" i="7"/>
  <c r="AE16" i="7"/>
  <c r="J1" i="2"/>
  <c r="J3" i="2"/>
  <c r="T25" i="16" l="1"/>
  <c r="G25" i="16"/>
  <c r="Y10" i="2" a="1"/>
  <c r="Y10" i="2" s="1"/>
  <c r="Z10" i="2" s="1" a="1"/>
  <c r="Z10" i="2" s="1"/>
  <c r="Y15" i="2" a="1"/>
  <c r="Y15" i="2" s="1"/>
  <c r="AA9" i="2" a="1"/>
  <c r="AA9" i="2" s="1"/>
  <c r="X8" i="2" a="1"/>
  <c r="X8" i="2" s="1"/>
  <c r="Y8" i="2" s="1" a="1"/>
  <c r="Y8" i="2" s="1"/>
  <c r="Z8" i="2" s="1" a="1"/>
  <c r="Z8" i="2" s="1"/>
  <c r="Y14" i="2" a="1"/>
  <c r="Y14" i="2" s="1"/>
  <c r="Z14" i="2" s="1" a="1"/>
  <c r="Z14" i="2" s="1"/>
  <c r="AA5" i="2" a="1"/>
  <c r="AA5" i="2" s="1"/>
  <c r="AB6" i="2" a="1"/>
  <c r="AB6" i="2" s="1"/>
  <c r="AB11" i="2" a="1"/>
  <c r="AB11" i="2" s="1"/>
  <c r="AC11" i="2" s="1" a="1"/>
  <c r="AC11" i="2" s="1"/>
  <c r="Y13" i="2" a="1"/>
  <c r="Y13" i="2" s="1"/>
  <c r="AB7" i="2" a="1"/>
  <c r="AB7" i="2" s="1"/>
  <c r="AJ9" i="4"/>
  <c r="AI9" i="4" s="1"/>
  <c r="AH9" i="4" s="1"/>
  <c r="AG9" i="4" s="1"/>
  <c r="AE22" i="7"/>
  <c r="I22" i="7" s="1"/>
  <c r="AJ10" i="4"/>
  <c r="AI10" i="4" s="1"/>
  <c r="AH10" i="4" s="1"/>
  <c r="AG10" i="4" s="1"/>
  <c r="AJ11" i="4"/>
  <c r="AI11" i="4" s="1"/>
  <c r="AH11" i="4" s="1"/>
  <c r="AG11" i="4" s="1"/>
  <c r="AJ14" i="4"/>
  <c r="AI14" i="4" s="1"/>
  <c r="AH14" i="4" s="1"/>
  <c r="AG14" i="4" s="1"/>
  <c r="AJ15" i="4"/>
  <c r="AI15" i="4" s="1"/>
  <c r="AH15" i="4" s="1"/>
  <c r="AG15" i="4" s="1"/>
  <c r="AE21" i="7"/>
  <c r="AB21" i="7" s="1"/>
  <c r="Z22" i="7"/>
  <c r="H22" i="7" s="1"/>
  <c r="AJ7" i="4"/>
  <c r="AI7" i="4" s="1"/>
  <c r="AH7" i="4" s="1"/>
  <c r="AG7" i="4" s="1"/>
  <c r="AJ8" i="4"/>
  <c r="AI8" i="4" s="1"/>
  <c r="AH8" i="4" s="1"/>
  <c r="AG8" i="4" s="1"/>
  <c r="AE17" i="7"/>
  <c r="K3" i="2"/>
  <c r="K1" i="2"/>
  <c r="AH20" i="7" l="1"/>
  <c r="AF20" i="7"/>
  <c r="AG20" i="7"/>
  <c r="AG44" i="7"/>
  <c r="AA10" i="2" a="1"/>
  <c r="AA10" i="2" s="1"/>
  <c r="AB10" i="2" a="1"/>
  <c r="AB10" i="2" s="1"/>
  <c r="Z15" i="2" a="1"/>
  <c r="Z15" i="2" s="1"/>
  <c r="AA15" i="2" s="1" a="1"/>
  <c r="AA15" i="2" s="1"/>
  <c r="AA8" i="2" a="1"/>
  <c r="AA8" i="2" s="1"/>
  <c r="AA14" i="2" a="1"/>
  <c r="AA14" i="2" s="1"/>
  <c r="AB9" i="2" a="1"/>
  <c r="AB9" i="2" s="1"/>
  <c r="AC9" i="2" s="1" a="1"/>
  <c r="AC9" i="2" s="1"/>
  <c r="Z13" i="2" a="1"/>
  <c r="Z13" i="2" s="1"/>
  <c r="AA13" i="2" s="1" a="1"/>
  <c r="AA13" i="2" s="1"/>
  <c r="AB13" i="2" s="1" a="1"/>
  <c r="AB13" i="2" s="1"/>
  <c r="AC10" i="2" a="1"/>
  <c r="AC10" i="2" s="1"/>
  <c r="AD10" i="2" s="1" a="1"/>
  <c r="AD10" i="2" s="1"/>
  <c r="AD11" i="2" a="1"/>
  <c r="AD11" i="2" s="1"/>
  <c r="AE11" i="2" s="1" a="1"/>
  <c r="AE11" i="2" s="1"/>
  <c r="AC7" i="2" a="1"/>
  <c r="AC7" i="2" s="1"/>
  <c r="AC6" i="2" a="1"/>
  <c r="AC6" i="2" s="1"/>
  <c r="AD6" i="2" s="1" a="1"/>
  <c r="AD6" i="2" s="1"/>
  <c r="AB12" i="2" a="1"/>
  <c r="AB12" i="2" s="1"/>
  <c r="S21" i="7"/>
  <c r="Q21" i="7"/>
  <c r="R21" i="7"/>
  <c r="AA21" i="7"/>
  <c r="V21" i="7"/>
  <c r="X21" i="7"/>
  <c r="W21" i="7"/>
  <c r="AC21" i="7"/>
  <c r="AJ5" i="4"/>
  <c r="AI5" i="4" s="1"/>
  <c r="AH5" i="4" s="1"/>
  <c r="AG5" i="4" s="1"/>
  <c r="AB49" i="4"/>
  <c r="AJ13" i="4"/>
  <c r="AI13" i="4" s="1"/>
  <c r="AH13" i="4" s="1"/>
  <c r="AG13" i="4" s="1"/>
  <c r="AJ6" i="4"/>
  <c r="AI6" i="4" s="1"/>
  <c r="AH6" i="4" s="1"/>
  <c r="AG6" i="4" s="1"/>
  <c r="L3" i="2"/>
  <c r="L1" i="2"/>
  <c r="Z5" i="4" l="1"/>
  <c r="AQ5" i="4" s="1"/>
  <c r="Z8" i="4"/>
  <c r="AQ8" i="4" s="1"/>
  <c r="Z7" i="4"/>
  <c r="AQ7" i="4" s="1"/>
  <c r="Z6" i="4"/>
  <c r="AQ6" i="4" s="1"/>
  <c r="Z12" i="4"/>
  <c r="AQ12" i="4" s="1"/>
  <c r="Z11" i="4"/>
  <c r="AQ11" i="4" s="1"/>
  <c r="Z10" i="4"/>
  <c r="AQ10" i="4" s="1"/>
  <c r="Z9" i="4"/>
  <c r="AQ9" i="4" s="1"/>
  <c r="Z15" i="4"/>
  <c r="AQ15" i="4" s="1"/>
  <c r="Z14" i="4"/>
  <c r="AQ14" i="4" s="1"/>
  <c r="Z13" i="4"/>
  <c r="AQ13" i="4" s="1"/>
  <c r="AE20" i="7"/>
  <c r="AH44" i="7"/>
  <c r="AC44" i="7"/>
  <c r="V44" i="7"/>
  <c r="AA44" i="7"/>
  <c r="AF44" i="7"/>
  <c r="W44" i="7"/>
  <c r="X44" i="7"/>
  <c r="AB44" i="7"/>
  <c r="AE10" i="2" a="1"/>
  <c r="AE10" i="2" s="1"/>
  <c r="AF10" i="2" s="1" a="1"/>
  <c r="AF10" i="2" s="1"/>
  <c r="AG10" i="2" s="1" a="1"/>
  <c r="AG10" i="2" s="1"/>
  <c r="AH10" i="2" s="1" a="1"/>
  <c r="AH10" i="2" s="1"/>
  <c r="AI10" i="2" s="1" a="1"/>
  <c r="AI10" i="2" s="1"/>
  <c r="AC12" i="2" a="1"/>
  <c r="AC12" i="2" s="1"/>
  <c r="AF11" i="2" a="1"/>
  <c r="AF11" i="2" s="1"/>
  <c r="AG11" i="2" s="1" a="1"/>
  <c r="AG11" i="2" s="1"/>
  <c r="AD9" i="2" a="1"/>
  <c r="AD9" i="2" s="1"/>
  <c r="AE9" i="2" s="1" a="1"/>
  <c r="AE9" i="2" s="1"/>
  <c r="AE6" i="2" a="1"/>
  <c r="AE6" i="2" s="1"/>
  <c r="AD7" i="2" a="1"/>
  <c r="AD7" i="2" s="1"/>
  <c r="AC13" i="2" a="1"/>
  <c r="AC13" i="2" s="1"/>
  <c r="P21" i="7"/>
  <c r="Z21" i="7"/>
  <c r="U17" i="7"/>
  <c r="G17" i="7" s="1"/>
  <c r="Z17" i="7"/>
  <c r="H17" i="7" s="1"/>
  <c r="M3" i="2"/>
  <c r="M1" i="2"/>
  <c r="AR5" i="4" l="1"/>
  <c r="Z44" i="7"/>
  <c r="AA20" i="7"/>
  <c r="AB20" i="7"/>
  <c r="S20" i="7"/>
  <c r="Q20" i="7"/>
  <c r="R20" i="7"/>
  <c r="V20" i="7"/>
  <c r="AC20" i="7"/>
  <c r="X20" i="7"/>
  <c r="W20" i="7"/>
  <c r="AE44" i="7"/>
  <c r="U44" i="7"/>
  <c r="AB14" i="2" a="1"/>
  <c r="AB14" i="2" s="1"/>
  <c r="AF9" i="2" a="1"/>
  <c r="AF9" i="2" s="1"/>
  <c r="AG9" i="2" s="1" a="1"/>
  <c r="AG9" i="2" s="1"/>
  <c r="AH9" i="2" s="1" a="1"/>
  <c r="AH9" i="2" s="1"/>
  <c r="AB8" i="2" a="1"/>
  <c r="AB8" i="2" s="1"/>
  <c r="AH11" i="2" a="1"/>
  <c r="AH11" i="2" s="1"/>
  <c r="AI11" i="2" s="1" a="1"/>
  <c r="AI11" i="2" s="1"/>
  <c r="AE7" i="2" a="1"/>
  <c r="AE7" i="2" s="1"/>
  <c r="AD13" i="2" a="1"/>
  <c r="AD13" i="2" s="1"/>
  <c r="AJ10" i="2" a="1"/>
  <c r="AJ10" i="2" s="1"/>
  <c r="AK10" i="2" s="1" a="1"/>
  <c r="AK10" i="2" s="1"/>
  <c r="AL10" i="2" s="1" a="1"/>
  <c r="AL10" i="2" s="1"/>
  <c r="AF6" i="2" a="1"/>
  <c r="AF6" i="2" s="1"/>
  <c r="AG6" i="2" s="1" a="1"/>
  <c r="AG6" i="2" s="1"/>
  <c r="AD12" i="2" a="1"/>
  <c r="AD12" i="2" s="1"/>
  <c r="AE12" i="2" s="1" a="1"/>
  <c r="AE12" i="2" s="1"/>
  <c r="AB15" i="2" a="1"/>
  <c r="AB15" i="2" s="1"/>
  <c r="U21" i="7"/>
  <c r="N3" i="2"/>
  <c r="N1" i="2"/>
  <c r="AH43" i="7" l="1"/>
  <c r="Z26" i="4"/>
  <c r="AQ26" i="4" s="1"/>
  <c r="Z25" i="4"/>
  <c r="AQ25" i="4" s="1"/>
  <c r="Z24" i="4"/>
  <c r="AQ24" i="4" s="1"/>
  <c r="Z42" i="4"/>
  <c r="AQ42" i="4" s="1"/>
  <c r="Z45" i="4"/>
  <c r="AQ45" i="4" s="1"/>
  <c r="Z44" i="4"/>
  <c r="AQ44" i="4" s="1"/>
  <c r="Z43" i="4"/>
  <c r="AQ43" i="4" s="1"/>
  <c r="Z48" i="4"/>
  <c r="AQ48" i="4" s="1"/>
  <c r="Z47" i="4"/>
  <c r="AQ47" i="4" s="1"/>
  <c r="Z46" i="4"/>
  <c r="AQ46" i="4" s="1"/>
  <c r="Z37" i="4"/>
  <c r="AQ37" i="4" s="1"/>
  <c r="Z36" i="4"/>
  <c r="AQ36" i="4" s="1"/>
  <c r="Z35" i="4"/>
  <c r="AQ35" i="4" s="1"/>
  <c r="Z23" i="4"/>
  <c r="AQ23" i="4" s="1"/>
  <c r="Z22" i="4"/>
  <c r="AQ22" i="4" s="1"/>
  <c r="Z21" i="4"/>
  <c r="AQ21" i="4" s="1"/>
  <c r="Z20" i="4"/>
  <c r="AQ20" i="4" s="1"/>
  <c r="Z34" i="4"/>
  <c r="AQ34" i="4" s="1"/>
  <c r="Z33" i="4"/>
  <c r="AQ33" i="4" s="1"/>
  <c r="Z32" i="4"/>
  <c r="AQ32" i="4" s="1"/>
  <c r="Z31" i="4"/>
  <c r="AQ31" i="4" s="1"/>
  <c r="Z29" i="4"/>
  <c r="AQ29" i="4" s="1"/>
  <c r="Z28" i="4"/>
  <c r="AQ28" i="4" s="1"/>
  <c r="Z27" i="4"/>
  <c r="AQ27" i="4" s="1"/>
  <c r="Z30" i="4"/>
  <c r="AQ30" i="4" s="1"/>
  <c r="Z18" i="4"/>
  <c r="AQ18" i="4" s="1"/>
  <c r="Z16" i="4"/>
  <c r="AQ16" i="4" s="1"/>
  <c r="Z17" i="4"/>
  <c r="AQ17" i="4" s="1"/>
  <c r="Z19" i="4"/>
  <c r="AQ19" i="4" s="1"/>
  <c r="Z40" i="4"/>
  <c r="AQ40" i="4" s="1"/>
  <c r="Z39" i="4"/>
  <c r="AQ39" i="4" s="1"/>
  <c r="Z38" i="4"/>
  <c r="AQ38" i="4" s="1"/>
  <c r="Z41" i="4"/>
  <c r="AQ41" i="4" s="1"/>
  <c r="W43" i="7"/>
  <c r="AA43" i="7"/>
  <c r="V43" i="7"/>
  <c r="AC43" i="7"/>
  <c r="X43" i="7"/>
  <c r="U20" i="7"/>
  <c r="P20" i="7"/>
  <c r="AG43" i="7"/>
  <c r="AB43" i="7"/>
  <c r="AF43" i="7"/>
  <c r="Z20" i="7"/>
  <c r="AC14" i="2" a="1"/>
  <c r="AC14" i="2" s="1"/>
  <c r="AI9" i="2" a="1"/>
  <c r="AI9" i="2" s="1"/>
  <c r="AJ9" i="2" s="1" a="1"/>
  <c r="AJ9" i="2" s="1"/>
  <c r="AM10" i="2" a="1"/>
  <c r="AM10" i="2" s="1"/>
  <c r="AN10" i="2" s="1" a="1"/>
  <c r="AN10" i="2" s="1"/>
  <c r="AJ11" i="2" a="1"/>
  <c r="AJ11" i="2" s="1"/>
  <c r="AK11" i="2" s="1" a="1"/>
  <c r="AK11" i="2" s="1"/>
  <c r="AF12" i="2" a="1"/>
  <c r="AF12" i="2" s="1"/>
  <c r="AG12" i="2" s="1" a="1"/>
  <c r="AG12" i="2" s="1"/>
  <c r="AH6" i="2" a="1"/>
  <c r="AH6" i="2" s="1"/>
  <c r="AI6" i="2" s="1" a="1"/>
  <c r="AI6" i="2" s="1"/>
  <c r="AF7" i="2" a="1"/>
  <c r="AF7" i="2" s="1"/>
  <c r="AG7" i="2" s="1" a="1"/>
  <c r="AG7" i="2" s="1"/>
  <c r="AE13" i="2" a="1"/>
  <c r="AE13" i="2" s="1"/>
  <c r="AC8" i="2" a="1"/>
  <c r="AC8" i="2" s="1"/>
  <c r="AC15" i="2" a="1"/>
  <c r="AC15" i="2" s="1"/>
  <c r="AD15" i="2" s="1" a="1"/>
  <c r="AD15" i="2" s="1"/>
  <c r="AB5" i="2" a="1"/>
  <c r="AB5" i="2" s="1"/>
  <c r="O1" i="2"/>
  <c r="O3" i="2"/>
  <c r="AE43" i="7" l="1"/>
  <c r="U43" i="7"/>
  <c r="Z43" i="7"/>
  <c r="AD14" i="2" a="1"/>
  <c r="AD14" i="2" s="1"/>
  <c r="AH12" i="2" a="1"/>
  <c r="AH12" i="2" s="1"/>
  <c r="AO10" i="2" a="1"/>
  <c r="AO10" i="2" s="1"/>
  <c r="AP10" i="2" s="1" a="1"/>
  <c r="AP10" i="2" s="1"/>
  <c r="AK9" i="2" a="1"/>
  <c r="AK9" i="2" s="1"/>
  <c r="AL9" i="2" s="1" a="1"/>
  <c r="AL9" i="2" s="1"/>
  <c r="AM9" i="2" s="1" a="1"/>
  <c r="AM9" i="2" s="1"/>
  <c r="AE15" i="2" a="1"/>
  <c r="AE15" i="2" s="1"/>
  <c r="AF15" i="2" s="1" a="1"/>
  <c r="AF15" i="2" s="1"/>
  <c r="AI12" i="2" a="1"/>
  <c r="AI12" i="2" s="1"/>
  <c r="AD8" i="2" a="1"/>
  <c r="AD8" i="2" s="1"/>
  <c r="AL11" i="2" a="1"/>
  <c r="AL11" i="2" s="1"/>
  <c r="AM11" i="2" s="1" a="1"/>
  <c r="AM11" i="2" s="1"/>
  <c r="AF13" i="2" a="1"/>
  <c r="AF13" i="2" s="1"/>
  <c r="AH7" i="2" a="1"/>
  <c r="AH7" i="2" s="1"/>
  <c r="AC5" i="2" a="1"/>
  <c r="AC5" i="2" s="1"/>
  <c r="AD5" i="2" s="1" a="1"/>
  <c r="AD5" i="2" s="1"/>
  <c r="AJ6" i="2" a="1"/>
  <c r="AJ6" i="2" s="1"/>
  <c r="P3" i="2"/>
  <c r="P1" i="2"/>
  <c r="AE14" i="2" l="1" a="1"/>
  <c r="AE14" i="2" s="1"/>
  <c r="AF14" i="2" s="1" a="1"/>
  <c r="AF14" i="2" s="1"/>
  <c r="AQ10" i="2" a="1"/>
  <c r="AQ10" i="2" s="1"/>
  <c r="AR10" i="2" s="1" a="1"/>
  <c r="AR10" i="2" s="1"/>
  <c r="AS10" i="2" s="1" a="1"/>
  <c r="AS10" i="2" s="1"/>
  <c r="AN9" i="2" a="1"/>
  <c r="AN9" i="2" s="1"/>
  <c r="AG15" i="2" a="1"/>
  <c r="AG15" i="2" s="1"/>
  <c r="AO9" i="2" a="1"/>
  <c r="AO9" i="2" s="1"/>
  <c r="AI7" i="2" a="1"/>
  <c r="AI7" i="2" s="1"/>
  <c r="AE5" i="2" a="1"/>
  <c r="AE5" i="2" s="1"/>
  <c r="AF5" i="2" s="1" a="1"/>
  <c r="AF5" i="2" s="1"/>
  <c r="AG5" i="2" s="1" a="1"/>
  <c r="AG5" i="2" s="1"/>
  <c r="AJ12" i="2" a="1"/>
  <c r="AJ12" i="2" s="1"/>
  <c r="AK12" i="2" s="1" a="1"/>
  <c r="AK12" i="2" s="1"/>
  <c r="AG13" i="2" a="1"/>
  <c r="AG13" i="2" s="1"/>
  <c r="AK6" i="2" a="1"/>
  <c r="AK6" i="2" s="1"/>
  <c r="AE8" i="2" a="1"/>
  <c r="AE8" i="2" s="1"/>
  <c r="AN11" i="2" a="1"/>
  <c r="AN11" i="2" s="1"/>
  <c r="AO11" i="2" s="1" a="1"/>
  <c r="AO11" i="2" s="1"/>
  <c r="Q3" i="2"/>
  <c r="Q1" i="2"/>
  <c r="AG14" i="2" l="1" a="1"/>
  <c r="AG14" i="2" s="1"/>
  <c r="AH14" i="2" s="1" a="1"/>
  <c r="AH14" i="2" s="1"/>
  <c r="AH15" i="2" a="1"/>
  <c r="AH15" i="2" s="1"/>
  <c r="AH5" i="2" a="1"/>
  <c r="AH5" i="2" s="1"/>
  <c r="AP9" i="2" a="1"/>
  <c r="AP9" i="2" s="1"/>
  <c r="AJ7" i="2" a="1"/>
  <c r="AJ7" i="2" s="1"/>
  <c r="AP11" i="2" a="1"/>
  <c r="AP11" i="2" s="1"/>
  <c r="AQ11" i="2" s="1" a="1"/>
  <c r="AQ11" i="2" s="1"/>
  <c r="AR11" i="2" s="1" a="1"/>
  <c r="AR11" i="2" s="1"/>
  <c r="AS11" i="2" s="1" a="1"/>
  <c r="AS11" i="2" s="1"/>
  <c r="AH13" i="2" a="1"/>
  <c r="AH13" i="2" s="1"/>
  <c r="AL6" i="2" a="1"/>
  <c r="AL6" i="2" s="1"/>
  <c r="AM6" i="2" s="1" a="1"/>
  <c r="AM6" i="2" s="1"/>
  <c r="AF8" i="2" a="1"/>
  <c r="AF8" i="2" s="1"/>
  <c r="AG8" i="2" s="1" a="1"/>
  <c r="AG8" i="2" s="1"/>
  <c r="AL12" i="2" a="1"/>
  <c r="AL12" i="2" s="1"/>
  <c r="AT10" i="2" a="1"/>
  <c r="AT10" i="2" s="1"/>
  <c r="R3" i="2"/>
  <c r="R1" i="2"/>
  <c r="AI14" i="2" l="1" a="1"/>
  <c r="AI14" i="2" s="1"/>
  <c r="AQ9" i="2" a="1"/>
  <c r="AQ9" i="2" s="1"/>
  <c r="AR9" i="2" s="1" a="1"/>
  <c r="AR9" i="2" s="1"/>
  <c r="AK7" i="2" a="1"/>
  <c r="AK7" i="2" s="1"/>
  <c r="AL7" i="2" s="1" a="1"/>
  <c r="AL7" i="2" s="1"/>
  <c r="AM7" i="2" s="1" a="1"/>
  <c r="AM7" i="2" s="1"/>
  <c r="AI5" i="2" a="1"/>
  <c r="AI5" i="2" s="1"/>
  <c r="AJ5" i="2" s="1" a="1"/>
  <c r="AJ5" i="2" s="1"/>
  <c r="AN6" i="2" a="1"/>
  <c r="AN6" i="2" s="1"/>
  <c r="AO6" i="2" s="1" a="1"/>
  <c r="AO6" i="2" s="1"/>
  <c r="AI13" i="2" a="1"/>
  <c r="AI13" i="2" s="1"/>
  <c r="AT11" i="2" a="1"/>
  <c r="AT11" i="2" s="1"/>
  <c r="AU11" i="2" s="1" a="1"/>
  <c r="AU11" i="2" s="1"/>
  <c r="AV11" i="2" s="1" a="1"/>
  <c r="AV11" i="2" s="1"/>
  <c r="AW11" i="2" s="1" a="1"/>
  <c r="AW11" i="2" s="1"/>
  <c r="AX11" i="2" s="1" a="1"/>
  <c r="AX11" i="2" s="1"/>
  <c r="AY11" i="2" s="1" a="1"/>
  <c r="AY11" i="2" s="1"/>
  <c r="AI15" i="2" a="1"/>
  <c r="AI15" i="2" s="1"/>
  <c r="AM12" i="2" a="1"/>
  <c r="AM12" i="2" s="1"/>
  <c r="AH8" i="2" a="1"/>
  <c r="AH8" i="2" s="1"/>
  <c r="AU10" i="2" a="1"/>
  <c r="AU10" i="2" s="1"/>
  <c r="AV10" i="2" s="1" a="1"/>
  <c r="AV10" i="2" s="1"/>
  <c r="S3" i="2"/>
  <c r="S1" i="2"/>
  <c r="AJ14" i="2" l="1" a="1"/>
  <c r="AJ14" i="2" s="1"/>
  <c r="AK14" i="2" s="1" a="1"/>
  <c r="AK14" i="2" s="1"/>
  <c r="AP6" i="2" a="1"/>
  <c r="AP6" i="2" s="1"/>
  <c r="AQ6" i="2" s="1" a="1"/>
  <c r="AQ6" i="2" s="1"/>
  <c r="AJ15" i="2" a="1"/>
  <c r="AJ15" i="2" s="1"/>
  <c r="AJ13" i="2" a="1"/>
  <c r="AJ13" i="2" s="1"/>
  <c r="AN12" i="2" a="1"/>
  <c r="AN12" i="2" s="1"/>
  <c r="AO12" i="2" s="1" a="1"/>
  <c r="AO12" i="2" s="1"/>
  <c r="AK5" i="2" a="1"/>
  <c r="AK5" i="2" s="1"/>
  <c r="AI8" i="2" a="1"/>
  <c r="AI8" i="2" s="1"/>
  <c r="AS9" i="2" a="1"/>
  <c r="AS9" i="2" s="1"/>
  <c r="AT9" i="2" s="1" a="1"/>
  <c r="AT9" i="2" s="1"/>
  <c r="AW10" i="2" a="1"/>
  <c r="AW10" i="2" s="1"/>
  <c r="T1" i="2"/>
  <c r="T3" i="2"/>
  <c r="AL14" i="2" l="1" a="1"/>
  <c r="AL14" i="2" s="1"/>
  <c r="AM14" i="2" s="1" a="1"/>
  <c r="AM14" i="2" s="1"/>
  <c r="AR6" i="2" a="1"/>
  <c r="AR6" i="2" s="1"/>
  <c r="AU9" i="2" a="1"/>
  <c r="AU9" i="2" s="1"/>
  <c r="AV9" i="2" s="1" a="1"/>
  <c r="AV9" i="2" s="1"/>
  <c r="AK15" i="2" a="1"/>
  <c r="AK15" i="2" s="1"/>
  <c r="AL15" i="2" s="1" a="1"/>
  <c r="AL15" i="2" s="1"/>
  <c r="AP12" i="2" a="1"/>
  <c r="AP12" i="2" s="1"/>
  <c r="AQ12" i="2" s="1" a="1"/>
  <c r="AQ12" i="2" s="1"/>
  <c r="AR12" i="2" s="1" a="1"/>
  <c r="AR12" i="2" s="1"/>
  <c r="AK13" i="2" a="1"/>
  <c r="AK13" i="2" s="1"/>
  <c r="AL13" i="2" s="1" a="1"/>
  <c r="AL13" i="2" s="1"/>
  <c r="AJ8" i="2" a="1"/>
  <c r="AJ8" i="2" s="1"/>
  <c r="AL5" i="2" a="1"/>
  <c r="AL5" i="2" s="1"/>
  <c r="AX10" i="2" a="1"/>
  <c r="AX10" i="2" s="1"/>
  <c r="AY10" i="2" s="1" a="1"/>
  <c r="AY10" i="2" s="1"/>
  <c r="U1" i="2"/>
  <c r="U3" i="2"/>
  <c r="AW9" i="2" l="1" a="1"/>
  <c r="AW9" i="2" s="1"/>
  <c r="AX9" i="2" s="1" a="1"/>
  <c r="AX9" i="2" s="1"/>
  <c r="AY9" i="2" s="1" a="1"/>
  <c r="AY9" i="2" s="1"/>
  <c r="AN14" i="2" a="1"/>
  <c r="AN14" i="2" s="1"/>
  <c r="AM13" i="2" a="1"/>
  <c r="AM13" i="2" s="1"/>
  <c r="AS12" i="2" a="1"/>
  <c r="AS12" i="2" s="1"/>
  <c r="AT12" i="2" s="1" a="1"/>
  <c r="AT12" i="2" s="1"/>
  <c r="AU12" i="2" s="1" a="1"/>
  <c r="AU12" i="2" s="1"/>
  <c r="AS6" i="2" a="1"/>
  <c r="AS6" i="2" s="1"/>
  <c r="AT6" i="2" s="1" a="1"/>
  <c r="AT6" i="2" s="1"/>
  <c r="AM5" i="2" a="1"/>
  <c r="AM5" i="2" s="1"/>
  <c r="AN5" i="2" s="1" a="1"/>
  <c r="AN5" i="2" s="1"/>
  <c r="AM15" i="2" a="1"/>
  <c r="AM15" i="2" s="1"/>
  <c r="AN15" i="2" s="1" a="1"/>
  <c r="AN15" i="2" s="1"/>
  <c r="AK8" i="2" a="1"/>
  <c r="AK8" i="2" s="1"/>
  <c r="AL8" i="2" s="1" a="1"/>
  <c r="AL8" i="2" s="1"/>
  <c r="V3" i="2"/>
  <c r="V1" i="2"/>
  <c r="AO14" i="2" l="1" a="1"/>
  <c r="AO14" i="2" s="1"/>
  <c r="AO15" i="2" a="1"/>
  <c r="AO15" i="2" s="1"/>
  <c r="AP15" i="2" s="1" a="1"/>
  <c r="AP15" i="2" s="1"/>
  <c r="AQ15" i="2" s="1" a="1"/>
  <c r="AQ15" i="2" s="1"/>
  <c r="AR15" i="2" s="1" a="1"/>
  <c r="AR15" i="2" s="1"/>
  <c r="AV12" i="2" a="1"/>
  <c r="AV12" i="2" s="1"/>
  <c r="AW12" i="2" s="1" a="1"/>
  <c r="AW12" i="2" s="1"/>
  <c r="AX12" i="2" s="1" a="1"/>
  <c r="AX12" i="2" s="1"/>
  <c r="AO5" i="2" a="1"/>
  <c r="AO5" i="2" s="1"/>
  <c r="AM8" i="2" a="1"/>
  <c r="AM8" i="2" s="1"/>
  <c r="AU6" i="2" a="1"/>
  <c r="AU6" i="2" s="1"/>
  <c r="AV6" i="2" s="1" a="1"/>
  <c r="AV6" i="2" s="1"/>
  <c r="AN13" i="2" a="1"/>
  <c r="AN13" i="2" s="1"/>
  <c r="AN7" i="2" a="1"/>
  <c r="AN7" i="2" s="1"/>
  <c r="W1" i="2"/>
  <c r="W3" i="2"/>
  <c r="AS15" i="2" l="1" a="1"/>
  <c r="AS15" i="2" s="1"/>
  <c r="AT15" i="2" s="1" a="1"/>
  <c r="AT15" i="2" s="1"/>
  <c r="AU15" i="2" s="1" a="1"/>
  <c r="AU15" i="2" s="1"/>
  <c r="AV15" i="2" s="1" a="1"/>
  <c r="AV15" i="2" s="1"/>
  <c r="AW15" i="2" s="1" a="1"/>
  <c r="AW15" i="2" s="1"/>
  <c r="AP14" i="2" a="1"/>
  <c r="AP14" i="2" s="1"/>
  <c r="AY12" i="2" a="1"/>
  <c r="AY12" i="2" s="1"/>
  <c r="AP5" i="2" a="1"/>
  <c r="AP5" i="2" s="1"/>
  <c r="AO13" i="2" a="1"/>
  <c r="AO13" i="2" s="1"/>
  <c r="AN8" i="2" a="1"/>
  <c r="AN8" i="2" s="1"/>
  <c r="AW6" i="2" a="1"/>
  <c r="AW6" i="2" s="1"/>
  <c r="AX6" i="2" s="1" a="1"/>
  <c r="AX6" i="2" s="1"/>
  <c r="AO7" i="2" a="1"/>
  <c r="AO7" i="2" s="1"/>
  <c r="X3" i="2"/>
  <c r="X1" i="2"/>
  <c r="AX15" i="2" l="1" a="1"/>
  <c r="AX15" i="2" s="1"/>
  <c r="AY15" i="2" s="1" a="1"/>
  <c r="AY15" i="2" s="1"/>
  <c r="AQ14" i="2" a="1"/>
  <c r="AQ14" i="2" s="1"/>
  <c r="AR14" i="2" s="1" a="1"/>
  <c r="AR14" i="2" s="1"/>
  <c r="AO8" i="2" a="1"/>
  <c r="AO8" i="2" s="1"/>
  <c r="AP8" i="2" s="1" a="1"/>
  <c r="AP8" i="2" s="1"/>
  <c r="AY6" i="2" a="1"/>
  <c r="AY6" i="2" s="1"/>
  <c r="AQ5" i="2" a="1"/>
  <c r="AQ5" i="2" s="1"/>
  <c r="AP13" i="2" a="1"/>
  <c r="AP13" i="2" s="1"/>
  <c r="AP7" i="2" a="1"/>
  <c r="AP7" i="2" s="1"/>
  <c r="AQ7" i="2" s="1" a="1"/>
  <c r="AQ7" i="2" s="1"/>
  <c r="Y1" i="2"/>
  <c r="Y3" i="2"/>
  <c r="AS14" i="2" l="1" a="1"/>
  <c r="AS14" i="2" s="1"/>
  <c r="AT14" i="2" s="1" a="1"/>
  <c r="AT14" i="2" s="1"/>
  <c r="AR5" i="2" a="1"/>
  <c r="AR5" i="2" s="1"/>
  <c r="AQ8" i="2" a="1"/>
  <c r="AQ8" i="2" s="1"/>
  <c r="AR8" i="2" s="1" a="1"/>
  <c r="AR8" i="2" s="1"/>
  <c r="AQ13" i="2" a="1"/>
  <c r="AQ13" i="2" s="1"/>
  <c r="AR13" i="2" s="1" a="1"/>
  <c r="AR13" i="2" s="1"/>
  <c r="AR7" i="2" a="1"/>
  <c r="AR7" i="2" s="1"/>
  <c r="AS7" i="2" s="1" a="1"/>
  <c r="AS7" i="2" s="1"/>
  <c r="Z3" i="2"/>
  <c r="Z1" i="2"/>
  <c r="AU14" i="2" l="1" a="1"/>
  <c r="AU14" i="2" s="1"/>
  <c r="AV14" i="2" s="1" a="1"/>
  <c r="AV14" i="2" s="1"/>
  <c r="AS13" i="2" a="1"/>
  <c r="AS13" i="2" s="1"/>
  <c r="AT13" i="2" s="1" a="1"/>
  <c r="AT13" i="2" s="1"/>
  <c r="AU13" i="2" s="1" a="1"/>
  <c r="AU13" i="2" s="1"/>
  <c r="AV13" i="2" s="1" a="1"/>
  <c r="AV13" i="2" s="1"/>
  <c r="AW13" i="2" s="1" a="1"/>
  <c r="AW13" i="2" s="1"/>
  <c r="AS5" i="2" a="1"/>
  <c r="AS5" i="2" s="1"/>
  <c r="AT5" i="2" s="1" a="1"/>
  <c r="AT5" i="2" s="1"/>
  <c r="AS8" i="2" a="1"/>
  <c r="AS8" i="2" s="1"/>
  <c r="AT7" i="2" a="1"/>
  <c r="AT7" i="2" s="1"/>
  <c r="AU7" i="2" s="1" a="1"/>
  <c r="AU7" i="2" s="1"/>
  <c r="AA1" i="2"/>
  <c r="AA3" i="2"/>
  <c r="AW14" i="2" l="1" a="1"/>
  <c r="AW14" i="2" s="1"/>
  <c r="AX14" i="2" s="1" a="1"/>
  <c r="AX14" i="2" s="1"/>
  <c r="AX13" i="2" a="1"/>
  <c r="AX13" i="2" s="1"/>
  <c r="AY13" i="2" s="1" a="1"/>
  <c r="AY13" i="2" s="1"/>
  <c r="AU5" i="2" a="1"/>
  <c r="AU5" i="2" s="1"/>
  <c r="AT8" i="2" a="1"/>
  <c r="AT8" i="2" s="1"/>
  <c r="AV7" i="2" a="1"/>
  <c r="AV7" i="2" s="1"/>
  <c r="AW7" i="2" s="1" a="1"/>
  <c r="AW7" i="2" s="1"/>
  <c r="AB1" i="2"/>
  <c r="AB3" i="2"/>
  <c r="AY14" i="2" l="1" a="1"/>
  <c r="AY14" i="2" s="1"/>
  <c r="AV5" i="2" a="1"/>
  <c r="AV5" i="2" s="1"/>
  <c r="AU8" i="2" a="1"/>
  <c r="AU8" i="2" s="1"/>
  <c r="AV8" i="2" s="1" a="1"/>
  <c r="AV8" i="2" s="1"/>
  <c r="AX7" i="2" a="1"/>
  <c r="AX7" i="2" s="1"/>
  <c r="AY7" i="2" s="1" a="1"/>
  <c r="AY7" i="2" s="1"/>
  <c r="AC1" i="2"/>
  <c r="AC3" i="2"/>
  <c r="AW8" i="2" l="1" a="1"/>
  <c r="AW8" i="2" s="1"/>
  <c r="AX8" i="2" s="1" a="1"/>
  <c r="AX8" i="2" s="1"/>
  <c r="AY8" i="2" s="1" a="1"/>
  <c r="AY8" i="2" s="1"/>
  <c r="AW5" i="2" a="1"/>
  <c r="AW5" i="2" s="1"/>
  <c r="AX5" i="2" s="1" a="1"/>
  <c r="AX5" i="2" s="1"/>
  <c r="AY5" i="2" s="1" a="1"/>
  <c r="AY5" i="2" s="1"/>
  <c r="AD1" i="2"/>
  <c r="AD3" i="2"/>
  <c r="AE1" i="2" l="1"/>
  <c r="AE3" i="2"/>
  <c r="AF1" i="2" l="1"/>
  <c r="AF3" i="2"/>
  <c r="AG3" i="2" l="1"/>
  <c r="AG1" i="2"/>
  <c r="AH3" i="2" l="1"/>
  <c r="AH1" i="2"/>
  <c r="AI1" i="2" l="1"/>
  <c r="AI3" i="2"/>
  <c r="AJ3" i="2" l="1"/>
  <c r="AJ1" i="2"/>
  <c r="AK3" i="2" l="1"/>
  <c r="AK1" i="2"/>
  <c r="AL1" i="2" l="1"/>
  <c r="AL3" i="2"/>
  <c r="AM1" i="2" l="1"/>
  <c r="AM3" i="2"/>
  <c r="AN3" i="2" l="1"/>
  <c r="AN1" i="2"/>
  <c r="AO1" i="2" l="1"/>
  <c r="AO3" i="2"/>
  <c r="AP1" i="2" l="1"/>
  <c r="AP3" i="2"/>
  <c r="AQ1" i="2" l="1"/>
  <c r="AQ3" i="2"/>
  <c r="AR3" i="2" l="1"/>
  <c r="AR1" i="2"/>
  <c r="AS1" i="2" l="1"/>
  <c r="AS3" i="2"/>
  <c r="AT1" i="2" l="1"/>
  <c r="AT3" i="2"/>
  <c r="AU1" i="2" l="1"/>
  <c r="AU3" i="2"/>
  <c r="AV1" i="2" l="1"/>
  <c r="AV3" i="2"/>
  <c r="AW1" i="2" l="1"/>
  <c r="AW3" i="2"/>
  <c r="AX1" i="2" l="1"/>
  <c r="AX3" i="2"/>
  <c r="AY1" i="2" l="1"/>
  <c r="AY3" i="2"/>
  <c r="BE5" i="2" l="1"/>
  <c r="BA5" i="2" s="1"/>
  <c r="BE4" i="2"/>
  <c r="BA4" i="2" s="1"/>
  <c r="BE2" i="2"/>
  <c r="BA2" i="2" s="1"/>
  <c r="BE3" i="2"/>
  <c r="BA3" i="2" s="1"/>
  <c r="BC5" i="2" l="1"/>
  <c r="BD5" i="2" s="1"/>
  <c r="BC3" i="2"/>
  <c r="BD3" i="2" s="1"/>
  <c r="BC4" i="2"/>
  <c r="BD4" i="2" s="1"/>
  <c r="AP14" i="4" l="1"/>
  <c r="AP15" i="4"/>
  <c r="AP13" i="4"/>
  <c r="AP11" i="4"/>
  <c r="AP10" i="4"/>
  <c r="AP9" i="4"/>
  <c r="AP12" i="4"/>
  <c r="AR12" i="4" l="1"/>
  <c r="AR9" i="4"/>
  <c r="AR10" i="4"/>
  <c r="AR11" i="4"/>
  <c r="AR13" i="4"/>
  <c r="AR15" i="4"/>
  <c r="AR14" i="4"/>
  <c r="P21" i="4"/>
  <c r="P10" i="4"/>
  <c r="P26" i="4"/>
  <c r="P15" i="4"/>
  <c r="P25" i="4"/>
  <c r="P14" i="4"/>
  <c r="P22" i="4"/>
  <c r="P11" i="4"/>
  <c r="P23" i="4"/>
  <c r="P12" i="4"/>
  <c r="P24" i="4"/>
  <c r="P13" i="4"/>
  <c r="P20" i="4"/>
  <c r="P9" i="4"/>
  <c r="AA20" i="4"/>
  <c r="AS20" i="4" s="1"/>
  <c r="AP23" i="4"/>
  <c r="AP24" i="4"/>
  <c r="AP25" i="4"/>
  <c r="AP20" i="4"/>
  <c r="AP21" i="4"/>
  <c r="AP22" i="4"/>
  <c r="AP26" i="4"/>
  <c r="AA24" i="4"/>
  <c r="AS24" i="4" s="1"/>
  <c r="AA25" i="4"/>
  <c r="AS25" i="4" s="1"/>
  <c r="AA22" i="4"/>
  <c r="AS22" i="4" s="1"/>
  <c r="AA26" i="4"/>
  <c r="AS26" i="4" s="1"/>
  <c r="AA21" i="4"/>
  <c r="AS21" i="4" s="1"/>
  <c r="AA23" i="4"/>
  <c r="AS23" i="4" s="1"/>
  <c r="AR22" i="4" l="1"/>
  <c r="AR26" i="4"/>
  <c r="AR21" i="4"/>
  <c r="AR20" i="4"/>
  <c r="AR25" i="4"/>
  <c r="AR24" i="4"/>
  <c r="AR23" i="4"/>
  <c r="P32" i="4"/>
  <c r="AA37" i="4"/>
  <c r="AS37" i="4" s="1"/>
  <c r="AP33" i="4"/>
  <c r="AP37" i="4"/>
  <c r="AP32" i="4"/>
  <c r="AP36" i="4"/>
  <c r="AP35" i="4"/>
  <c r="AP34" i="4"/>
  <c r="AP31" i="4"/>
  <c r="AA35" i="4"/>
  <c r="AS35" i="4" s="1"/>
  <c r="AA36" i="4"/>
  <c r="AS36" i="4" s="1"/>
  <c r="P37" i="4"/>
  <c r="P35" i="4"/>
  <c r="AA32" i="4"/>
  <c r="AS32" i="4" s="1"/>
  <c r="AA33" i="4"/>
  <c r="AS33" i="4" s="1"/>
  <c r="AA34" i="4"/>
  <c r="AS34" i="4" s="1"/>
  <c r="AA31" i="4"/>
  <c r="AS31" i="4" s="1"/>
  <c r="AR34" i="4" l="1"/>
  <c r="AR35" i="4"/>
  <c r="AR36" i="4"/>
  <c r="AR32" i="4"/>
  <c r="AR37" i="4"/>
  <c r="AR33" i="4"/>
  <c r="AR31" i="4"/>
  <c r="P36" i="4"/>
  <c r="P34" i="4"/>
  <c r="P31" i="4"/>
  <c r="P33" i="4"/>
  <c r="AP42" i="4"/>
  <c r="AP46" i="4"/>
  <c r="AP45" i="4"/>
  <c r="AP43" i="4"/>
  <c r="AP47" i="4"/>
  <c r="AP44" i="4"/>
  <c r="AP48" i="4"/>
  <c r="AA47" i="4"/>
  <c r="AS47" i="4" s="1"/>
  <c r="AA48" i="4"/>
  <c r="AS48" i="4" s="1"/>
  <c r="AA46" i="4"/>
  <c r="AS46" i="4" s="1"/>
  <c r="AA42" i="4"/>
  <c r="AS42" i="4" s="1"/>
  <c r="AA45" i="4"/>
  <c r="AS45" i="4" s="1"/>
  <c r="AA43" i="4"/>
  <c r="AS43" i="4" s="1"/>
  <c r="AA44" i="4"/>
  <c r="AS44" i="4" s="1"/>
  <c r="AR47" i="4" l="1"/>
  <c r="AR43" i="4"/>
  <c r="AR45" i="4"/>
  <c r="AR46" i="4"/>
  <c r="AR42" i="4"/>
  <c r="AR48" i="4"/>
  <c r="AR44" i="4"/>
  <c r="P46" i="4"/>
  <c r="P47" i="4"/>
  <c r="P48" i="4"/>
  <c r="P43" i="4"/>
  <c r="P42" i="4"/>
  <c r="P44" i="4"/>
  <c r="P45" i="4" l="1"/>
  <c r="AP6" i="4" l="1"/>
  <c r="AP7" i="4"/>
  <c r="AR7" i="4" l="1"/>
  <c r="AR6" i="4"/>
  <c r="AP19" i="4"/>
  <c r="AP8" i="4"/>
  <c r="P17" i="4"/>
  <c r="P6" i="4"/>
  <c r="P19" i="4"/>
  <c r="P8" i="4"/>
  <c r="P18" i="4"/>
  <c r="P7" i="4"/>
  <c r="AA18" i="4"/>
  <c r="AS18" i="4" s="1"/>
  <c r="AP18" i="4"/>
  <c r="AP17" i="4"/>
  <c r="AP16" i="4"/>
  <c r="AA19" i="4"/>
  <c r="AS19" i="4" s="1"/>
  <c r="AA16" i="4"/>
  <c r="AS16" i="4" s="1"/>
  <c r="AA17" i="4"/>
  <c r="AS17" i="4" s="1"/>
  <c r="AE23" i="7"/>
  <c r="AR8" i="4" l="1"/>
  <c r="AR19" i="4"/>
  <c r="AR17" i="4"/>
  <c r="AR18" i="4"/>
  <c r="AR16" i="4"/>
  <c r="P5" i="4"/>
  <c r="I23" i="7"/>
  <c r="AP28" i="4"/>
  <c r="AP27" i="4"/>
  <c r="AP29" i="4"/>
  <c r="AP30" i="4"/>
  <c r="AA28" i="4"/>
  <c r="AS28" i="4" s="1"/>
  <c r="AA27" i="4"/>
  <c r="AS27" i="4" s="1"/>
  <c r="AA29" i="4"/>
  <c r="AS29" i="4" s="1"/>
  <c r="AA30" i="4"/>
  <c r="AS30" i="4" s="1"/>
  <c r="P16" i="4"/>
  <c r="AR29" i="4" l="1"/>
  <c r="AR27" i="4"/>
  <c r="AR30" i="4"/>
  <c r="AR28" i="4"/>
  <c r="AU7" i="4"/>
  <c r="AU6" i="4"/>
  <c r="AU5" i="4"/>
  <c r="AU8" i="4"/>
  <c r="H23" i="7"/>
  <c r="AP40" i="4"/>
  <c r="AP38" i="4"/>
  <c r="AP41" i="4"/>
  <c r="AP39" i="4"/>
  <c r="AA40" i="4"/>
  <c r="AS40" i="4" s="1"/>
  <c r="AA41" i="4"/>
  <c r="AS41" i="4" s="1"/>
  <c r="AA38" i="4"/>
  <c r="AS38" i="4" s="1"/>
  <c r="AA39" i="4"/>
  <c r="AS39" i="4" s="1"/>
  <c r="AR39" i="4" l="1"/>
  <c r="AR41" i="4"/>
  <c r="AR38" i="4"/>
  <c r="F26" i="16" s="1"/>
  <c r="AR40" i="4"/>
  <c r="AU19" i="4"/>
  <c r="AU18" i="4"/>
  <c r="AU17" i="4"/>
  <c r="AU16" i="4"/>
  <c r="G23" i="7"/>
  <c r="AB23" i="7"/>
  <c r="AA23" i="7"/>
  <c r="AC23" i="7"/>
  <c r="AA49" i="4"/>
  <c r="Y49" i="4"/>
  <c r="P28" i="4"/>
  <c r="P27" i="4"/>
  <c r="P29" i="4"/>
  <c r="P30" i="4"/>
  <c r="T26" i="16" l="1"/>
  <c r="G26" i="16"/>
  <c r="AU30" i="4"/>
  <c r="AU29" i="4"/>
  <c r="AU28" i="4"/>
  <c r="AU27" i="4"/>
  <c r="AH46" i="7"/>
  <c r="Z23" i="7"/>
  <c r="AF46" i="7"/>
  <c r="AG46" i="7"/>
  <c r="F23" i="7"/>
  <c r="W23" i="7"/>
  <c r="AB46" i="7" s="1"/>
  <c r="V23" i="7"/>
  <c r="X23" i="7"/>
  <c r="AU41" i="4" l="1"/>
  <c r="AU40" i="4"/>
  <c r="AU39" i="4"/>
  <c r="AE46" i="7"/>
  <c r="U23" i="7"/>
  <c r="AA46" i="7"/>
  <c r="AC46" i="7"/>
  <c r="Q23" i="7"/>
  <c r="V46" i="7" s="1"/>
  <c r="R23" i="7"/>
  <c r="W46" i="7" s="1"/>
  <c r="S23" i="7"/>
  <c r="AE26" i="7"/>
  <c r="I26" i="7" s="1"/>
  <c r="P38" i="4"/>
  <c r="P41" i="4"/>
  <c r="P40" i="4"/>
  <c r="P39" i="4"/>
  <c r="AC49" i="4" l="1"/>
  <c r="AU38" i="4"/>
  <c r="AV5" i="4"/>
  <c r="AV7" i="4"/>
  <c r="AV6" i="4"/>
  <c r="AV8" i="4"/>
  <c r="AF47" i="7"/>
  <c r="Z46" i="7"/>
  <c r="P26" i="7"/>
  <c r="F26" i="7" s="1"/>
  <c r="P23" i="7"/>
  <c r="X46" i="7"/>
  <c r="U46" i="7" s="1"/>
  <c r="AV41" i="4" l="1"/>
  <c r="AV38" i="4"/>
  <c r="AV39" i="4"/>
  <c r="AV40" i="4"/>
  <c r="AC47" i="7"/>
  <c r="AH47" i="7"/>
  <c r="AB47" i="7"/>
  <c r="AG47" i="7"/>
  <c r="X47" i="7"/>
  <c r="W47" i="7"/>
  <c r="V47" i="7"/>
  <c r="U26" i="7"/>
  <c r="Z26" i="7"/>
  <c r="AA47" i="7"/>
  <c r="T49" i="4"/>
  <c r="X49" i="4"/>
  <c r="U49" i="4"/>
  <c r="G26" i="7" l="1"/>
  <c r="H26" i="7"/>
  <c r="Z47" i="7"/>
  <c r="U47" i="7"/>
  <c r="AE47" i="7"/>
  <c r="W49" i="4"/>
  <c r="AV16" i="4" l="1"/>
  <c r="AV18" i="4"/>
  <c r="AV19" i="4"/>
  <c r="AV17" i="4"/>
  <c r="AV29" i="4"/>
  <c r="AV28" i="4"/>
  <c r="AV30" i="4"/>
  <c r="AD49" i="4" l="1"/>
  <c r="AV27" i="4"/>
  <c r="Z49" i="4"/>
  <c r="I31" i="7"/>
  <c r="AA29" i="7"/>
  <c r="AA31" i="7" s="1"/>
  <c r="AG29" i="7"/>
  <c r="AH29" i="7"/>
  <c r="H29" i="7"/>
  <c r="H31" i="7" s="1"/>
  <c r="AF29" i="7"/>
  <c r="M18" i="7" l="1"/>
  <c r="M19" i="7"/>
  <c r="N21" i="7"/>
  <c r="N19" i="7"/>
  <c r="N18" i="7"/>
  <c r="AB29" i="7"/>
  <c r="AB31" i="7" s="1"/>
  <c r="AE38" i="4"/>
  <c r="AW38" i="4" s="1"/>
  <c r="AE16" i="4"/>
  <c r="AW16" i="4" s="1"/>
  <c r="AL16" i="4" s="1"/>
  <c r="AE17" i="4"/>
  <c r="AW17" i="4" s="1"/>
  <c r="AL17" i="4" s="1"/>
  <c r="AE18" i="4"/>
  <c r="AW18" i="4" s="1"/>
  <c r="AL18" i="4" s="1"/>
  <c r="AE19" i="4"/>
  <c r="AW19" i="4" s="1"/>
  <c r="AL19" i="4" s="1"/>
  <c r="AE27" i="4"/>
  <c r="AW27" i="4" s="1"/>
  <c r="AL27" i="4" s="1"/>
  <c r="AE28" i="4"/>
  <c r="AW28" i="4" s="1"/>
  <c r="AL28" i="4" s="1"/>
  <c r="AE29" i="4"/>
  <c r="AW29" i="4" s="1"/>
  <c r="AL29" i="4" s="1"/>
  <c r="AE30" i="4"/>
  <c r="AW30" i="4" s="1"/>
  <c r="AL30" i="4" s="1"/>
  <c r="AE39" i="4"/>
  <c r="AW39" i="4" s="1"/>
  <c r="AL39" i="4" s="1"/>
  <c r="AE40" i="4"/>
  <c r="AW40" i="4" s="1"/>
  <c r="AL40" i="4" s="1"/>
  <c r="AE41" i="4"/>
  <c r="AW41" i="4" s="1"/>
  <c r="AL41" i="4" s="1"/>
  <c r="AE45" i="4"/>
  <c r="AW45" i="4" s="1"/>
  <c r="AL45" i="4" s="1"/>
  <c r="AE20" i="4"/>
  <c r="AW20" i="4" s="1"/>
  <c r="AL20" i="4" s="1"/>
  <c r="AE23" i="4"/>
  <c r="AW23" i="4" s="1"/>
  <c r="AL23" i="4" s="1"/>
  <c r="AE32" i="4"/>
  <c r="AW32" i="4" s="1"/>
  <c r="AL32" i="4" s="1"/>
  <c r="AE33" i="4"/>
  <c r="AW33" i="4" s="1"/>
  <c r="AL33" i="4" s="1"/>
  <c r="AE31" i="4"/>
  <c r="AW31" i="4" s="1"/>
  <c r="AL31" i="4" s="1"/>
  <c r="AE44" i="4"/>
  <c r="AW44" i="4" s="1"/>
  <c r="AL44" i="4" s="1"/>
  <c r="AE22" i="4"/>
  <c r="AE42" i="4"/>
  <c r="AW42" i="4" s="1"/>
  <c r="AL42" i="4" s="1"/>
  <c r="AE43" i="4"/>
  <c r="AW43" i="4" s="1"/>
  <c r="AL43" i="4" s="1"/>
  <c r="AE21" i="4"/>
  <c r="AW21" i="4" s="1"/>
  <c r="AL21" i="4" s="1"/>
  <c r="AE34" i="4"/>
  <c r="AW34" i="4" s="1"/>
  <c r="AL34" i="4" s="1"/>
  <c r="AH31" i="7"/>
  <c r="AE35" i="4"/>
  <c r="AW35" i="4" s="1"/>
  <c r="AL35" i="4" s="1"/>
  <c r="AE47" i="4"/>
  <c r="AW47" i="4" s="1"/>
  <c r="AL47" i="4" s="1"/>
  <c r="AE46" i="4"/>
  <c r="AW46" i="4" s="1"/>
  <c r="AL46" i="4" s="1"/>
  <c r="AE24" i="4"/>
  <c r="AW24" i="4" s="1"/>
  <c r="AL24" i="4" s="1"/>
  <c r="AE36" i="4"/>
  <c r="AW36" i="4" s="1"/>
  <c r="AL36" i="4" s="1"/>
  <c r="AE48" i="4"/>
  <c r="AW48" i="4" s="1"/>
  <c r="AL48" i="4" s="1"/>
  <c r="AE25" i="4"/>
  <c r="AW25" i="4" s="1"/>
  <c r="AL25" i="4" s="1"/>
  <c r="AE37" i="4"/>
  <c r="AW37" i="4" s="1"/>
  <c r="AL37" i="4" s="1"/>
  <c r="AE26" i="4"/>
  <c r="AW26" i="4" s="1"/>
  <c r="AL26" i="4" s="1"/>
  <c r="AE6" i="4"/>
  <c r="AE7" i="4"/>
  <c r="AE8" i="4"/>
  <c r="AE5" i="4"/>
  <c r="AW5" i="4" s="1"/>
  <c r="AE13" i="4"/>
  <c r="AE14" i="4"/>
  <c r="AE15" i="4"/>
  <c r="AE12" i="4"/>
  <c r="AE11" i="4"/>
  <c r="AE9" i="4"/>
  <c r="AE10" i="4"/>
  <c r="N17" i="7"/>
  <c r="N24" i="7"/>
  <c r="N28" i="7"/>
  <c r="N22" i="7"/>
  <c r="N29" i="7"/>
  <c r="AG31" i="7"/>
  <c r="N25" i="7"/>
  <c r="N15" i="7"/>
  <c r="M22" i="7"/>
  <c r="M21" i="7"/>
  <c r="M28" i="7"/>
  <c r="M15" i="7"/>
  <c r="M23" i="7"/>
  <c r="M17" i="7"/>
  <c r="M27" i="7"/>
  <c r="M26" i="7"/>
  <c r="Z33" i="7"/>
  <c r="M29" i="7"/>
  <c r="M25" i="7"/>
  <c r="M20" i="7"/>
  <c r="M16" i="7"/>
  <c r="M24" i="7"/>
  <c r="AG48" i="7"/>
  <c r="AG50" i="7" s="1"/>
  <c r="AF31" i="7"/>
  <c r="N26" i="7"/>
  <c r="N23" i="7"/>
  <c r="AC29" i="7"/>
  <c r="Z29" i="7" s="1"/>
  <c r="Z31" i="7" s="1"/>
  <c r="N20" i="7"/>
  <c r="V23" i="4"/>
  <c r="AF48" i="7"/>
  <c r="G29" i="7"/>
  <c r="V16" i="4"/>
  <c r="I16" i="4" s="1"/>
  <c r="N27" i="7"/>
  <c r="N16" i="7"/>
  <c r="AE29" i="7"/>
  <c r="AE31" i="7" s="1"/>
  <c r="AL5" i="4" l="1"/>
  <c r="E34" i="16"/>
  <c r="AL38" i="4"/>
  <c r="V10" i="4"/>
  <c r="I10" i="4" s="1"/>
  <c r="J10" i="4" s="1"/>
  <c r="AW10" i="4"/>
  <c r="AL10" i="4" s="1"/>
  <c r="V22" i="4"/>
  <c r="I22" i="4" s="1"/>
  <c r="J22" i="4" s="1"/>
  <c r="AW22" i="4"/>
  <c r="AL22" i="4" s="1"/>
  <c r="V6" i="4"/>
  <c r="I6" i="4" s="1"/>
  <c r="J6" i="4" s="1"/>
  <c r="AW6" i="4"/>
  <c r="AL6" i="4" s="1"/>
  <c r="V11" i="4"/>
  <c r="I11" i="4" s="1"/>
  <c r="J11" i="4" s="1"/>
  <c r="AW11" i="4"/>
  <c r="AL11" i="4" s="1"/>
  <c r="V9" i="4"/>
  <c r="I9" i="4" s="1"/>
  <c r="AW9" i="4"/>
  <c r="AL9" i="4" s="1"/>
  <c r="V12" i="4"/>
  <c r="I12" i="4" s="1"/>
  <c r="J12" i="4" s="1"/>
  <c r="AW12" i="4"/>
  <c r="AL12" i="4" s="1"/>
  <c r="V15" i="4"/>
  <c r="I15" i="4" s="1"/>
  <c r="J15" i="4" s="1"/>
  <c r="AW15" i="4"/>
  <c r="AL15" i="4" s="1"/>
  <c r="V14" i="4"/>
  <c r="I14" i="4" s="1"/>
  <c r="J14" i="4" s="1"/>
  <c r="AW14" i="4"/>
  <c r="AL14" i="4" s="1"/>
  <c r="V13" i="4"/>
  <c r="I13" i="4" s="1"/>
  <c r="J13" i="4" s="1"/>
  <c r="AW13" i="4"/>
  <c r="AL13" i="4" s="1"/>
  <c r="V8" i="4"/>
  <c r="I8" i="4" s="1"/>
  <c r="J8" i="4" s="1"/>
  <c r="AW8" i="4"/>
  <c r="AL8" i="4" s="1"/>
  <c r="V7" i="4"/>
  <c r="I7" i="4" s="1"/>
  <c r="J7" i="4" s="1"/>
  <c r="AW7" i="4"/>
  <c r="AL7" i="4" s="1"/>
  <c r="I23" i="4"/>
  <c r="J23" i="4" s="1"/>
  <c r="V20" i="4"/>
  <c r="V18" i="4"/>
  <c r="V17" i="4"/>
  <c r="J16" i="4"/>
  <c r="AK16" i="4" s="1"/>
  <c r="F29" i="7"/>
  <c r="W29" i="7"/>
  <c r="V29" i="7"/>
  <c r="G31" i="7"/>
  <c r="X29" i="7"/>
  <c r="AF50" i="7"/>
  <c r="V21" i="4"/>
  <c r="V25" i="4"/>
  <c r="V24" i="4"/>
  <c r="V26" i="4"/>
  <c r="AH48" i="7"/>
  <c r="AH50" i="7" s="1"/>
  <c r="AC31" i="7"/>
  <c r="Z35" i="7"/>
  <c r="V5" i="4"/>
  <c r="I5" i="4" s="1"/>
  <c r="V19" i="4"/>
  <c r="L18" i="7" l="1"/>
  <c r="L19" i="7"/>
  <c r="T24" i="16"/>
  <c r="AH35" i="7"/>
  <c r="AH33" i="7" s="1"/>
  <c r="AG35" i="7"/>
  <c r="AG33" i="7" s="1"/>
  <c r="AK7" i="4"/>
  <c r="AK6" i="4"/>
  <c r="AK13" i="4"/>
  <c r="AK15" i="4"/>
  <c r="J9" i="4"/>
  <c r="AK12" i="4"/>
  <c r="AK11" i="4"/>
  <c r="AK14" i="4"/>
  <c r="AK8" i="4"/>
  <c r="AK10" i="4"/>
  <c r="H16" i="16"/>
  <c r="AK22" i="4"/>
  <c r="H17" i="16"/>
  <c r="AK23" i="4"/>
  <c r="K11" i="4"/>
  <c r="K12" i="4"/>
  <c r="K5" i="4"/>
  <c r="J5" i="4"/>
  <c r="AF35" i="7"/>
  <c r="I26" i="4"/>
  <c r="J26" i="4" s="1"/>
  <c r="I19" i="4"/>
  <c r="J19" i="4" s="1"/>
  <c r="I17" i="4"/>
  <c r="J17" i="4" s="1"/>
  <c r="I25" i="4"/>
  <c r="J25" i="4" s="1"/>
  <c r="I21" i="4"/>
  <c r="J21" i="4" s="1"/>
  <c r="I18" i="4"/>
  <c r="J18" i="4" s="1"/>
  <c r="I24" i="4"/>
  <c r="J24" i="4" s="1"/>
  <c r="I20" i="4"/>
  <c r="J20" i="4" s="1"/>
  <c r="AE48" i="7"/>
  <c r="AE50" i="7" s="1"/>
  <c r="V37" i="4"/>
  <c r="V35" i="4"/>
  <c r="X31" i="7"/>
  <c r="V36" i="4"/>
  <c r="V30" i="4"/>
  <c r="U29" i="7"/>
  <c r="U31" i="7" s="1"/>
  <c r="V31" i="7"/>
  <c r="V29" i="4"/>
  <c r="V28" i="4"/>
  <c r="V27" i="4"/>
  <c r="AA48" i="7"/>
  <c r="U33" i="7"/>
  <c r="L26" i="7"/>
  <c r="L27" i="7"/>
  <c r="L24" i="7"/>
  <c r="L22" i="7"/>
  <c r="L23" i="7"/>
  <c r="L25" i="7"/>
  <c r="L15" i="7"/>
  <c r="L17" i="7"/>
  <c r="L21" i="7"/>
  <c r="L16" i="7"/>
  <c r="L28" i="7"/>
  <c r="L20" i="7"/>
  <c r="AC48" i="7"/>
  <c r="AC50" i="7" s="1"/>
  <c r="L29" i="7"/>
  <c r="V31" i="4"/>
  <c r="W31" i="7"/>
  <c r="V33" i="4"/>
  <c r="V32" i="4"/>
  <c r="V34" i="4"/>
  <c r="AB48" i="7"/>
  <c r="AB50" i="7" s="1"/>
  <c r="Q29" i="7"/>
  <c r="F31" i="7"/>
  <c r="R29" i="7"/>
  <c r="W48" i="7" s="1"/>
  <c r="W50" i="7" s="1"/>
  <c r="S29" i="7"/>
  <c r="K29" i="7" l="1"/>
  <c r="K18" i="7"/>
  <c r="K19" i="7"/>
  <c r="D34" i="16"/>
  <c r="T33" i="16" s="1"/>
  <c r="AK9" i="4"/>
  <c r="AK5" i="4"/>
  <c r="H18" i="16"/>
  <c r="AK24" i="4"/>
  <c r="H19" i="16"/>
  <c r="AK25" i="4"/>
  <c r="H13" i="16"/>
  <c r="AK19" i="4"/>
  <c r="H14" i="16"/>
  <c r="AK20" i="4"/>
  <c r="H12" i="16"/>
  <c r="AK18" i="4"/>
  <c r="H15" i="16"/>
  <c r="AK21" i="4"/>
  <c r="H11" i="16"/>
  <c r="AK17" i="4"/>
  <c r="H20" i="16"/>
  <c r="AK26" i="4"/>
  <c r="H10" i="16"/>
  <c r="K10" i="4"/>
  <c r="K14" i="4"/>
  <c r="K9" i="4"/>
  <c r="K6" i="4"/>
  <c r="K8" i="4"/>
  <c r="K15" i="4"/>
  <c r="K13" i="4"/>
  <c r="K7" i="4"/>
  <c r="AE35" i="7"/>
  <c r="AF34" i="7" s="1"/>
  <c r="AF33" i="7"/>
  <c r="I33" i="4"/>
  <c r="J33" i="4" s="1"/>
  <c r="AK33" i="4" s="1"/>
  <c r="I31" i="4"/>
  <c r="J31" i="4" s="1"/>
  <c r="AK31" i="4" s="1"/>
  <c r="I36" i="4"/>
  <c r="J36" i="4" s="1"/>
  <c r="AK36" i="4" s="1"/>
  <c r="I37" i="4"/>
  <c r="J37" i="4" s="1"/>
  <c r="AK37" i="4" s="1"/>
  <c r="I27" i="4"/>
  <c r="J27" i="4" s="1"/>
  <c r="AK27" i="4" s="1"/>
  <c r="I28" i="4"/>
  <c r="J28" i="4" s="1"/>
  <c r="AK28" i="4" s="1"/>
  <c r="I29" i="4"/>
  <c r="J29" i="4" s="1"/>
  <c r="AK29" i="4" s="1"/>
  <c r="I34" i="4"/>
  <c r="J34" i="4" s="1"/>
  <c r="AK34" i="4" s="1"/>
  <c r="I30" i="4"/>
  <c r="J30" i="4" s="1"/>
  <c r="AK30" i="4" s="1"/>
  <c r="I35" i="4"/>
  <c r="J35" i="4" s="1"/>
  <c r="AK35" i="4" s="1"/>
  <c r="I32" i="4"/>
  <c r="J32" i="4" s="1"/>
  <c r="AK32" i="4" s="1"/>
  <c r="U35" i="7"/>
  <c r="P29" i="7"/>
  <c r="P31" i="7" s="1"/>
  <c r="Q31" i="7"/>
  <c r="V40" i="4"/>
  <c r="V39" i="4"/>
  <c r="V41" i="4"/>
  <c r="V38" i="4"/>
  <c r="V48" i="7"/>
  <c r="V46" i="4"/>
  <c r="V48" i="4"/>
  <c r="V47" i="4"/>
  <c r="S31" i="7"/>
  <c r="V42" i="4"/>
  <c r="V45" i="4"/>
  <c r="R31" i="7"/>
  <c r="V44" i="4"/>
  <c r="V43" i="4"/>
  <c r="K28" i="7"/>
  <c r="K15" i="7"/>
  <c r="K16" i="7"/>
  <c r="P33" i="7"/>
  <c r="K17" i="7"/>
  <c r="K20" i="7"/>
  <c r="K27" i="7"/>
  <c r="K26" i="7"/>
  <c r="K25" i="7"/>
  <c r="K24" i="7"/>
  <c r="K22" i="7"/>
  <c r="K21" i="7"/>
  <c r="K23" i="7"/>
  <c r="AA50" i="7"/>
  <c r="Z48" i="7"/>
  <c r="Z50" i="7" s="1"/>
  <c r="X48" i="7"/>
  <c r="X50" i="7" s="1"/>
  <c r="F34" i="16" l="1"/>
  <c r="G34" i="16" s="1"/>
  <c r="AE33" i="7"/>
  <c r="AH34" i="7"/>
  <c r="AG34" i="7"/>
  <c r="K19" i="4"/>
  <c r="K18" i="4"/>
  <c r="K25" i="4"/>
  <c r="K20" i="4"/>
  <c r="K21" i="4"/>
  <c r="K24" i="4"/>
  <c r="K23" i="4"/>
  <c r="K16" i="4"/>
  <c r="K26" i="4"/>
  <c r="K22" i="4"/>
  <c r="I47" i="4"/>
  <c r="J47" i="4" s="1"/>
  <c r="I44" i="4"/>
  <c r="J44" i="4" s="1"/>
  <c r="I38" i="4"/>
  <c r="J38" i="4" s="1"/>
  <c r="AK38" i="4" s="1"/>
  <c r="I45" i="4"/>
  <c r="J45" i="4" s="1"/>
  <c r="I41" i="4"/>
  <c r="J41" i="4" s="1"/>
  <c r="AK41" i="4" s="1"/>
  <c r="I48" i="4"/>
  <c r="J48" i="4" s="1"/>
  <c r="I46" i="4"/>
  <c r="J46" i="4" s="1"/>
  <c r="I43" i="4"/>
  <c r="J43" i="4" s="1"/>
  <c r="K17" i="4"/>
  <c r="I42" i="4"/>
  <c r="J42" i="4" s="1"/>
  <c r="I39" i="4"/>
  <c r="J39" i="4" s="1"/>
  <c r="I40" i="4"/>
  <c r="J40" i="4" s="1"/>
  <c r="U48" i="7"/>
  <c r="U50" i="7" s="1"/>
  <c r="V50" i="7"/>
  <c r="V49" i="4"/>
  <c r="AE49" i="4"/>
  <c r="P35" i="7"/>
  <c r="I14" i="16" l="1"/>
  <c r="J14" i="16" s="1"/>
  <c r="K14" i="16" s="1"/>
  <c r="AK42" i="4"/>
  <c r="I11" i="16"/>
  <c r="J11" i="16" s="1"/>
  <c r="AK39" i="4"/>
  <c r="I18" i="16"/>
  <c r="J18" i="16" s="1"/>
  <c r="AK46" i="4"/>
  <c r="I15" i="16"/>
  <c r="J15" i="16" s="1"/>
  <c r="K15" i="16" s="1"/>
  <c r="AK43" i="4"/>
  <c r="I20" i="16"/>
  <c r="J20" i="16" s="1"/>
  <c r="AK48" i="4"/>
  <c r="I17" i="16"/>
  <c r="J17" i="16" s="1"/>
  <c r="K17" i="16" s="1"/>
  <c r="AK45" i="4"/>
  <c r="I16" i="16"/>
  <c r="J16" i="16" s="1"/>
  <c r="AK44" i="4"/>
  <c r="I19" i="16"/>
  <c r="J19" i="16" s="1"/>
  <c r="K19" i="16" s="1"/>
  <c r="AK47" i="4"/>
  <c r="I12" i="16"/>
  <c r="J12" i="16" s="1"/>
  <c r="AK40" i="4"/>
  <c r="I13" i="16"/>
  <c r="J13" i="16" s="1"/>
  <c r="K30" i="4"/>
  <c r="I10" i="16"/>
  <c r="J10" i="16" s="1"/>
  <c r="U10" i="16" s="1"/>
  <c r="K27" i="4"/>
  <c r="K34" i="4"/>
  <c r="I49" i="4"/>
  <c r="K35" i="4"/>
  <c r="K28" i="4"/>
  <c r="K31" i="4"/>
  <c r="K36" i="4"/>
  <c r="K37" i="4"/>
  <c r="K29" i="4"/>
  <c r="K32" i="4"/>
  <c r="K33" i="4"/>
  <c r="K18" i="16" l="1"/>
  <c r="U18" i="16"/>
  <c r="U11" i="16"/>
  <c r="U13" i="16"/>
  <c r="U12" i="16"/>
  <c r="U20" i="16"/>
  <c r="U16" i="16"/>
  <c r="K16" i="16"/>
  <c r="U19" i="16"/>
  <c r="U15" i="16"/>
  <c r="K12" i="16"/>
  <c r="K11" i="16"/>
  <c r="K20" i="16"/>
  <c r="U17" i="16"/>
  <c r="U14" i="16"/>
  <c r="K10" i="16"/>
  <c r="K13" i="16"/>
  <c r="T7" i="16" l="1" a="1"/>
  <c r="T7" i="16" s="1"/>
  <c r="T8" i="16" s="1"/>
  <c r="U8" i="16" s="1"/>
  <c r="U7" i="1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Craig Bauman</author>
  </authors>
  <commentList>
    <comment ref="F29" authorId="0" shapeId="0" xr:uid="{02EDDFDB-8ECE-4573-B0E3-91A08DC1FB8E}">
      <text>
        <r>
          <rPr>
            <b/>
            <sz val="9"/>
            <color indexed="81"/>
            <rFont val="Tahoma"/>
            <family val="2"/>
          </rPr>
          <t>Craig Bauman:</t>
        </r>
        <r>
          <rPr>
            <sz val="9"/>
            <color indexed="81"/>
            <rFont val="Tahoma"/>
            <family val="2"/>
          </rPr>
          <t xml:space="preserve">
Includes Covid-19 mitigation costs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9A946A-43AE-4C2F-AA11-2C03A02E2B51}"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 id="2" xr16:uid="{E7772653-317E-4D13-A135-5BC6735C46C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1B78F6D0-3BBD-4982-A05D-3897730F72F5}" name="WorksheetConnection_CPU Example.xlsx!Table9" type="102" refreshedVersion="8" minRefreshableVersion="5">
    <extLst>
      <ext xmlns:x15="http://schemas.microsoft.com/office/spreadsheetml/2010/11/main" uri="{DE250136-89BD-433C-8126-D09CA5730AF9}">
        <x15:connection id="Table9">
          <x15:rangePr sourceName="_xlcn.WorksheetConnection_CPUExample.xlsxTable9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3">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futureMetadata>
  <cellMetadata count="1">
    <bk>
      <rc t="1" v="0"/>
    </bk>
  </cellMetadata>
  <valueMetadata count="43">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valueMetadata>
</metadata>
</file>

<file path=xl/sharedStrings.xml><?xml version="1.0" encoding="utf-8"?>
<sst xmlns="http://schemas.openxmlformats.org/spreadsheetml/2006/main" count="2218" uniqueCount="181">
  <si>
    <t>Department Name</t>
  </si>
  <si>
    <t>Group</t>
  </si>
  <si>
    <t>Department List</t>
  </si>
  <si>
    <t>Craig Bauman Company</t>
  </si>
  <si>
    <t>Volumes Table</t>
  </si>
  <si>
    <t>Work Days in Month</t>
  </si>
  <si>
    <t>Fasteners</t>
  </si>
  <si>
    <t>8" Hex Bolts</t>
  </si>
  <si>
    <t>1" Screw Pin Anchor Shackle</t>
  </si>
  <si>
    <t>6 x 1/2" Screws</t>
  </si>
  <si>
    <t>Hex Nuts</t>
  </si>
  <si>
    <t>Plastics</t>
  </si>
  <si>
    <t>Metal</t>
  </si>
  <si>
    <t>Bevel Gears</t>
  </si>
  <si>
    <t>Worm Gears 2mm Hole 6mmx8mm</t>
  </si>
  <si>
    <t>Helical Gears 8MM</t>
  </si>
  <si>
    <t>Spur Gears 8MM</t>
  </si>
  <si>
    <t>60-Tooth Saw blade</t>
  </si>
  <si>
    <t>Diamond Circular Saw Blade</t>
  </si>
  <si>
    <t>Metal Cutting Circular Saw Blade</t>
  </si>
  <si>
    <t>Materials</t>
  </si>
  <si>
    <t>Saw Blades</t>
  </si>
  <si>
    <t>Products List</t>
  </si>
  <si>
    <t>Products</t>
  </si>
  <si>
    <t>1/1/2020</t>
  </si>
  <si>
    <t>2/1/2020</t>
  </si>
  <si>
    <t>3/1/2020</t>
  </si>
  <si>
    <t>4/1/2020</t>
  </si>
  <si>
    <t>5/1/2020</t>
  </si>
  <si>
    <t>6/1/2020</t>
  </si>
  <si>
    <t>7/1/2020</t>
  </si>
  <si>
    <t>8/1/2020</t>
  </si>
  <si>
    <t>9/1/2020</t>
  </si>
  <si>
    <t>10/1/2020</t>
  </si>
  <si>
    <t>11/1/2020</t>
  </si>
  <si>
    <t>12/1/2020</t>
  </si>
  <si>
    <t>1/1/2021</t>
  </si>
  <si>
    <t>2/1/2021</t>
  </si>
  <si>
    <t>3/1/2021</t>
  </si>
  <si>
    <t>4/1/2021</t>
  </si>
  <si>
    <t>5/1/2021</t>
  </si>
  <si>
    <t>6/1/2021</t>
  </si>
  <si>
    <t>7/1/2021</t>
  </si>
  <si>
    <t>8/1/2021</t>
  </si>
  <si>
    <t>9/1/2021</t>
  </si>
  <si>
    <t>10/1/2021</t>
  </si>
  <si>
    <t>11/1/2021</t>
  </si>
  <si>
    <t>12/1/2021</t>
  </si>
  <si>
    <t>1/1/2022</t>
  </si>
  <si>
    <t>2/1/2022</t>
  </si>
  <si>
    <t>3/1/2022</t>
  </si>
  <si>
    <t>4/1/2022</t>
  </si>
  <si>
    <t>5/1/2022</t>
  </si>
  <si>
    <t>6/1/2022</t>
  </si>
  <si>
    <t>7/1/2022</t>
  </si>
  <si>
    <t>8/1/2022</t>
  </si>
  <si>
    <t>9/1/2022</t>
  </si>
  <si>
    <t>10/1/2022</t>
  </si>
  <si>
    <t>11/1/2022</t>
  </si>
  <si>
    <t>12/1/2022</t>
  </si>
  <si>
    <t>1/1/2023</t>
  </si>
  <si>
    <t>2/1/2023</t>
  </si>
  <si>
    <t>3/1/2023</t>
  </si>
  <si>
    <t>4/1/2023</t>
  </si>
  <si>
    <t>5/1/2023</t>
  </si>
  <si>
    <t>6/1/2023</t>
  </si>
  <si>
    <t>7/1/2023</t>
  </si>
  <si>
    <t>8/1/2023</t>
  </si>
  <si>
    <t>9/1/2023</t>
  </si>
  <si>
    <t>10/1/2023</t>
  </si>
  <si>
    <t>11/1/2023</t>
  </si>
  <si>
    <t>12/1/2023</t>
  </si>
  <si>
    <t>Volumes</t>
  </si>
  <si>
    <t>Gears</t>
  </si>
  <si>
    <t>Costs by Department</t>
  </si>
  <si>
    <t>Department</t>
  </si>
  <si>
    <t>Year</t>
  </si>
  <si>
    <t>Month</t>
  </si>
  <si>
    <t>Total</t>
  </si>
  <si>
    <t>FTEs</t>
  </si>
  <si>
    <t>Volume</t>
  </si>
  <si>
    <t>Equipment Depr'n</t>
  </si>
  <si>
    <t>F&amp;E Maintenance</t>
  </si>
  <si>
    <t>Facilities</t>
  </si>
  <si>
    <t>Staff-Management</t>
  </si>
  <si>
    <t>Staff-Production</t>
  </si>
  <si>
    <t>Supplies</t>
  </si>
  <si>
    <t>Other</t>
  </si>
  <si>
    <t>IT</t>
  </si>
  <si>
    <t>NA</t>
  </si>
  <si>
    <t>Costs</t>
  </si>
  <si>
    <t>Machines</t>
  </si>
  <si>
    <t>Escalates 5% a year</t>
  </si>
  <si>
    <t>Sqr Ft</t>
  </si>
  <si>
    <t>Cost Type</t>
  </si>
  <si>
    <t>Fixed</t>
  </si>
  <si>
    <t>Variable</t>
  </si>
  <si>
    <t>Product Image</t>
  </si>
  <si>
    <t>Share of Dept Bdgt</t>
  </si>
  <si>
    <t>Mngmt FTEs</t>
  </si>
  <si>
    <t>Prod'n FTEs</t>
  </si>
  <si>
    <t>Rent</t>
  </si>
  <si>
    <t>Rates &amp; Volumes</t>
  </si>
  <si>
    <t>Facilities Sqr Ft</t>
  </si>
  <si>
    <t>Check</t>
  </si>
  <si>
    <t>Driver</t>
  </si>
  <si>
    <t>Share of Costs</t>
  </si>
  <si>
    <t>2023 Financials</t>
  </si>
  <si>
    <t>2022 Financials</t>
  </si>
  <si>
    <t>Materials Rates</t>
  </si>
  <si>
    <t>Period</t>
  </si>
  <si>
    <t>Retail Price</t>
  </si>
  <si>
    <t>Retail Sales</t>
  </si>
  <si>
    <t>Share of Retail Costs</t>
  </si>
  <si>
    <t>Actual Costs</t>
  </si>
  <si>
    <t>Cost Per Unit</t>
  </si>
  <si>
    <t>Mngmt Rate</t>
  </si>
  <si>
    <t>Prod'n Rate</t>
  </si>
  <si>
    <t>Calc'd Crt FTE</t>
  </si>
  <si>
    <t>Products Rates List</t>
  </si>
  <si>
    <t>Prior CPU</t>
  </si>
  <si>
    <t>Prior Volume</t>
  </si>
  <si>
    <t>Y</t>
  </si>
  <si>
    <t>X</t>
  </si>
  <si>
    <t>Base Yr Vol</t>
  </si>
  <si>
    <t>Base Year for Comparison</t>
  </si>
  <si>
    <t>Cost Per Unit (CPU) Review</t>
  </si>
  <si>
    <t>Base Yr  CPU</t>
  </si>
  <si>
    <t>Slope Upper</t>
  </si>
  <si>
    <t>Slope Lower</t>
  </si>
  <si>
    <t>Materials CPU</t>
  </si>
  <si>
    <t>IT per Head</t>
  </si>
  <si>
    <t>Production FTE Items per Hour</t>
  </si>
  <si>
    <t>Include</t>
  </si>
  <si>
    <t>Icons</t>
  </si>
  <si>
    <t>Pic_1</t>
  </si>
  <si>
    <t>Pic_2</t>
  </si>
  <si>
    <t>Pic_3</t>
  </si>
  <si>
    <t>Pic_4</t>
  </si>
  <si>
    <t>Pic_5</t>
  </si>
  <si>
    <t>Pic_6</t>
  </si>
  <si>
    <t>Pic_7</t>
  </si>
  <si>
    <t>Pic_8</t>
  </si>
  <si>
    <t>Pic_9</t>
  </si>
  <si>
    <t>Pic_10</t>
  </si>
  <si>
    <t>Pic_11</t>
  </si>
  <si>
    <t>Pic_0</t>
  </si>
  <si>
    <t>Include Compare</t>
  </si>
  <si>
    <t>Dept Name &amp; Symbol</t>
  </si>
  <si>
    <t>Staff</t>
  </si>
  <si>
    <t>HW</t>
  </si>
  <si>
    <t>Cost Group</t>
  </si>
  <si>
    <t>Total CPU</t>
  </si>
  <si>
    <t>Expense Category</t>
  </si>
  <si>
    <t>Category</t>
  </si>
  <si>
    <t>Facilities CPU</t>
  </si>
  <si>
    <t>Supplies CPU</t>
  </si>
  <si>
    <t>IT CPU</t>
  </si>
  <si>
    <t>Other CPU</t>
  </si>
  <si>
    <t>Evaluation Year</t>
  </si>
  <si>
    <t>Evaluation Yr Vol</t>
  </si>
  <si>
    <t>Evaluation Yr  CPU</t>
  </si>
  <si>
    <t>Waterfall Chart Data Table</t>
  </si>
  <si>
    <t>Total Staff CPU</t>
  </si>
  <si>
    <t>Total HW CPU</t>
  </si>
  <si>
    <t>Values</t>
  </si>
  <si>
    <t>Cost per Unit Change by Expense Category</t>
  </si>
  <si>
    <t>CPU Change (X Axis)</t>
  </si>
  <si>
    <t>Volume Change % (Y Axis)</t>
  </si>
  <si>
    <t>Volume Change</t>
  </si>
  <si>
    <t>CPU Change</t>
  </si>
  <si>
    <t>Change in CPU</t>
  </si>
  <si>
    <t>Work Space not for presentation</t>
  </si>
  <si>
    <t>Staff-Management CPU</t>
  </si>
  <si>
    <t>Staff-Production CPU</t>
  </si>
  <si>
    <t>Staff-Mngt</t>
  </si>
  <si>
    <t>Hardware</t>
  </si>
  <si>
    <t>Cost Per Unit by Expense Category Data Table</t>
  </si>
  <si>
    <t>Select Years to Compare</t>
  </si>
  <si>
    <t>Percentage Change in the Cost Per Unit (CPU) vs. the Percentage Change of Volume</t>
  </si>
  <si>
    <t>Represents the inverse of % change in CPU vs. % change in volume. Items near line, likely have volume as driver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</si>
</sst>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_(&quot;$&quot;* #,##0.0000_);_(&quot;$&quot;* \(#,##0.0000\);_(&quot;$&quot;* &quot;-&quot;??_);_(@_)"/>
    <numFmt numFmtId="167" formatCode="0.0000%"/>
    <numFmt numFmtId="168" formatCode="_(&quot;$&quot;* #,##0.000_);_(&quot;$&quot;* \(#,##0.000\);_(&quot;$&quot;* &quot;-&quot;??_);_(@_)"/>
    <numFmt numFmtId="169" formatCode="_(&quot;$&quot;* #,##0.00000_);_(&quot;$&quot;* \(#,##0.00000\);_(&quot;$&quot;* &quot;-&quot;??_);_(@_)"/>
    <numFmt numFmtId="170" formatCode="_(* #,##0.0000_);_(* \(#,##0.0000\);_(* &quot;-&quot;??_);_(@_)"/>
    <numFmt numFmtId="171" formatCode="0.00000"/>
    <numFmt numFmtId="172" formatCode="[Color10]0.00%;[Red]\(0.00%\);0.00%"/>
    <numFmt numFmtId="173" formatCode="[Red]0.00%;[Color10]\(0.00%\);0.00%"/>
    <numFmt numFmtId="174" formatCode="[Red]&quot;$&quot;0.0000;[Color10]\(&quot;$&quot;0.0000\);&quot;$&quot;0.0000"/>
  </numFmts>
  <fonts count="22" x14ac:knownFonts="1">
    <font>
      <sz val="11"/>
      <color theme="1"/>
      <name val="Aptos Narrow"/>
      <family val="2"/>
      <scheme val="minor"/>
    </font>
    <font>
      <sz val="11"/>
      <color theme="1"/>
      <name val="Aptos Narrow"/>
      <family val="2"/>
      <scheme val="minor"/>
    </font>
    <font>
      <sz val="11"/>
      <color rgb="FFFF0000"/>
      <name val="Aptos Narrow"/>
      <family val="2"/>
      <scheme val="minor"/>
    </font>
    <font>
      <b/>
      <sz val="11"/>
      <color theme="1"/>
      <name val="Aptos Narrow"/>
      <family val="2"/>
      <scheme val="minor"/>
    </font>
    <font>
      <sz val="9"/>
      <color theme="1"/>
      <name val="Aptos Narrow"/>
      <family val="2"/>
      <scheme val="minor"/>
    </font>
    <font>
      <sz val="8"/>
      <name val="Aptos Narrow"/>
      <family val="2"/>
      <scheme val="minor"/>
    </font>
    <font>
      <sz val="9"/>
      <color indexed="81"/>
      <name val="Tahoma"/>
      <family val="2"/>
    </font>
    <font>
      <b/>
      <sz val="9"/>
      <color indexed="81"/>
      <name val="Tahoma"/>
      <family val="2"/>
    </font>
    <font>
      <sz val="11"/>
      <color theme="0" tint="-0.34998626667073579"/>
      <name val="Aptos Narrow"/>
      <family val="2"/>
      <scheme val="minor"/>
    </font>
    <font>
      <sz val="11"/>
      <color theme="7" tint="-0.249977111117893"/>
      <name val="Aptos Narrow"/>
      <family val="2"/>
      <scheme val="minor"/>
    </font>
    <font>
      <b/>
      <sz val="11"/>
      <color theme="0"/>
      <name val="Aptos Narrow"/>
      <family val="2"/>
      <scheme val="minor"/>
    </font>
    <font>
      <sz val="11"/>
      <name val="Aptos Narrow"/>
      <family val="2"/>
      <scheme val="minor"/>
    </font>
    <font>
      <b/>
      <sz val="11"/>
      <name val="Aptos Narrow"/>
      <family val="2"/>
      <scheme val="minor"/>
    </font>
    <font>
      <sz val="12"/>
      <color theme="1"/>
      <name val="Aptos Narrow"/>
      <family val="2"/>
      <scheme val="minor"/>
    </font>
    <font>
      <sz val="14"/>
      <color theme="1"/>
      <name val="Aptos Narrow"/>
      <family val="2"/>
      <scheme val="minor"/>
    </font>
    <font>
      <b/>
      <sz val="10"/>
      <color theme="1"/>
      <name val="Aptos Narrow"/>
      <family val="2"/>
      <scheme val="minor"/>
    </font>
    <font>
      <sz val="10"/>
      <color theme="1"/>
      <name val="Aptos Narrow"/>
      <family val="2"/>
      <scheme val="minor"/>
    </font>
    <font>
      <sz val="10"/>
      <color theme="6"/>
      <name val="Aptos Narrow"/>
      <family val="2"/>
      <scheme val="minor"/>
    </font>
    <font>
      <sz val="10"/>
      <color theme="5"/>
      <name val="Aptos Narrow"/>
      <family val="2"/>
      <scheme val="minor"/>
    </font>
    <font>
      <sz val="10"/>
      <color theme="8"/>
      <name val="Aptos Narrow"/>
      <family val="2"/>
      <scheme val="minor"/>
    </font>
    <font>
      <sz val="10"/>
      <color theme="7"/>
      <name val="Aptos Narrow"/>
      <family val="2"/>
      <scheme val="minor"/>
    </font>
    <font>
      <b/>
      <sz val="12"/>
      <color theme="1"/>
      <name val="Aptos Narrow"/>
      <family val="2"/>
      <scheme val="minor"/>
    </font>
  </fonts>
  <fills count="12">
    <fill>
      <patternFill patternType="none"/>
    </fill>
    <fill>
      <patternFill patternType="gray125"/>
    </fill>
    <fill>
      <patternFill patternType="solid">
        <fgColor theme="3" tint="0.89999084444715716"/>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249977111117893"/>
        <bgColor indexed="64"/>
      </patternFill>
    </fill>
    <fill>
      <patternFill patternType="solid">
        <fgColor rgb="FFFFFF00"/>
        <bgColor indexed="64"/>
      </patternFill>
    </fill>
    <fill>
      <patternFill patternType="solid">
        <fgColor theme="6" tint="0.79998168889431442"/>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0" tint="-0.14999847407452621"/>
        <bgColor indexed="64"/>
      </patternFill>
    </fill>
    <fill>
      <patternFill patternType="solid">
        <fgColor theme="3" tint="0.749992370372631"/>
        <bgColor indexed="64"/>
      </patternFill>
    </fill>
  </fills>
  <borders count="13">
    <border>
      <left/>
      <right/>
      <top/>
      <bottom/>
      <diagonal/>
    </border>
    <border>
      <left/>
      <right/>
      <top/>
      <bottom style="medium">
        <color indexed="64"/>
      </bottom>
      <diagonal/>
    </border>
    <border>
      <left/>
      <right/>
      <top/>
      <bottom style="thin">
        <color indexed="64"/>
      </bottom>
      <diagonal/>
    </border>
    <border>
      <left/>
      <right/>
      <top style="thin">
        <color indexed="64"/>
      </top>
      <bottom style="double">
        <color indexed="64"/>
      </bottom>
      <diagonal/>
    </border>
    <border>
      <left/>
      <right/>
      <top style="thin">
        <color theme="4" tint="0.39997558519241921"/>
      </top>
      <bottom/>
      <diagonal/>
    </border>
    <border>
      <left/>
      <right style="thin">
        <color indexed="64"/>
      </right>
      <top/>
      <bottom/>
      <diagonal/>
    </border>
    <border>
      <left/>
      <right style="thin">
        <color indexed="64"/>
      </right>
      <top style="thin">
        <color indexed="64"/>
      </top>
      <bottom style="double">
        <color indexed="64"/>
      </bottom>
      <diagonal/>
    </border>
    <border>
      <left/>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medium">
        <color rgb="FF000000"/>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136">
    <xf numFmtId="0" fontId="0" fillId="0" borderId="0" xfId="0"/>
    <xf numFmtId="0" fontId="3" fillId="0" borderId="0" xfId="0" applyFont="1" applyAlignment="1">
      <alignment horizontal="center" wrapText="1"/>
    </xf>
    <xf numFmtId="0" fontId="3" fillId="0" borderId="1" xfId="0" applyFont="1" applyBorder="1" applyAlignment="1">
      <alignment horizontal="center" wrapText="1"/>
    </xf>
    <xf numFmtId="14" fontId="0" fillId="0" borderId="0" xfId="0" applyNumberFormat="1"/>
    <xf numFmtId="164" fontId="0" fillId="0" borderId="0" xfId="1" applyNumberFormat="1" applyFont="1"/>
    <xf numFmtId="9" fontId="0" fillId="0" borderId="0" xfId="0" applyNumberFormat="1"/>
    <xf numFmtId="10" fontId="0" fillId="0" borderId="0" xfId="0" applyNumberFormat="1"/>
    <xf numFmtId="9" fontId="0" fillId="0" borderId="0" xfId="3" applyFont="1"/>
    <xf numFmtId="10" fontId="0" fillId="0" borderId="0" xfId="3" applyNumberFormat="1" applyFont="1"/>
    <xf numFmtId="0" fontId="4" fillId="0" borderId="0" xfId="0" applyFont="1"/>
    <xf numFmtId="164" fontId="4" fillId="0" borderId="0" xfId="0" applyNumberFormat="1" applyFont="1"/>
    <xf numFmtId="10" fontId="4" fillId="0" borderId="0" xfId="3" applyNumberFormat="1" applyFont="1"/>
    <xf numFmtId="0" fontId="3" fillId="0" borderId="0" xfId="0" applyFont="1"/>
    <xf numFmtId="164" fontId="0" fillId="2" borderId="0" xfId="1" applyNumberFormat="1" applyFont="1" applyFill="1"/>
    <xf numFmtId="164" fontId="0" fillId="3" borderId="0" xfId="1" applyNumberFormat="1" applyFont="1" applyFill="1"/>
    <xf numFmtId="14" fontId="0" fillId="0" borderId="1" xfId="0" applyNumberFormat="1" applyBorder="1" applyAlignment="1">
      <alignment horizontal="center"/>
    </xf>
    <xf numFmtId="164" fontId="0" fillId="0" borderId="0" xfId="1" applyNumberFormat="1" applyFont="1" applyFill="1"/>
    <xf numFmtId="164" fontId="2" fillId="0" borderId="0" xfId="1" applyNumberFormat="1" applyFont="1" applyFill="1"/>
    <xf numFmtId="165" fontId="0" fillId="0" borderId="0" xfId="2" applyNumberFormat="1" applyFont="1"/>
    <xf numFmtId="165" fontId="0" fillId="0" borderId="0" xfId="0" applyNumberFormat="1"/>
    <xf numFmtId="166" fontId="0" fillId="0" borderId="0" xfId="2" applyNumberFormat="1" applyFont="1"/>
    <xf numFmtId="0" fontId="3" fillId="0" borderId="2" xfId="0" applyFont="1" applyBorder="1" applyAlignment="1">
      <alignment horizontal="center"/>
    </xf>
    <xf numFmtId="165" fontId="3" fillId="0" borderId="3" xfId="0" applyNumberFormat="1" applyFont="1" applyBorder="1"/>
    <xf numFmtId="44" fontId="0" fillId="0" borderId="0" xfId="2" applyFont="1"/>
    <xf numFmtId="0" fontId="0" fillId="0" borderId="0" xfId="0" applyAlignment="1">
      <alignment horizontal="center" wrapText="1"/>
    </xf>
    <xf numFmtId="0" fontId="3" fillId="0" borderId="0" xfId="0" applyFont="1" applyAlignment="1">
      <alignment horizontal="centerContinuous"/>
    </xf>
    <xf numFmtId="167" fontId="0" fillId="0" borderId="0" xfId="3" applyNumberFormat="1" applyFont="1"/>
    <xf numFmtId="168" fontId="0" fillId="0" borderId="0" xfId="2" applyNumberFormat="1" applyFont="1"/>
    <xf numFmtId="0" fontId="3" fillId="0" borderId="0" xfId="0" applyFont="1" applyAlignment="1">
      <alignment horizontal="center"/>
    </xf>
    <xf numFmtId="165" fontId="3" fillId="0" borderId="0" xfId="0" applyNumberFormat="1" applyFont="1"/>
    <xf numFmtId="9" fontId="0" fillId="2" borderId="0" xfId="3" applyFont="1" applyFill="1"/>
    <xf numFmtId="9" fontId="0" fillId="4" borderId="0" xfId="3" applyFont="1" applyFill="1"/>
    <xf numFmtId="9" fontId="0" fillId="3" borderId="0" xfId="3" applyFont="1" applyFill="1"/>
    <xf numFmtId="0" fontId="0" fillId="0" borderId="0" xfId="0" applyAlignment="1">
      <alignment horizontal="center"/>
    </xf>
    <xf numFmtId="43" fontId="0" fillId="0" borderId="0" xfId="1" applyFont="1" applyBorder="1" applyAlignment="1"/>
    <xf numFmtId="44" fontId="0" fillId="0" borderId="0" xfId="2" applyFont="1" applyBorder="1" applyAlignment="1"/>
    <xf numFmtId="44" fontId="0" fillId="0" borderId="0" xfId="2" applyFont="1" applyBorder="1" applyAlignment="1">
      <alignment horizontal="center"/>
    </xf>
    <xf numFmtId="164" fontId="0" fillId="0" borderId="0" xfId="1" applyNumberFormat="1" applyFont="1" applyFill="1" applyBorder="1" applyAlignment="1"/>
    <xf numFmtId="43" fontId="0" fillId="0" borderId="0" xfId="1" applyFont="1" applyBorder="1" applyAlignment="1">
      <alignment horizontal="center"/>
    </xf>
    <xf numFmtId="44" fontId="0" fillId="0" borderId="0" xfId="0" applyNumberFormat="1" applyAlignment="1">
      <alignment horizontal="center"/>
    </xf>
    <xf numFmtId="0" fontId="8" fillId="0" borderId="0" xfId="0" applyFont="1"/>
    <xf numFmtId="165" fontId="8" fillId="0" borderId="0" xfId="0" applyNumberFormat="1" applyFont="1"/>
    <xf numFmtId="43" fontId="8" fillId="0" borderId="0" xfId="1" applyFont="1"/>
    <xf numFmtId="0" fontId="3" fillId="5" borderId="0" xfId="0" applyFont="1" applyFill="1" applyAlignment="1">
      <alignment horizontal="centerContinuous" vertical="center"/>
    </xf>
    <xf numFmtId="0" fontId="3" fillId="2" borderId="0" xfId="0" applyFont="1" applyFill="1" applyAlignment="1">
      <alignment horizontal="centerContinuous"/>
    </xf>
    <xf numFmtId="169" fontId="0" fillId="0" borderId="0" xfId="2" applyNumberFormat="1" applyFont="1"/>
    <xf numFmtId="164" fontId="2" fillId="0" borderId="0" xfId="1" applyNumberFormat="1" applyFont="1"/>
    <xf numFmtId="164" fontId="9" fillId="0" borderId="0" xfId="1" applyNumberFormat="1" applyFont="1"/>
    <xf numFmtId="164" fontId="0" fillId="6" borderId="0" xfId="1" applyNumberFormat="1" applyFont="1" applyFill="1"/>
    <xf numFmtId="44" fontId="8" fillId="0" borderId="0" xfId="0" applyNumberFormat="1" applyFont="1"/>
    <xf numFmtId="164" fontId="8" fillId="0" borderId="0" xfId="1" applyNumberFormat="1" applyFont="1"/>
    <xf numFmtId="9" fontId="0" fillId="0" borderId="0" xfId="3" applyFont="1" applyFill="1"/>
    <xf numFmtId="0" fontId="0" fillId="0" borderId="0" xfId="1" applyNumberFormat="1" applyFont="1"/>
    <xf numFmtId="0" fontId="11" fillId="0" borderId="0" xfId="0" applyFont="1"/>
    <xf numFmtId="0" fontId="12" fillId="0" borderId="0" xfId="0" applyFont="1" applyAlignment="1">
      <alignment horizontal="center" wrapText="1"/>
    </xf>
    <xf numFmtId="170" fontId="11" fillId="0" borderId="0" xfId="1" applyNumberFormat="1" applyFont="1" applyFill="1" applyBorder="1"/>
    <xf numFmtId="43" fontId="0" fillId="0" borderId="0" xfId="0" applyNumberFormat="1"/>
    <xf numFmtId="164" fontId="0" fillId="7" borderId="0" xfId="1" applyNumberFormat="1" applyFont="1" applyFill="1"/>
    <xf numFmtId="43" fontId="0" fillId="0" borderId="5" xfId="0" applyNumberFormat="1" applyBorder="1"/>
    <xf numFmtId="0" fontId="0" fillId="0" borderId="5" xfId="0" applyBorder="1"/>
    <xf numFmtId="165" fontId="0" fillId="0" borderId="5" xfId="0" applyNumberFormat="1" applyBorder="1"/>
    <xf numFmtId="165" fontId="3" fillId="0" borderId="6" xfId="0" applyNumberFormat="1" applyFont="1" applyBorder="1"/>
    <xf numFmtId="14" fontId="0" fillId="8" borderId="1" xfId="0" applyNumberFormat="1" applyFill="1" applyBorder="1" applyAlignment="1">
      <alignment horizontal="center"/>
    </xf>
    <xf numFmtId="14" fontId="0" fillId="9" borderId="1" xfId="0" applyNumberFormat="1" applyFill="1" applyBorder="1" applyAlignment="1">
      <alignment horizontal="center"/>
    </xf>
    <xf numFmtId="0" fontId="11" fillId="0" borderId="4" xfId="0" applyFont="1" applyBorder="1"/>
    <xf numFmtId="169" fontId="0" fillId="0" borderId="0" xfId="0" applyNumberFormat="1"/>
    <xf numFmtId="0" fontId="0" fillId="0" borderId="7" xfId="0" applyBorder="1" applyAlignment="1">
      <alignment horizontal="center"/>
    </xf>
    <xf numFmtId="165" fontId="0" fillId="0" borderId="0" xfId="2" applyNumberFormat="1" applyFont="1" applyBorder="1"/>
    <xf numFmtId="164" fontId="0" fillId="0" borderId="0" xfId="1" applyNumberFormat="1" applyFont="1" applyBorder="1"/>
    <xf numFmtId="164" fontId="0" fillId="0" borderId="0" xfId="1" applyNumberFormat="1" applyFont="1" applyFill="1" applyBorder="1"/>
    <xf numFmtId="0" fontId="3" fillId="0" borderId="8" xfId="0" applyFont="1" applyBorder="1" applyAlignment="1">
      <alignment horizontal="center"/>
    </xf>
    <xf numFmtId="0" fontId="0" fillId="0" borderId="5" xfId="0" applyBorder="1" applyAlignment="1">
      <alignment horizontal="center"/>
    </xf>
    <xf numFmtId="43" fontId="0" fillId="0" borderId="5" xfId="1" applyFont="1" applyBorder="1"/>
    <xf numFmtId="164" fontId="0" fillId="0" borderId="5" xfId="1" applyNumberFormat="1" applyFont="1" applyBorder="1"/>
    <xf numFmtId="43" fontId="0" fillId="0" borderId="0" xfId="1" applyFont="1"/>
    <xf numFmtId="0" fontId="3" fillId="0" borderId="10" xfId="0" applyFont="1" applyBorder="1" applyAlignment="1">
      <alignment horizontal="center" wrapText="1"/>
    </xf>
    <xf numFmtId="0" fontId="13" fillId="0" borderId="0" xfId="0" applyFont="1"/>
    <xf numFmtId="0" fontId="10" fillId="0" borderId="0" xfId="0" applyFont="1" applyAlignment="1">
      <alignment horizontal="center" wrapText="1"/>
    </xf>
    <xf numFmtId="0" fontId="14" fillId="0" borderId="0" xfId="0" applyFont="1"/>
    <xf numFmtId="164" fontId="0" fillId="0" borderId="0" xfId="0" applyNumberFormat="1" applyAlignment="1">
      <alignment horizontal="center"/>
    </xf>
    <xf numFmtId="171" fontId="0" fillId="0" borderId="0" xfId="0" applyNumberFormat="1"/>
    <xf numFmtId="171" fontId="0" fillId="0" borderId="0" xfId="1" applyNumberFormat="1" applyFont="1"/>
    <xf numFmtId="164" fontId="0" fillId="0" borderId="0" xfId="0" applyNumberFormat="1" applyAlignment="1">
      <alignment horizontal="center" wrapText="1"/>
    </xf>
    <xf numFmtId="164" fontId="0" fillId="10" borderId="0" xfId="0" applyNumberFormat="1" applyFill="1" applyAlignment="1">
      <alignment horizontal="center" wrapText="1"/>
    </xf>
    <xf numFmtId="0" fontId="0" fillId="10" borderId="0" xfId="0" applyFill="1" applyAlignment="1">
      <alignment horizontal="center" wrapText="1"/>
    </xf>
    <xf numFmtId="171" fontId="0" fillId="10" borderId="0" xfId="1" applyNumberFormat="1" applyFont="1" applyFill="1"/>
    <xf numFmtId="0" fontId="15" fillId="10" borderId="2" xfId="0" applyFont="1" applyFill="1" applyBorder="1" applyAlignment="1">
      <alignment horizontal="center" wrapText="1"/>
    </xf>
    <xf numFmtId="0" fontId="16" fillId="0" borderId="0" xfId="0" applyFont="1"/>
    <xf numFmtId="0" fontId="15" fillId="0" borderId="0" xfId="0" applyFont="1"/>
    <xf numFmtId="0" fontId="16" fillId="10" borderId="11" xfId="0" applyFont="1" applyFill="1" applyBorder="1"/>
    <xf numFmtId="0" fontId="16" fillId="0" borderId="0" xfId="0" applyFont="1" applyAlignment="1">
      <alignment horizontal="centerContinuous"/>
    </xf>
    <xf numFmtId="0" fontId="15" fillId="0" borderId="9" xfId="0" applyFont="1" applyBorder="1" applyAlignment="1">
      <alignment vertical="center"/>
    </xf>
    <xf numFmtId="0" fontId="15" fillId="10" borderId="0" xfId="0" applyFont="1" applyFill="1" applyAlignment="1">
      <alignment horizontal="center" wrapText="1"/>
    </xf>
    <xf numFmtId="0" fontId="16" fillId="0" borderId="0" xfId="0" applyFont="1" applyAlignment="1">
      <alignment horizontal="center"/>
    </xf>
    <xf numFmtId="0" fontId="16" fillId="0" borderId="0" xfId="0" quotePrefix="1" applyFont="1"/>
    <xf numFmtId="164" fontId="16" fillId="0" borderId="0" xfId="1" applyNumberFormat="1" applyFont="1"/>
    <xf numFmtId="164" fontId="16" fillId="0" borderId="0" xfId="0" applyNumberFormat="1" applyFont="1"/>
    <xf numFmtId="172" fontId="15" fillId="0" borderId="0" xfId="3" applyNumberFormat="1" applyFont="1"/>
    <xf numFmtId="166" fontId="16" fillId="0" borderId="0" xfId="2" applyNumberFormat="1" applyFont="1"/>
    <xf numFmtId="173" fontId="15" fillId="0" borderId="0" xfId="3" applyNumberFormat="1" applyFont="1"/>
    <xf numFmtId="0" fontId="17" fillId="0" borderId="0" xfId="0" applyFont="1"/>
    <xf numFmtId="0" fontId="18" fillId="0" borderId="0" xfId="0" applyFont="1"/>
    <xf numFmtId="0" fontId="19" fillId="0" borderId="0" xfId="0" applyFont="1"/>
    <xf numFmtId="0" fontId="20" fillId="0" borderId="0" xfId="0" applyFont="1"/>
    <xf numFmtId="0" fontId="15" fillId="0" borderId="2" xfId="0" applyFont="1" applyBorder="1"/>
    <xf numFmtId="164" fontId="15" fillId="0" borderId="2" xfId="1" applyNumberFormat="1" applyFont="1" applyBorder="1" applyAlignment="1">
      <alignment horizontal="center" wrapText="1"/>
    </xf>
    <xf numFmtId="172" fontId="15" fillId="0" borderId="2" xfId="3" applyNumberFormat="1" applyFont="1" applyBorder="1" applyAlignment="1">
      <alignment horizontal="centerContinuous" wrapText="1"/>
    </xf>
    <xf numFmtId="166" fontId="15" fillId="0" borderId="2" xfId="2" applyNumberFormat="1" applyFont="1" applyBorder="1" applyAlignment="1">
      <alignment horizontal="centerContinuous"/>
    </xf>
    <xf numFmtId="174" fontId="15" fillId="0" borderId="0" xfId="3" applyNumberFormat="1" applyFont="1"/>
    <xf numFmtId="173" fontId="16" fillId="0" borderId="0" xfId="3" applyNumberFormat="1" applyFont="1"/>
    <xf numFmtId="166" fontId="16" fillId="0" borderId="0" xfId="0" applyNumberFormat="1" applyFont="1"/>
    <xf numFmtId="174" fontId="16" fillId="0" borderId="0" xfId="0" applyNumberFormat="1" applyFont="1"/>
    <xf numFmtId="166" fontId="16" fillId="0" borderId="3" xfId="2" applyNumberFormat="1" applyFont="1" applyBorder="1"/>
    <xf numFmtId="174" fontId="15" fillId="0" borderId="3" xfId="3" applyNumberFormat="1" applyFont="1" applyBorder="1"/>
    <xf numFmtId="173" fontId="16" fillId="0" borderId="3" xfId="3" applyNumberFormat="1" applyFont="1" applyBorder="1"/>
    <xf numFmtId="0" fontId="21" fillId="0" borderId="0" xfId="0" applyFont="1"/>
    <xf numFmtId="10" fontId="13" fillId="0" borderId="0" xfId="0" quotePrefix="1" applyNumberFormat="1" applyFont="1"/>
    <xf numFmtId="0" fontId="13" fillId="11" borderId="0" xfId="0" applyFont="1" applyFill="1"/>
    <xf numFmtId="169" fontId="11" fillId="0" borderId="0" xfId="2" applyNumberFormat="1" applyFont="1"/>
    <xf numFmtId="0" fontId="10" fillId="0" borderId="0" xfId="1" applyNumberFormat="1" applyFont="1" applyFill="1" applyBorder="1" applyAlignment="1">
      <alignment horizontal="center" wrapText="1"/>
    </xf>
    <xf numFmtId="0" fontId="10" fillId="0" borderId="0" xfId="0" applyFont="1" applyAlignment="1">
      <alignment horizontal="center"/>
    </xf>
    <xf numFmtId="44" fontId="0" fillId="0" borderId="4" xfId="2" applyFont="1" applyFill="1" applyBorder="1"/>
    <xf numFmtId="0" fontId="0" fillId="0" borderId="4" xfId="1" applyNumberFormat="1" applyFont="1" applyFill="1" applyBorder="1"/>
    <xf numFmtId="171" fontId="0" fillId="0" borderId="4" xfId="0" applyNumberFormat="1" applyBorder="1"/>
    <xf numFmtId="164" fontId="0" fillId="0" borderId="4" xfId="1" applyNumberFormat="1" applyFont="1" applyFill="1" applyBorder="1"/>
    <xf numFmtId="2" fontId="0" fillId="0" borderId="4" xfId="0" applyNumberFormat="1" applyBorder="1"/>
    <xf numFmtId="0" fontId="0" fillId="0" borderId="0" xfId="1" applyNumberFormat="1" applyFont="1" applyFill="1"/>
    <xf numFmtId="43" fontId="0" fillId="0" borderId="3" xfId="1" applyFont="1" applyFill="1" applyBorder="1"/>
    <xf numFmtId="164" fontId="0" fillId="0" borderId="3" xfId="1" applyNumberFormat="1" applyFont="1" applyFill="1" applyBorder="1"/>
    <xf numFmtId="0" fontId="15" fillId="10" borderId="0" xfId="0" applyFont="1" applyFill="1" applyAlignment="1">
      <alignment horizontal="centerContinuous"/>
    </xf>
    <xf numFmtId="0" fontId="15" fillId="10" borderId="2" xfId="0" applyFont="1" applyFill="1" applyBorder="1" applyAlignment="1">
      <alignment horizontal="centerContinuous"/>
    </xf>
    <xf numFmtId="0" fontId="15" fillId="10" borderId="8" xfId="0" applyFont="1" applyFill="1" applyBorder="1" applyAlignment="1">
      <alignment horizontal="center" wrapText="1"/>
    </xf>
    <xf numFmtId="172" fontId="15" fillId="0" borderId="5" xfId="3" applyNumberFormat="1" applyFont="1" applyBorder="1"/>
    <xf numFmtId="0" fontId="21" fillId="10" borderId="0" xfId="0" applyFont="1" applyFill="1" applyAlignment="1">
      <alignment horizontal="center" vertical="center" wrapText="1"/>
    </xf>
    <xf numFmtId="0" fontId="15" fillId="10" borderId="12" xfId="0" applyFont="1" applyFill="1" applyBorder="1" applyAlignment="1">
      <alignment vertical="center"/>
    </xf>
    <xf numFmtId="0" fontId="15" fillId="0" borderId="9" xfId="0" applyFont="1" applyBorder="1" applyAlignment="1" applyProtection="1">
      <alignment horizontal="center" vertical="center"/>
      <protection locked="0"/>
    </xf>
  </cellXfs>
  <cellStyles count="4">
    <cellStyle name="Comma" xfId="1" builtinId="3"/>
    <cellStyle name="Currency" xfId="2" builtinId="4"/>
    <cellStyle name="Normal" xfId="0" builtinId="0"/>
    <cellStyle name="Percent" xfId="3" builtinId="5"/>
  </cellStyles>
  <dxfs count="113">
    <dxf>
      <font>
        <color theme="0"/>
      </font>
    </dxf>
    <dxf>
      <font>
        <color theme="0"/>
      </font>
    </dxf>
    <dxf>
      <font>
        <color theme="0"/>
      </font>
    </dxf>
    <dxf>
      <font>
        <strike val="0"/>
        <outline val="0"/>
        <shadow val="0"/>
        <u val="none"/>
        <vertAlign val="baseline"/>
        <sz val="11"/>
        <color auto="1"/>
        <name val="Aptos Narrow"/>
        <family val="2"/>
        <scheme val="minor"/>
      </font>
      <numFmt numFmtId="0" formatCode="General"/>
      <fill>
        <patternFill patternType="none">
          <fgColor indexed="64"/>
          <bgColor auto="1"/>
        </patternFill>
      </fill>
    </dxf>
    <dxf>
      <font>
        <strike val="0"/>
        <outline val="0"/>
        <shadow val="0"/>
        <u val="none"/>
        <vertAlign val="baseline"/>
        <sz val="11"/>
        <color auto="1"/>
        <name val="Aptos Narrow"/>
        <family val="2"/>
        <scheme val="minor"/>
      </font>
      <fill>
        <patternFill patternType="none">
          <fgColor indexed="64"/>
          <bgColor auto="1"/>
        </patternFill>
      </fill>
    </dxf>
    <dxf>
      <font>
        <strike val="0"/>
        <outline val="0"/>
        <shadow val="0"/>
        <u val="none"/>
        <vertAlign val="baseline"/>
        <sz val="11"/>
        <color auto="1"/>
        <name val="Aptos Narrow"/>
        <family val="2"/>
        <scheme val="minor"/>
      </font>
      <fill>
        <patternFill patternType="none">
          <fgColor indexed="64"/>
          <bgColor auto="1"/>
        </patternFill>
      </fill>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11"/>
        <color auto="1"/>
        <name val="Aptos Narrow"/>
        <family val="2"/>
        <scheme val="minor"/>
      </font>
      <fill>
        <patternFill patternType="none">
          <fgColor indexed="64"/>
          <bgColor auto="1"/>
        </patternFill>
      </fill>
    </dxf>
    <dxf>
      <font>
        <b/>
        <i val="0"/>
        <strike val="0"/>
        <condense val="0"/>
        <extend val="0"/>
        <outline val="0"/>
        <shadow val="0"/>
        <u val="none"/>
        <vertAlign val="baseline"/>
        <sz val="11"/>
        <color theme="0"/>
        <name val="Aptos Narrow"/>
        <family val="2"/>
        <scheme val="minor"/>
      </font>
      <fill>
        <patternFill patternType="none">
          <fgColor indexed="64"/>
          <bgColor auto="1"/>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numFmt numFmtId="164" formatCode="_(* #,##0_);_(* \(#,##0\);_(* &quot;-&quot;??_);_(@_)"/>
      <fill>
        <patternFill patternType="solid">
          <fgColor indexed="64"/>
          <bgColor theme="5" tint="0.79998168889431442"/>
        </patternFill>
      </fill>
    </dxf>
    <dxf>
      <font>
        <b val="0"/>
        <i val="0"/>
        <strike val="0"/>
        <condense val="0"/>
        <extend val="0"/>
        <outline val="0"/>
        <shadow val="0"/>
        <u val="none"/>
        <vertAlign val="baseline"/>
        <sz val="11"/>
        <color theme="1"/>
        <name val="Aptos Narrow"/>
        <family val="2"/>
        <scheme val="minor"/>
      </font>
    </dxf>
    <dxf>
      <border outline="0">
        <bottom style="medium">
          <color indexed="64"/>
        </bottom>
      </border>
    </dxf>
    <dxf>
      <numFmt numFmtId="175" formatCode="[$-409]mmm\-yy;@"/>
    </dxf>
    <dxf>
      <numFmt numFmtId="164" formatCode="_(* #,##0_);_(* \(#,##0\);_(* &quot;-&quot;??_);_(@_)"/>
    </dxf>
    <dxf>
      <numFmt numFmtId="19" formatCode="m/d/yyyy"/>
    </dxf>
    <dxf>
      <numFmt numFmtId="0" formatCode="General"/>
    </dxf>
    <dxf>
      <numFmt numFmtId="0" formatCode="General"/>
    </dxf>
    <dxf>
      <numFmt numFmtId="0" formatCode="General"/>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164" formatCode="_(* #,##0_);_(* \(#,##0\);_(* &quot;-&quot;??_);_(@_)"/>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2" formatCode="0.00"/>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2" formatCode="0.00"/>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Aptos Narrow"/>
        <family val="2"/>
        <scheme val="minor"/>
      </font>
      <numFmt numFmtId="34" formatCode="_(&quot;$&quot;* #,##0.00_);_(&quot;$&quot;* \(#,##0.00\);_(&quot;$&quot;* &quot;-&quot;??_);_(@_)"/>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ptos Narrow"/>
        <family val="2"/>
        <scheme val="minor"/>
      </font>
      <fill>
        <patternFill patternType="none">
          <fgColor indexed="64"/>
          <bgColor auto="1"/>
        </patternFill>
      </fill>
    </dxf>
    <dxf>
      <font>
        <b/>
        <i val="0"/>
        <strike val="0"/>
        <condense val="0"/>
        <extend val="0"/>
        <outline val="0"/>
        <shadow val="0"/>
        <u val="none"/>
        <vertAlign val="baseline"/>
        <sz val="11"/>
        <color theme="0"/>
        <name val="Aptos Narrow"/>
        <family val="2"/>
        <scheme val="minor"/>
      </font>
      <fill>
        <patternFill patternType="none">
          <fgColor indexed="64"/>
          <bgColor auto="1"/>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Aptos Narrow"/>
        <family val="2"/>
        <scheme val="minor"/>
      </font>
      <numFmt numFmtId="168" formatCode="_(&quot;$&quot;* #,##0.000_);_(&quot;$&quot;* \(#,##0.000\);_(&quot;$&quot;* &quot;-&quot;??_);_(@_)"/>
    </dxf>
    <dxf>
      <font>
        <b val="0"/>
        <i val="0"/>
        <strike val="0"/>
        <condense val="0"/>
        <extend val="0"/>
        <outline val="0"/>
        <shadow val="0"/>
        <u val="none"/>
        <vertAlign val="baseline"/>
        <sz val="11"/>
        <color theme="1"/>
        <name val="Aptos Narrow"/>
        <family val="2"/>
        <scheme val="minor"/>
      </font>
      <numFmt numFmtId="168" formatCode="_(&quot;$&quot;* #,##0.000_);_(&quot;$&quot;* \(#,##0.000\);_(&quot;$&quot;* &quot;-&quot;??_);_(@_)"/>
    </dxf>
    <dxf>
      <numFmt numFmtId="165" formatCode="_(&quot;$&quot;* #,##0_);_(&quot;$&quot;* \(#,##0\);_(&quot;$&quot;* &quot;-&quot;??_);_(@_)"/>
    </dxf>
    <dxf>
      <numFmt numFmtId="165" formatCode="_(&quot;$&quot;* #,##0_);_(&quot;$&quot;* \(#,##0\);_(&quot;$&quot;* &quot;-&quot;??_);_(@_)"/>
    </dxf>
    <dxf>
      <numFmt numFmtId="165" formatCode="_(&quot;$&quot;* #,##0_);_(&quot;$&quot;* \(#,##0\);_(&quot;$&quot;* &quot;-&quot;??_);_(@_)"/>
    </dxf>
    <dxf>
      <font>
        <b val="0"/>
        <i val="0"/>
        <strike val="0"/>
        <condense val="0"/>
        <extend val="0"/>
        <outline val="0"/>
        <shadow val="0"/>
        <u val="none"/>
        <vertAlign val="baseline"/>
        <sz val="11"/>
        <color theme="1"/>
        <name val="Aptos Narrow"/>
        <family val="2"/>
        <scheme val="minor"/>
      </font>
      <numFmt numFmtId="165" formatCode="_(&quot;$&quot;* #,##0_);_(&quot;$&quot;* \(#,##0\);_(&quot;$&quot;* &quot;-&quot;??_);_(@_)"/>
    </dxf>
    <dxf>
      <numFmt numFmtId="164" formatCode="_(* #,##0_);_(* \(#,##0\);_(* &quot;-&quot;??_);_(@_)"/>
    </dxf>
    <dxf>
      <font>
        <b val="0"/>
        <i val="0"/>
        <strike val="0"/>
        <condense val="0"/>
        <extend val="0"/>
        <outline val="0"/>
        <shadow val="0"/>
        <u val="none"/>
        <vertAlign val="baseline"/>
        <sz val="11"/>
        <color theme="1"/>
        <name val="Aptos Narrow"/>
        <family val="2"/>
        <scheme val="minor"/>
      </font>
      <numFmt numFmtId="166" formatCode="_(&quot;$&quot;* #,##0.0000_);_(&quot;$&quot;* \(#,##0.0000\);_(&quot;$&quot;* &quot;-&quot;??_);_(@_)"/>
    </dxf>
    <dxf>
      <font>
        <b val="0"/>
        <i val="0"/>
        <strike val="0"/>
        <condense val="0"/>
        <extend val="0"/>
        <outline val="0"/>
        <shadow val="0"/>
        <u val="none"/>
        <vertAlign val="baseline"/>
        <sz val="11"/>
        <color theme="1"/>
        <name val="Aptos Narrow"/>
        <family val="2"/>
        <scheme val="minor"/>
      </font>
      <numFmt numFmtId="166" formatCode="_(&quot;$&quot;* #,##0.0000_);_(&quot;$&quot;* \(#,##0.0000\);_(&quot;$&quot;* &quot;-&quot;??_);_(@_)"/>
    </dxf>
    <dxf>
      <numFmt numFmtId="19" formatCode="m/d/yyyy"/>
    </dxf>
    <dxf>
      <border outline="0">
        <bottom style="medium">
          <color indexed="64"/>
        </bottom>
      </border>
    </dxf>
    <dxf>
      <font>
        <b/>
        <i val="0"/>
        <strike val="0"/>
        <condense val="0"/>
        <extend val="0"/>
        <outline val="0"/>
        <shadow val="0"/>
        <u val="none"/>
        <vertAlign val="baseline"/>
        <sz val="11"/>
        <color theme="1"/>
        <name val="Aptos Narrow"/>
        <family val="2"/>
        <scheme val="minor"/>
      </font>
      <alignment horizontal="center" vertical="bottom" textRotation="0" wrapText="1" indent="0" justifyLastLine="0" shrinkToFit="0" readingOrder="0"/>
    </dxf>
    <dxf>
      <numFmt numFmtId="165" formatCode="_(&quot;$&quot;* #,##0_);_(&quot;$&quot;* \(#,##0\);_(&quot;$&quot;* &quot;-&quot;??_);_(@_)"/>
    </dxf>
    <dxf>
      <font>
        <b val="0"/>
        <i val="0"/>
        <strike val="0"/>
        <condense val="0"/>
        <extend val="0"/>
        <outline val="0"/>
        <shadow val="0"/>
        <u val="none"/>
        <vertAlign val="baseline"/>
        <sz val="11"/>
        <color theme="1"/>
        <name val="Aptos Narrow"/>
        <family val="2"/>
        <scheme val="minor"/>
      </font>
      <numFmt numFmtId="165" formatCode="_(&quot;$&quot;* #,##0_);_(&quot;$&quot;* \(#,##0\);_(&quot;$&quot;* &quot;-&quot;??_);_(@_)"/>
    </dxf>
    <dxf>
      <font>
        <b val="0"/>
        <i val="0"/>
        <strike val="0"/>
        <condense val="0"/>
        <extend val="0"/>
        <outline val="0"/>
        <shadow val="0"/>
        <u val="none"/>
        <vertAlign val="baseline"/>
        <sz val="11"/>
        <color theme="1"/>
        <name val="Aptos Narrow"/>
        <family val="2"/>
        <scheme val="minor"/>
      </font>
      <numFmt numFmtId="35" formatCode="_(* #,##0.00_);_(* \(#,##0.00\);_(* &quot;-&quot;??_);_(@_)"/>
    </dxf>
    <dxf>
      <font>
        <b val="0"/>
        <i val="0"/>
        <strike val="0"/>
        <condense val="0"/>
        <extend val="0"/>
        <outline val="0"/>
        <shadow val="0"/>
        <u val="none"/>
        <vertAlign val="baseline"/>
        <sz val="11"/>
        <color theme="1"/>
        <name val="Aptos Narrow"/>
        <family val="2"/>
        <scheme val="minor"/>
      </font>
      <numFmt numFmtId="166" formatCode="_(&quot;$&quot;* #,##0.0000_);_(&quot;$&quot;* \(#,##0.0000\);_(&quot;$&quot;* &quot;-&quot;??_);_(@_)"/>
    </dxf>
    <dxf>
      <numFmt numFmtId="164" formatCode="_(* #,##0_);_(* \(#,##0\);_(* &quot;-&quot;??_);_(@_)"/>
    </dxf>
    <dxf>
      <font>
        <b val="0"/>
        <i val="0"/>
        <strike val="0"/>
        <condense val="0"/>
        <extend val="0"/>
        <outline val="0"/>
        <shadow val="0"/>
        <u val="none"/>
        <vertAlign val="baseline"/>
        <sz val="11"/>
        <color theme="1"/>
        <name val="Aptos Narrow"/>
        <family val="2"/>
        <scheme val="minor"/>
      </font>
      <numFmt numFmtId="166" formatCode="_(&quot;$&quot;* #,##0.0000_);_(&quot;$&quot;* \(#,##0.0000\);_(&quot;$&quot;* &quot;-&quot;??_);_(@_)"/>
    </dxf>
    <dxf>
      <numFmt numFmtId="19" formatCode="m/d/yyyy"/>
    </dxf>
    <dxf>
      <border outline="0">
        <bottom style="medium">
          <color rgb="FF000000"/>
        </bottom>
      </border>
    </dxf>
    <dxf>
      <font>
        <b/>
        <i val="0"/>
        <strike val="0"/>
        <condense val="0"/>
        <extend val="0"/>
        <outline val="0"/>
        <shadow val="0"/>
        <u val="none"/>
        <vertAlign val="baseline"/>
        <sz val="11"/>
        <color theme="1"/>
        <name val="Aptos Narrow"/>
        <family val="2"/>
        <scheme val="minor"/>
      </font>
      <alignment horizontal="center" vertical="bottom" textRotation="0" wrapText="1" indent="0" justifyLastLine="0" shrinkToFit="0" readingOrder="0"/>
    </dxf>
    <dxf>
      <numFmt numFmtId="0" formatCode="General"/>
    </dxf>
    <dxf>
      <numFmt numFmtId="19" formatCode="m/d/yyyy"/>
    </dxf>
    <dxf>
      <border outline="0">
        <bottom style="medium">
          <color rgb="FF000000"/>
        </bottom>
      </border>
    </dxf>
    <dxf>
      <font>
        <b/>
        <i val="0"/>
        <strike val="0"/>
        <condense val="0"/>
        <extend val="0"/>
        <outline val="0"/>
        <shadow val="0"/>
        <u val="none"/>
        <vertAlign val="baseline"/>
        <sz val="11"/>
        <color theme="1"/>
        <name val="Aptos Narrow"/>
        <family val="2"/>
        <scheme val="minor"/>
      </font>
      <alignment horizontal="center" vertical="bottom" textRotation="0" wrapText="1" indent="0" justifyLastLine="0" shrinkToFit="0" readingOrder="0"/>
    </dxf>
    <dxf>
      <border outline="0">
        <bottom style="medium">
          <color indexed="64"/>
        </bottom>
      </border>
    </dxf>
    <dxf>
      <font>
        <b/>
        <i val="0"/>
        <strike val="0"/>
        <condense val="0"/>
        <extend val="0"/>
        <outline val="0"/>
        <shadow val="0"/>
        <u val="none"/>
        <vertAlign val="baseline"/>
        <sz val="11"/>
        <color theme="1"/>
        <name val="Aptos Narrow"/>
        <family val="2"/>
        <scheme val="minor"/>
      </font>
      <alignment horizontal="center" vertical="bottom" textRotation="0" wrapText="1" indent="0" justifyLastLine="0" shrinkToFit="0" readingOrder="0"/>
    </dxf>
    <dxf>
      <font>
        <b/>
        <i val="0"/>
        <sz val="11"/>
      </font>
    </dxf>
    <dxf>
      <font>
        <sz val="9"/>
        <color theme="1"/>
      </font>
      <border>
        <left/>
        <right/>
        <top/>
        <bottom/>
        <vertical/>
        <horizontal/>
      </border>
    </dxf>
    <dxf>
      <font>
        <b/>
        <i val="0"/>
        <sz val="11"/>
      </font>
      <fill>
        <patternFill>
          <bgColor theme="0" tint="-0.14996795556505021"/>
        </patternFill>
      </fill>
    </dxf>
  </dxfs>
  <tableStyles count="2" defaultTableStyle="TableStyleMedium2" defaultPivotStyle="PivotStyleLight16">
    <tableStyle name="Dept Names" pivot="0" table="0" count="9" xr9:uid="{4F901FDC-4635-4BC0-854D-A1A14C24B375}">
      <tableStyleElement type="headerRow" dxfId="112"/>
    </tableStyle>
    <tableStyle name="Products" pivot="0" table="0" count="10" xr9:uid="{ACB00B21-88D2-4A55-9F45-BB477985752C}">
      <tableStyleElement type="wholeTable" dxfId="111"/>
      <tableStyleElement type="headerRow" dxfId="11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4659260841701"/>
          </font>
          <fill>
            <patternFill patternType="solid">
              <fgColor theme="4" tint="0.59999389629810485"/>
              <bgColor theme="5" tint="0.79998168889431442"/>
            </patternFill>
          </fill>
          <border>
            <left/>
            <right/>
            <top/>
            <bottom/>
            <vertical/>
            <horizontal/>
          </border>
        </dxf>
        <dxf>
          <font>
            <color theme="0"/>
          </font>
          <fill>
            <patternFill patternType="solid">
              <fgColor theme="4"/>
              <bgColor theme="7" tint="-0.499984740745262"/>
            </patternFill>
          </fill>
          <border>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7" tint="0.7999816888943144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7" tint="0.79998168889431442"/>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7" tint="-0.499984740745262"/>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ept Name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Product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microsoft.com/office/2017/06/relationships/rdRichValue" Target="richData/rdrichvalue.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powerPivotData" Target="model/item.data"/><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microsoft.com/office/2007/relationships/slicerCache" Target="slicerCaches/slicerCache1.xml"/><Relationship Id="rId19" Type="http://schemas.microsoft.com/office/2017/06/relationships/rdRichValueStructure" Target="richData/rdrichvaluestructure.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10/relationships/person" Target="persons/person.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theme" Target="theme/theme1.xml"/><Relationship Id="rId17" Type="http://schemas.microsoft.com/office/2022/10/relationships/richValueRel" Target="richData/richValueRel.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microsoft.com/office/2011/relationships/chartColorStyle" Target="colors1.xml"/><Relationship Id="rId1" Type="http://schemas.microsoft.com/office/2011/relationships/chartStyle" Target="style1.xml"/><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750154974346816E-2"/>
          <c:y val="4.4830934594714121E-2"/>
          <c:w val="0.84025859832847527"/>
          <c:h val="0.85993417489480484"/>
        </c:manualLayout>
      </c:layout>
      <c:scatterChart>
        <c:scatterStyle val="smoothMarker"/>
        <c:varyColors val="0"/>
        <c:ser>
          <c:idx val="11"/>
          <c:order val="0"/>
          <c:tx>
            <c:v>Slope</c:v>
          </c:tx>
          <c:spPr>
            <a:ln w="31750" cap="sq">
              <a:solidFill>
                <a:schemeClr val="accent5">
                  <a:alpha val="49000"/>
                </a:schemeClr>
              </a:solidFill>
              <a:bevel/>
              <a:headEnd type="stealth"/>
              <a:tailEnd type="stealth"/>
            </a:ln>
            <a:effectLst>
              <a:outerShdw blurRad="50800" dist="38100" dir="5400000" algn="t" rotWithShape="0">
                <a:prstClr val="black">
                  <a:alpha val="40000"/>
                </a:prstClr>
              </a:outerShdw>
            </a:effectLst>
          </c:spPr>
          <c:marker>
            <c:symbol val="none"/>
          </c:marker>
          <c:dLbls>
            <c:dLbl>
              <c:idx val="0"/>
              <c:layout>
                <c:manualLayout>
                  <c:x val="9.7958466488708894E-5"/>
                  <c:y val="-7.9814673352398113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ysClr val="windowText" lastClr="000000">
                            <a:lumMod val="65000"/>
                            <a:lumOff val="35000"/>
                          </a:sysClr>
                        </a:solidFill>
                        <a:effectLst/>
                        <a:latin typeface="+mn-lt"/>
                        <a:ea typeface="+mn-ea"/>
                        <a:cs typeface="+mn-cs"/>
                      </a:defRPr>
                    </a:pPr>
                    <a:fld id="{620DD520-B2AB-488A-A6CA-3768DDC0F683}" type="CELLRANGE">
                      <a:rPr lang="en-US"/>
                      <a:pPr>
                        <a:defRPr>
                          <a:solidFill>
                            <a:sysClr val="windowText" lastClr="000000">
                              <a:lumMod val="65000"/>
                              <a:lumOff val="35000"/>
                            </a:sysClr>
                          </a:solidFill>
                          <a:effectLst/>
                        </a:defRPr>
                      </a:pPr>
                      <a:t>[CELLRANGE]</a:t>
                    </a:fld>
                    <a:endParaRPr lang="en-US"/>
                  </a:p>
                </c:rich>
              </c:tx>
              <c:spPr>
                <a:solidFill>
                  <a:srgbClr val="FFC000">
                    <a:alpha val="16000"/>
                  </a:srgbClr>
                </a:solidFill>
                <a:ln>
                  <a:solidFill>
                    <a:sysClr val="windowText" lastClr="000000">
                      <a:lumMod val="25000"/>
                      <a:lumOff val="75000"/>
                    </a:sysClr>
                  </a:solid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ysClr val="windowText" lastClr="000000">
                          <a:lumMod val="65000"/>
                          <a:lumOff val="35000"/>
                        </a:sys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75651969383224094"/>
                      <c:h val="0.11633257381288875"/>
                    </c:manualLayout>
                  </c15:layout>
                  <c15:dlblFieldTable/>
                  <c15:showDataLabelsRange val="1"/>
                </c:ext>
                <c:ext xmlns:c16="http://schemas.microsoft.com/office/drawing/2014/chart" uri="{C3380CC4-5D6E-409C-BE32-E72D297353CC}">
                  <c16:uniqueId val="{00000000-DFAE-45FC-A39C-FC45F7FC9932}"/>
                </c:ext>
              </c:extLst>
            </c:dLbl>
            <c:dLbl>
              <c:idx val="1"/>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1-DFAE-45FC-A39C-FC45F7FC993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DataLabelsRange val="1"/>
                <c15:showLeaderLines val="0"/>
              </c:ext>
            </c:extLst>
          </c:dLbls>
          <c:xVal>
            <c:numRef>
              <c:f>'CPU Review'!$U$7:$U$8</c:f>
              <c:numCache>
                <c:formatCode>0.00%</c:formatCode>
                <c:ptCount val="2"/>
                <c:pt idx="0">
                  <c:v>-5.5E-2</c:v>
                </c:pt>
                <c:pt idx="1">
                  <c:v>5.5E-2</c:v>
                </c:pt>
              </c:numCache>
            </c:numRef>
          </c:xVal>
          <c:yVal>
            <c:numRef>
              <c:f>'CPU Review'!$T$7:$T$8</c:f>
              <c:numCache>
                <c:formatCode>0.00%</c:formatCode>
                <c:ptCount val="2"/>
                <c:pt idx="0">
                  <c:v>5.5E-2</c:v>
                </c:pt>
                <c:pt idx="1">
                  <c:v>-5.5E-2</c:v>
                </c:pt>
              </c:numCache>
            </c:numRef>
          </c:yVal>
          <c:smooth val="1"/>
          <c:extLst>
            <c:ext xmlns:c15="http://schemas.microsoft.com/office/drawing/2012/chart" uri="{02D57815-91ED-43cb-92C2-25804820EDAC}">
              <c15:datalabelsRange>
                <c15:f>'CPU Review'!$Q$6</c15:f>
                <c15:dlblRangeCache>
                  <c:ptCount val="1"/>
                  <c:pt idx="0">
                    <c:v>Represents the inverse of % change in CPU vs. % change in volume. Items near line, likely have volume as driver</c:v>
                  </c:pt>
                </c15:dlblRangeCache>
              </c15:datalabelsRange>
            </c:ext>
            <c:ext xmlns:c16="http://schemas.microsoft.com/office/drawing/2014/chart" uri="{C3380CC4-5D6E-409C-BE32-E72D297353CC}">
              <c16:uniqueId val="{00000000-07AC-42F9-AE7C-31D4C8908031}"/>
            </c:ext>
          </c:extLst>
        </c:ser>
        <c:ser>
          <c:idx val="0"/>
          <c:order val="1"/>
          <c:tx>
            <c:strRef>
              <c:f>'CPU Review'!$Q$10</c:f>
              <c:strCache>
                <c:ptCount val="1"/>
                <c:pt idx="0">
                  <c:v>6 x 1/2" Screws</c:v>
                </c:pt>
              </c:strCache>
            </c:strRef>
          </c:tx>
          <c:spPr>
            <a:ln w="9525" cap="rnd">
              <a:solidFill>
                <a:schemeClr val="accent1"/>
              </a:solidFill>
              <a:round/>
            </a:ln>
            <a:effectLst>
              <a:outerShdw blurRad="57150" dist="19050" dir="5400000" algn="ctr" rotWithShape="0">
                <a:srgbClr val="000000">
                  <a:alpha val="63000"/>
                </a:srgbClr>
              </a:outerShdw>
            </a:effectLst>
          </c:spPr>
          <c:marker>
            <c:symbol val="square"/>
            <c:size val="15"/>
            <c:spPr>
              <a:blipFill>
                <a:blip xmlns:r="http://schemas.openxmlformats.org/officeDocument/2006/relationships" r:embed="rId3">
                  <a:alphaModFix amt="79000"/>
                </a:blip>
                <a:stretch>
                  <a:fillRect/>
                </a:stretch>
              </a:blipFill>
              <a:ln w="9525" cap="rnd">
                <a:noFill/>
                <a:round/>
              </a:ln>
              <a:effectLst>
                <a:outerShdw blurRad="50800" dist="38100" dir="2700000" algn="tl" rotWithShape="0">
                  <a:prstClr val="black">
                    <a:alpha val="40000"/>
                  </a:prstClr>
                </a:outerShdw>
              </a:effectLst>
            </c:spPr>
          </c:marker>
          <c:xVal>
            <c:numRef>
              <c:f>'CPU Review'!$U$10</c:f>
              <c:numCache>
                <c:formatCode>[Red]0.00%;[Color10]\(0.00%\);0.00%</c:formatCode>
                <c:ptCount val="1"/>
                <c:pt idx="0">
                  <c:v>-2.006163033052883E-2</c:v>
                </c:pt>
              </c:numCache>
            </c:numRef>
          </c:xVal>
          <c:yVal>
            <c:numRef>
              <c:f>'CPU Review'!$T$10</c:f>
              <c:numCache>
                <c:formatCode>[Color10]0.00%;[Red]\(0.00%\);0.00%</c:formatCode>
                <c:ptCount val="1"/>
                <c:pt idx="0">
                  <c:v>3.3885229068875457E-3</c:v>
                </c:pt>
              </c:numCache>
            </c:numRef>
          </c:yVal>
          <c:smooth val="1"/>
          <c:extLst>
            <c:ext xmlns:c16="http://schemas.microsoft.com/office/drawing/2014/chart" uri="{C3380CC4-5D6E-409C-BE32-E72D297353CC}">
              <c16:uniqueId val="{00000001-07AC-42F9-AE7C-31D4C8908031}"/>
            </c:ext>
          </c:extLst>
        </c:ser>
        <c:ser>
          <c:idx val="2"/>
          <c:order val="2"/>
          <c:tx>
            <c:strRef>
              <c:f>'CPU Review'!$Q$11</c:f>
              <c:strCache>
                <c:ptCount val="1"/>
                <c:pt idx="0">
                  <c:v>8" Hex Bolts</c:v>
                </c:pt>
              </c:strCache>
            </c:strRef>
          </c:tx>
          <c:spPr>
            <a:ln w="9525" cap="rnd">
              <a:solidFill>
                <a:schemeClr val="accent3"/>
              </a:solidFill>
              <a:round/>
            </a:ln>
            <a:effectLst>
              <a:outerShdw blurRad="57150" dist="19050" dir="5400000" algn="ctr" rotWithShape="0">
                <a:srgbClr val="000000">
                  <a:alpha val="63000"/>
                </a:srgbClr>
              </a:outerShdw>
            </a:effectLst>
          </c:spPr>
          <c:marker>
            <c:symbol val="square"/>
            <c:size val="15"/>
            <c:spPr>
              <a:blipFill>
                <a:blip xmlns:r="http://schemas.openxmlformats.org/officeDocument/2006/relationships" r:embed="rId4">
                  <a:alphaModFix amt="79000"/>
                </a:blip>
                <a:stretch>
                  <a:fillRect/>
                </a:stretch>
              </a:blipFill>
              <a:ln w="9525" cap="rnd">
                <a:noFill/>
                <a:round/>
              </a:ln>
              <a:effectLst>
                <a:outerShdw blurRad="50800" dist="38100" dir="2700000" algn="tl" rotWithShape="0">
                  <a:prstClr val="black">
                    <a:alpha val="40000"/>
                  </a:prstClr>
                </a:outerShdw>
              </a:effectLst>
            </c:spPr>
          </c:marker>
          <c:xVal>
            <c:numRef>
              <c:f>'CPU Review'!$U$11</c:f>
              <c:numCache>
                <c:formatCode>[Red]0.00%;[Color10]\(0.00%\);0.00%</c:formatCode>
                <c:ptCount val="1"/>
                <c:pt idx="0">
                  <c:v>-2.5033221671924552E-2</c:v>
                </c:pt>
              </c:numCache>
            </c:numRef>
          </c:xVal>
          <c:yVal>
            <c:numRef>
              <c:f>'CPU Review'!$T$11</c:f>
              <c:numCache>
                <c:formatCode>[Color10]0.00%;[Red]\(0.00%\);0.00%</c:formatCode>
                <c:ptCount val="1"/>
                <c:pt idx="0">
                  <c:v>-4.5379763452000059E-2</c:v>
                </c:pt>
              </c:numCache>
            </c:numRef>
          </c:yVal>
          <c:smooth val="1"/>
          <c:extLst>
            <c:ext xmlns:c16="http://schemas.microsoft.com/office/drawing/2014/chart" uri="{C3380CC4-5D6E-409C-BE32-E72D297353CC}">
              <c16:uniqueId val="{00000002-07AC-42F9-AE7C-31D4C8908031}"/>
            </c:ext>
          </c:extLst>
        </c:ser>
        <c:ser>
          <c:idx val="3"/>
          <c:order val="3"/>
          <c:tx>
            <c:strRef>
              <c:f>'CPU Review'!$Q$12</c:f>
              <c:strCache>
                <c:ptCount val="1"/>
                <c:pt idx="0">
                  <c:v>1" Screw Pin Anchor Shackle</c:v>
                </c:pt>
              </c:strCache>
            </c:strRef>
          </c:tx>
          <c:spPr>
            <a:ln w="9525" cap="rnd">
              <a:solidFill>
                <a:schemeClr val="accent4"/>
              </a:solidFill>
              <a:round/>
            </a:ln>
            <a:effectLst>
              <a:outerShdw blurRad="57150" dist="19050" dir="5400000" algn="ctr" rotWithShape="0">
                <a:srgbClr val="000000">
                  <a:alpha val="63000"/>
                </a:srgbClr>
              </a:outerShdw>
            </a:effectLst>
          </c:spPr>
          <c:marker>
            <c:symbol val="square"/>
            <c:size val="15"/>
            <c:spPr>
              <a:blipFill dpi="0" rotWithShape="1">
                <a:blip xmlns:r="http://schemas.openxmlformats.org/officeDocument/2006/relationships" r:embed="rId5">
                  <a:alphaModFix amt="78000"/>
                </a:blip>
                <a:srcRect/>
                <a:stretch>
                  <a:fillRect/>
                </a:stretch>
              </a:blipFill>
              <a:ln w="9525" cap="rnd">
                <a:noFill/>
                <a:round/>
              </a:ln>
              <a:effectLst>
                <a:outerShdw blurRad="50800" dist="38100" dir="2700000" algn="tl" rotWithShape="0">
                  <a:prstClr val="black">
                    <a:alpha val="40000"/>
                  </a:prstClr>
                </a:outerShdw>
              </a:effectLst>
            </c:spPr>
          </c:marker>
          <c:xVal>
            <c:numRef>
              <c:f>'CPU Review'!$U$12</c:f>
              <c:numCache>
                <c:formatCode>[Red]0.00%;[Color10]\(0.00%\);0.00%</c:formatCode>
                <c:ptCount val="1"/>
                <c:pt idx="0">
                  <c:v>-4.6078048408308044E-2</c:v>
                </c:pt>
              </c:numCache>
            </c:numRef>
          </c:xVal>
          <c:yVal>
            <c:numRef>
              <c:f>'CPU Review'!$T$12</c:f>
              <c:numCache>
                <c:formatCode>[Color10]0.00%;[Red]\(0.00%\);0.00%</c:formatCode>
                <c:ptCount val="1"/>
                <c:pt idx="0">
                  <c:v>2.9330716757639676E-2</c:v>
                </c:pt>
              </c:numCache>
            </c:numRef>
          </c:yVal>
          <c:smooth val="1"/>
          <c:extLst>
            <c:ext xmlns:c16="http://schemas.microsoft.com/office/drawing/2014/chart" uri="{C3380CC4-5D6E-409C-BE32-E72D297353CC}">
              <c16:uniqueId val="{00000003-07AC-42F9-AE7C-31D4C8908031}"/>
            </c:ext>
          </c:extLst>
        </c:ser>
        <c:ser>
          <c:idx val="4"/>
          <c:order val="4"/>
          <c:tx>
            <c:strRef>
              <c:f>'CPU Review'!$Q$13</c:f>
              <c:strCache>
                <c:ptCount val="1"/>
                <c:pt idx="0">
                  <c:v>Hex Nuts</c:v>
                </c:pt>
              </c:strCache>
            </c:strRef>
          </c:tx>
          <c:spPr>
            <a:ln w="9525" cap="rnd">
              <a:solidFill>
                <a:schemeClr val="accent5"/>
              </a:solidFill>
              <a:round/>
            </a:ln>
            <a:effectLst>
              <a:outerShdw blurRad="57150" dist="19050" dir="5400000" algn="ctr" rotWithShape="0">
                <a:srgbClr val="000000">
                  <a:alpha val="63000"/>
                </a:srgbClr>
              </a:outerShdw>
            </a:effectLst>
          </c:spPr>
          <c:marker>
            <c:symbol val="square"/>
            <c:size val="15"/>
            <c:spPr>
              <a:blipFill>
                <a:blip xmlns:r="http://schemas.openxmlformats.org/officeDocument/2006/relationships" r:embed="rId6">
                  <a:alphaModFix amt="79000"/>
                </a:blip>
                <a:stretch>
                  <a:fillRect/>
                </a:stretch>
              </a:blipFill>
              <a:ln w="9525" cap="rnd">
                <a:noFill/>
                <a:round/>
              </a:ln>
              <a:effectLst>
                <a:outerShdw blurRad="57150" dist="19050" dir="5400000" algn="ctr" rotWithShape="0">
                  <a:srgbClr val="000000">
                    <a:alpha val="63000"/>
                  </a:srgbClr>
                </a:outerShdw>
              </a:effectLst>
            </c:spPr>
          </c:marker>
          <c:xVal>
            <c:numRef>
              <c:f>'CPU Review'!$U$13</c:f>
              <c:numCache>
                <c:formatCode>[Red]0.00%;[Color10]\(0.00%\);0.00%</c:formatCode>
                <c:ptCount val="1"/>
                <c:pt idx="0">
                  <c:v>-1.0219703461900714E-2</c:v>
                </c:pt>
              </c:numCache>
            </c:numRef>
          </c:xVal>
          <c:yVal>
            <c:numRef>
              <c:f>'CPU Review'!$T$13</c:f>
              <c:numCache>
                <c:formatCode>[Color10]0.00%;[Red]\(0.00%\);0.00%</c:formatCode>
                <c:ptCount val="1"/>
                <c:pt idx="0">
                  <c:v>-1.9161006180209245E-2</c:v>
                </c:pt>
              </c:numCache>
            </c:numRef>
          </c:yVal>
          <c:smooth val="1"/>
          <c:extLst>
            <c:ext xmlns:c16="http://schemas.microsoft.com/office/drawing/2014/chart" uri="{C3380CC4-5D6E-409C-BE32-E72D297353CC}">
              <c16:uniqueId val="{00000004-07AC-42F9-AE7C-31D4C8908031}"/>
            </c:ext>
          </c:extLst>
        </c:ser>
        <c:ser>
          <c:idx val="5"/>
          <c:order val="5"/>
          <c:tx>
            <c:strRef>
              <c:f>'CPU Review'!$Q$14</c:f>
              <c:strCache>
                <c:ptCount val="1"/>
                <c:pt idx="0">
                  <c:v>Spur Gears 8MM</c:v>
                </c:pt>
              </c:strCache>
            </c:strRef>
          </c:tx>
          <c:spPr>
            <a:ln w="9525" cap="rnd">
              <a:solidFill>
                <a:schemeClr val="accent6"/>
              </a:solidFill>
              <a:round/>
            </a:ln>
            <a:effectLst>
              <a:outerShdw blurRad="57150" dist="19050" dir="5400000" algn="ctr" rotWithShape="0">
                <a:srgbClr val="000000">
                  <a:alpha val="63000"/>
                </a:srgbClr>
              </a:outerShdw>
            </a:effectLst>
          </c:spPr>
          <c:marker>
            <c:symbol val="square"/>
            <c:size val="15"/>
            <c:spPr>
              <a:blipFill dpi="0" rotWithShape="1">
                <a:blip xmlns:r="http://schemas.openxmlformats.org/officeDocument/2006/relationships" r:embed="rId7">
                  <a:alphaModFix amt="98000"/>
                </a:blip>
                <a:srcRect/>
                <a:stretch>
                  <a:fillRect/>
                </a:stretch>
              </a:blipFill>
              <a:ln w="6350" cap="rnd">
                <a:noFill/>
                <a:round/>
              </a:ln>
              <a:effectLst>
                <a:outerShdw blurRad="50800" dist="38100" dir="2700000" algn="tl" rotWithShape="0">
                  <a:prstClr val="black">
                    <a:alpha val="40000"/>
                  </a:prstClr>
                </a:outerShdw>
              </a:effectLst>
            </c:spPr>
          </c:marker>
          <c:xVal>
            <c:numRef>
              <c:f>'CPU Review'!$U$14</c:f>
              <c:numCache>
                <c:formatCode>[Red]0.00%;[Color10]\(0.00%\);0.00%</c:formatCode>
                <c:ptCount val="1"/>
                <c:pt idx="0">
                  <c:v>-1.1349190678567373E-2</c:v>
                </c:pt>
              </c:numCache>
            </c:numRef>
          </c:xVal>
          <c:yVal>
            <c:numRef>
              <c:f>'CPU Review'!$T$14</c:f>
              <c:numCache>
                <c:formatCode>[Color10]0.00%;[Red]\(0.00%\);0.00%</c:formatCode>
                <c:ptCount val="1"/>
                <c:pt idx="0">
                  <c:v>6.7836561851184396E-3</c:v>
                </c:pt>
              </c:numCache>
            </c:numRef>
          </c:yVal>
          <c:smooth val="1"/>
          <c:extLst>
            <c:ext xmlns:c16="http://schemas.microsoft.com/office/drawing/2014/chart" uri="{C3380CC4-5D6E-409C-BE32-E72D297353CC}">
              <c16:uniqueId val="{00000005-07AC-42F9-AE7C-31D4C8908031}"/>
            </c:ext>
          </c:extLst>
        </c:ser>
        <c:ser>
          <c:idx val="6"/>
          <c:order val="6"/>
          <c:tx>
            <c:strRef>
              <c:f>'CPU Review'!$Q$15</c:f>
              <c:strCache>
                <c:ptCount val="1"/>
                <c:pt idx="0">
                  <c:v>Helical Gears 8MM</c:v>
                </c:pt>
              </c:strCache>
            </c:strRef>
          </c:tx>
          <c:spPr>
            <a:ln w="9525" cap="rnd">
              <a:solidFill>
                <a:schemeClr val="accent1">
                  <a:lumMod val="60000"/>
                </a:schemeClr>
              </a:solidFill>
              <a:round/>
            </a:ln>
            <a:effectLst>
              <a:outerShdw blurRad="57150" dist="19050" dir="5400000" algn="ctr" rotWithShape="0">
                <a:srgbClr val="000000">
                  <a:alpha val="63000"/>
                </a:srgbClr>
              </a:outerShdw>
            </a:effectLst>
          </c:spPr>
          <c:marker>
            <c:symbol val="square"/>
            <c:size val="15"/>
            <c:spPr>
              <a:blipFill dpi="0" rotWithShape="1">
                <a:blip xmlns:r="http://schemas.openxmlformats.org/officeDocument/2006/relationships" r:embed="rId8">
                  <a:alphaModFix amt="96000"/>
                </a:blip>
                <a:srcRect/>
                <a:stretch>
                  <a:fillRect/>
                </a:stretch>
              </a:blipFill>
              <a:ln w="19050" cap="flat" cmpd="sng" algn="ctr">
                <a:noFill/>
                <a:prstDash val="solid"/>
                <a:miter lim="800000"/>
              </a:ln>
              <a:effectLst/>
            </c:spPr>
          </c:marker>
          <c:xVal>
            <c:numRef>
              <c:f>'CPU Review'!$U$15</c:f>
              <c:numCache>
                <c:formatCode>[Red]0.00%;[Color10]\(0.00%\);0.00%</c:formatCode>
                <c:ptCount val="1"/>
                <c:pt idx="0">
                  <c:v>-6.2631992386444667E-3</c:v>
                </c:pt>
              </c:numCache>
            </c:numRef>
          </c:xVal>
          <c:yVal>
            <c:numRef>
              <c:f>'CPU Review'!$T$15</c:f>
              <c:numCache>
                <c:formatCode>[Color10]0.00%;[Red]\(0.00%\);0.00%</c:formatCode>
                <c:ptCount val="1"/>
                <c:pt idx="0">
                  <c:v>-2.681358154653074E-2</c:v>
                </c:pt>
              </c:numCache>
            </c:numRef>
          </c:yVal>
          <c:smooth val="1"/>
          <c:extLst>
            <c:ext xmlns:c16="http://schemas.microsoft.com/office/drawing/2014/chart" uri="{C3380CC4-5D6E-409C-BE32-E72D297353CC}">
              <c16:uniqueId val="{00000006-07AC-42F9-AE7C-31D4C8908031}"/>
            </c:ext>
          </c:extLst>
        </c:ser>
        <c:ser>
          <c:idx val="7"/>
          <c:order val="7"/>
          <c:tx>
            <c:strRef>
              <c:f>'CPU Review'!$Q$16</c:f>
              <c:strCache>
                <c:ptCount val="1"/>
                <c:pt idx="0">
                  <c:v>Bevel Gears</c:v>
                </c:pt>
              </c:strCache>
            </c:strRef>
          </c:tx>
          <c:spPr>
            <a:ln w="9525" cap="rnd">
              <a:solidFill>
                <a:schemeClr val="accent5"/>
              </a:solidFill>
              <a:round/>
            </a:ln>
            <a:effectLst>
              <a:outerShdw blurRad="57150" dist="19050" dir="5400000" algn="ctr" rotWithShape="0">
                <a:srgbClr val="000000">
                  <a:alpha val="63000"/>
                </a:srgbClr>
              </a:outerShdw>
            </a:effectLst>
          </c:spPr>
          <c:marker>
            <c:symbol val="square"/>
            <c:size val="15"/>
            <c:spPr>
              <a:blipFill>
                <a:blip xmlns:r="http://schemas.openxmlformats.org/officeDocument/2006/relationships" r:embed="rId9"/>
                <a:stretch>
                  <a:fillRect/>
                </a:stretch>
              </a:blipFill>
              <a:ln w="25400" cap="rnd">
                <a:noFill/>
                <a:round/>
              </a:ln>
              <a:effectLst>
                <a:outerShdw blurRad="57150" dist="19050" dir="5400000" algn="ctr" rotWithShape="0">
                  <a:srgbClr val="000000">
                    <a:alpha val="63000"/>
                  </a:srgbClr>
                </a:outerShdw>
              </a:effectLst>
            </c:spPr>
          </c:marker>
          <c:xVal>
            <c:numRef>
              <c:f>'CPU Review'!$U$16</c:f>
              <c:numCache>
                <c:formatCode>[Red]0.00%;[Color10]\(0.00%\);0.00%</c:formatCode>
                <c:ptCount val="1"/>
                <c:pt idx="0">
                  <c:v>-1.148326011602818E-2</c:v>
                </c:pt>
              </c:numCache>
            </c:numRef>
          </c:xVal>
          <c:yVal>
            <c:numRef>
              <c:f>'CPU Review'!$T$16</c:f>
              <c:numCache>
                <c:formatCode>[Color10]0.00%;[Red]\(0.00%\);0.00%</c:formatCode>
                <c:ptCount val="1"/>
                <c:pt idx="0">
                  <c:v>3.7372304318530887E-3</c:v>
                </c:pt>
              </c:numCache>
            </c:numRef>
          </c:yVal>
          <c:smooth val="1"/>
          <c:extLst>
            <c:ext xmlns:c16="http://schemas.microsoft.com/office/drawing/2014/chart" uri="{C3380CC4-5D6E-409C-BE32-E72D297353CC}">
              <c16:uniqueId val="{00000007-07AC-42F9-AE7C-31D4C8908031}"/>
            </c:ext>
          </c:extLst>
        </c:ser>
        <c:ser>
          <c:idx val="8"/>
          <c:order val="8"/>
          <c:tx>
            <c:strRef>
              <c:f>'CPU Review'!$Q$17</c:f>
              <c:strCache>
                <c:ptCount val="1"/>
                <c:pt idx="0">
                  <c:v>Worm Gears 2mm Hole 6mmx8mm</c:v>
                </c:pt>
              </c:strCache>
            </c:strRef>
          </c:tx>
          <c:spPr>
            <a:ln w="9525" cap="rnd">
              <a:solidFill>
                <a:schemeClr val="accent3">
                  <a:lumMod val="60000"/>
                </a:schemeClr>
              </a:solidFill>
              <a:round/>
            </a:ln>
            <a:effectLst>
              <a:outerShdw blurRad="57150" dist="19050" dir="5400000" algn="ctr" rotWithShape="0">
                <a:srgbClr val="000000">
                  <a:alpha val="63000"/>
                </a:srgbClr>
              </a:outerShdw>
            </a:effectLst>
          </c:spPr>
          <c:marker>
            <c:symbol val="square"/>
            <c:size val="15"/>
            <c:spPr>
              <a:blipFill>
                <a:blip xmlns:r="http://schemas.openxmlformats.org/officeDocument/2006/relationships" r:embed="rId10"/>
                <a:stretch>
                  <a:fillRect/>
                </a:stretch>
              </a:blipFill>
              <a:ln w="9525" cap="rnd">
                <a:noFill/>
                <a:round/>
              </a:ln>
              <a:effectLst>
                <a:outerShdw blurRad="57150" dist="19050" dir="5400000" algn="ctr" rotWithShape="0">
                  <a:srgbClr val="000000">
                    <a:alpha val="63000"/>
                  </a:srgbClr>
                </a:outerShdw>
              </a:effectLst>
            </c:spPr>
          </c:marker>
          <c:xVal>
            <c:numRef>
              <c:f>'CPU Review'!$U$17</c:f>
              <c:numCache>
                <c:formatCode>[Red]0.00%;[Color10]\(0.00%\);0.00%</c:formatCode>
                <c:ptCount val="1"/>
                <c:pt idx="0">
                  <c:v>-1.0907627583879391E-2</c:v>
                </c:pt>
              </c:numCache>
            </c:numRef>
          </c:xVal>
          <c:yVal>
            <c:numRef>
              <c:f>'CPU Review'!$T$17</c:f>
              <c:numCache>
                <c:formatCode>[Color10]0.00%;[Red]\(0.00%\);0.00%</c:formatCode>
                <c:ptCount val="1"/>
                <c:pt idx="0">
                  <c:v>-1.6899264146155797E-3</c:v>
                </c:pt>
              </c:numCache>
            </c:numRef>
          </c:yVal>
          <c:smooth val="1"/>
          <c:extLst>
            <c:ext xmlns:c16="http://schemas.microsoft.com/office/drawing/2014/chart" uri="{C3380CC4-5D6E-409C-BE32-E72D297353CC}">
              <c16:uniqueId val="{00000008-07AC-42F9-AE7C-31D4C8908031}"/>
            </c:ext>
          </c:extLst>
        </c:ser>
        <c:ser>
          <c:idx val="9"/>
          <c:order val="9"/>
          <c:tx>
            <c:strRef>
              <c:f>'CPU Review'!$Q$18</c:f>
              <c:strCache>
                <c:ptCount val="1"/>
                <c:pt idx="0">
                  <c:v>60-Tooth Saw blade</c:v>
                </c:pt>
              </c:strCache>
            </c:strRef>
          </c:tx>
          <c:spPr>
            <a:ln w="9525" cap="rnd">
              <a:noFill/>
              <a:round/>
            </a:ln>
            <a:effectLst>
              <a:outerShdw blurRad="57150" dist="19050" dir="5400000" algn="ctr" rotWithShape="0">
                <a:srgbClr val="000000">
                  <a:alpha val="63000"/>
                </a:srgbClr>
              </a:outerShdw>
            </a:effectLst>
          </c:spPr>
          <c:marker>
            <c:symbol val="square"/>
            <c:size val="15"/>
            <c:spPr>
              <a:blipFill>
                <a:blip xmlns:r="http://schemas.openxmlformats.org/officeDocument/2006/relationships" r:embed="rId11">
                  <a:alphaModFix amt="79000"/>
                </a:blip>
                <a:stretch>
                  <a:fillRect/>
                </a:stretch>
              </a:blipFill>
              <a:ln w="9525" cap="rnd">
                <a:noFill/>
                <a:round/>
              </a:ln>
              <a:effectLst>
                <a:outerShdw blurRad="57150" dist="19050" dir="5400000" algn="ctr" rotWithShape="0">
                  <a:srgbClr val="000000">
                    <a:alpha val="63000"/>
                  </a:srgbClr>
                </a:outerShdw>
              </a:effectLst>
            </c:spPr>
          </c:marker>
          <c:xVal>
            <c:numRef>
              <c:f>'CPU Review'!$U$18</c:f>
              <c:numCache>
                <c:formatCode>[Red]0.00%;[Color10]\(0.00%\);0.00%</c:formatCode>
                <c:ptCount val="1"/>
                <c:pt idx="0">
                  <c:v>-5.2622150122369031E-3</c:v>
                </c:pt>
              </c:numCache>
            </c:numRef>
          </c:xVal>
          <c:yVal>
            <c:numRef>
              <c:f>'CPU Review'!$T$18</c:f>
              <c:numCache>
                <c:formatCode>[Color10]0.00%;[Red]\(0.00%\);0.00%</c:formatCode>
                <c:ptCount val="1"/>
                <c:pt idx="0">
                  <c:v>3.3832570037545901E-3</c:v>
                </c:pt>
              </c:numCache>
            </c:numRef>
          </c:yVal>
          <c:smooth val="1"/>
          <c:extLst>
            <c:ext xmlns:c16="http://schemas.microsoft.com/office/drawing/2014/chart" uri="{C3380CC4-5D6E-409C-BE32-E72D297353CC}">
              <c16:uniqueId val="{00000009-07AC-42F9-AE7C-31D4C8908031}"/>
            </c:ext>
          </c:extLst>
        </c:ser>
        <c:ser>
          <c:idx val="10"/>
          <c:order val="10"/>
          <c:tx>
            <c:strRef>
              <c:f>'CPU Review'!$Q$19</c:f>
              <c:strCache>
                <c:ptCount val="1"/>
                <c:pt idx="0">
                  <c:v>Metal Cutting Circular Saw Blade</c:v>
                </c:pt>
              </c:strCache>
            </c:strRef>
          </c:tx>
          <c:spPr>
            <a:ln w="9525" cap="rnd">
              <a:solidFill>
                <a:schemeClr val="accent5">
                  <a:lumMod val="60000"/>
                </a:schemeClr>
              </a:solidFill>
              <a:round/>
            </a:ln>
            <a:effectLst>
              <a:outerShdw blurRad="57150" dist="19050" dir="5400000" algn="ctr" rotWithShape="0">
                <a:srgbClr val="000000">
                  <a:alpha val="63000"/>
                </a:srgbClr>
              </a:outerShdw>
            </a:effectLst>
          </c:spPr>
          <c:marker>
            <c:symbol val="square"/>
            <c:size val="15"/>
            <c:spPr>
              <a:blipFill>
                <a:blip xmlns:r="http://schemas.openxmlformats.org/officeDocument/2006/relationships" r:embed="rId12">
                  <a:alphaModFix amt="78000"/>
                </a:blip>
                <a:stretch>
                  <a:fillRect/>
                </a:stretch>
              </a:blipFill>
              <a:ln w="9525" cap="rnd">
                <a:noFill/>
                <a:round/>
              </a:ln>
              <a:effectLst>
                <a:outerShdw blurRad="57150" dist="19050" dir="5400000" algn="ctr" rotWithShape="0">
                  <a:srgbClr val="000000">
                    <a:alpha val="63000"/>
                  </a:srgbClr>
                </a:outerShdw>
              </a:effectLst>
            </c:spPr>
          </c:marker>
          <c:xVal>
            <c:numRef>
              <c:f>'CPU Review'!$U$19</c:f>
              <c:numCache>
                <c:formatCode>[Red]0.00%;[Color10]\(0.00%\);0.00%</c:formatCode>
                <c:ptCount val="1"/>
                <c:pt idx="0">
                  <c:v>-1.2736871961164532E-2</c:v>
                </c:pt>
              </c:numCache>
            </c:numRef>
          </c:xVal>
          <c:yVal>
            <c:numRef>
              <c:f>'CPU Review'!$T$19</c:f>
              <c:numCache>
                <c:formatCode>[Color10]0.00%;[Red]\(0.00%\);0.00%</c:formatCode>
                <c:ptCount val="1"/>
                <c:pt idx="0">
                  <c:v>6.7824139146575998E-3</c:v>
                </c:pt>
              </c:numCache>
            </c:numRef>
          </c:yVal>
          <c:smooth val="1"/>
          <c:extLst>
            <c:ext xmlns:c16="http://schemas.microsoft.com/office/drawing/2014/chart" uri="{C3380CC4-5D6E-409C-BE32-E72D297353CC}">
              <c16:uniqueId val="{0000000A-07AC-42F9-AE7C-31D4C8908031}"/>
            </c:ext>
          </c:extLst>
        </c:ser>
        <c:ser>
          <c:idx val="1"/>
          <c:order val="11"/>
          <c:tx>
            <c:strRef>
              <c:f>'CPU Review'!$Q$20</c:f>
              <c:strCache>
                <c:ptCount val="1"/>
                <c:pt idx="0">
                  <c:v>Diamond Circular Saw Blade</c:v>
                </c:pt>
              </c:strCache>
            </c:strRef>
          </c:tx>
          <c:spPr>
            <a:ln w="9525" cap="rnd">
              <a:solidFill>
                <a:schemeClr val="accent2"/>
              </a:solidFill>
              <a:round/>
            </a:ln>
            <a:effectLst>
              <a:outerShdw blurRad="57150" dist="19050" dir="5400000" algn="ctr" rotWithShape="0">
                <a:srgbClr val="000000">
                  <a:alpha val="63000"/>
                </a:srgbClr>
              </a:outerShdw>
            </a:effectLst>
          </c:spPr>
          <c:marker>
            <c:symbol val="square"/>
            <c:size val="15"/>
            <c:spPr>
              <a:blipFill>
                <a:blip xmlns:r="http://schemas.openxmlformats.org/officeDocument/2006/relationships" r:embed="rId13">
                  <a:alphaModFix amt="78000"/>
                </a:blip>
                <a:stretch>
                  <a:fillRect/>
                </a:stretch>
              </a:blipFill>
              <a:ln w="9525" cap="rnd">
                <a:noFill/>
                <a:round/>
              </a:ln>
              <a:effectLst>
                <a:outerShdw blurRad="57150" dist="19050" dir="5400000" algn="ctr" rotWithShape="0">
                  <a:srgbClr val="000000">
                    <a:alpha val="63000"/>
                  </a:srgbClr>
                </a:outerShdw>
              </a:effectLst>
            </c:spPr>
          </c:marker>
          <c:xVal>
            <c:numRef>
              <c:f>'CPU Review'!$U$20</c:f>
              <c:numCache>
                <c:formatCode>[Red]0.00%;[Color10]\(0.00%\);0.00%</c:formatCode>
                <c:ptCount val="1"/>
                <c:pt idx="0">
                  <c:v>-1.4742563438595891E-2</c:v>
                </c:pt>
              </c:numCache>
            </c:numRef>
          </c:xVal>
          <c:yVal>
            <c:numRef>
              <c:f>'CPU Review'!$T$20</c:f>
              <c:numCache>
                <c:formatCode>[Color10]0.00%;[Red]\(0.00%\);0.00%</c:formatCode>
                <c:ptCount val="1"/>
                <c:pt idx="0">
                  <c:v>1.8049134356153705E-2</c:v>
                </c:pt>
              </c:numCache>
            </c:numRef>
          </c:yVal>
          <c:smooth val="1"/>
          <c:extLst>
            <c:ext xmlns:c16="http://schemas.microsoft.com/office/drawing/2014/chart" uri="{C3380CC4-5D6E-409C-BE32-E72D297353CC}">
              <c16:uniqueId val="{0000000B-07AC-42F9-AE7C-31D4C8908031}"/>
            </c:ext>
          </c:extLst>
        </c:ser>
        <c:dLbls>
          <c:showLegendKey val="0"/>
          <c:showVal val="0"/>
          <c:showCatName val="0"/>
          <c:showSerName val="0"/>
          <c:showPercent val="0"/>
          <c:showBubbleSize val="0"/>
        </c:dLbls>
        <c:axId val="132253215"/>
        <c:axId val="132254175"/>
      </c:scatterChart>
      <c:valAx>
        <c:axId val="13225321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&lt;-- Volume Change Year over Year --&gt;</a:t>
                </a:r>
              </a:p>
            </c:rich>
          </c:tx>
          <c:layout>
            <c:manualLayout>
              <c:xMode val="edge"/>
              <c:yMode val="edge"/>
              <c:x val="0.20989123851157401"/>
              <c:y val="0.9182336182336182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Color10]0%;[Red]\(0%\);0%" sourceLinked="0"/>
        <c:majorTickMark val="none"/>
        <c:minorTickMark val="none"/>
        <c:tickLblPos val="nextTo"/>
        <c:spPr>
          <a:noFill/>
          <a:ln w="12700" cap="flat" cmpd="sng" algn="ctr">
            <a:solidFill>
              <a:schemeClr val="tx1">
                <a:alpha val="59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32254175"/>
        <c:crosses val="autoZero"/>
        <c:crossBetween val="midCat"/>
      </c:valAx>
      <c:valAx>
        <c:axId val="132254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&lt;-- CPU Change Year</a:t>
                </a:r>
                <a:r>
                  <a:rPr lang="en-US" sz="1400" baseline="0"/>
                  <a:t> over Year  --&gt;</a:t>
                </a:r>
              </a:p>
            </c:rich>
          </c:tx>
          <c:layout>
            <c:manualLayout>
              <c:xMode val="edge"/>
              <c:yMode val="edge"/>
              <c:x val="9.7924841334632497E-3"/>
              <c:y val="8.3546928428818196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Red]0%;[Color10]\(0%\);0%" sourceLinked="0"/>
        <c:majorTickMark val="none"/>
        <c:minorTickMark val="none"/>
        <c:tickLblPos val="nextTo"/>
        <c:spPr>
          <a:noFill/>
          <a:ln>
            <a:solidFill>
              <a:schemeClr val="tx1">
                <a:alpha val="57000"/>
              </a:schemeClr>
            </a:solid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32253215"/>
        <c:crosses val="autoZero"/>
        <c:crossBetween val="midCat"/>
      </c:valAx>
      <c:spPr>
        <a:noFill/>
        <a:ln>
          <a:solidFill>
            <a:schemeClr val="bg2">
              <a:lumMod val="50000"/>
              <a:alpha val="6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A2EEBCF-2A95-4FA2-B7C0-110B7774A530}">
          <cx:tx>
            <cx:txData>
              <cx:f>_xlchart.v1.1</cx:f>
              <cx:v>Values</cx:v>
            </cx:txData>
          </cx:tx>
          <cx:dataPt idx="0">
            <cx:spPr>
              <a:solidFill>
                <a:srgbClr val="002060"/>
              </a:solidFill>
            </cx:spPr>
          </cx:dataPt>
          <cx:dataLabels>
            <cx:txPr>
              <a:bodyPr spcFirstLastPara="1" vertOverflow="ellipsis" horzOverflow="overflow" wrap="square" lIns="0" tIns="0" rIns="0" bIns="0" anchor="ctr" anchorCtr="1"/>
              <a:lstStyle/>
              <a:p>
                <a:pPr algn="ctr" rtl="0">
                  <a:defRPr sz="800"/>
                </a:pPr>
                <a:endParaRPr lang="en-US" sz="800" b="0" i="0" u="none" strike="noStrike" baseline="0">
                  <a:solidFill>
                    <a:sysClr val="windowText" lastClr="000000">
                      <a:lumMod val="65000"/>
                      <a:lumOff val="35000"/>
                    </a:sysClr>
                  </a:solidFill>
                  <a:latin typeface="Aptos Narrow" panose="02110004020202020204"/>
                </a:endParaRPr>
              </a:p>
            </cx:txPr>
          </cx:dataLabels>
          <cx:dataId val="0"/>
          <cx:layoutPr>
            <cx:subtotals>
              <cx:idx val="9"/>
              <cx:idx val="10"/>
            </cx:subtotals>
          </cx:layoutPr>
        </cx:series>
      </cx:plotAreaRegion>
      <cx:axis id="0">
        <cx:catScaling gapWidth="0.5"/>
        <cx:tickLabels/>
        <cx:txPr>
          <a:bodyPr spcFirstLastPara="1" vertOverflow="ellipsis" horzOverflow="overflow" wrap="square" lIns="0" tIns="0" rIns="0" bIns="0" anchor="ctr" anchorCtr="1"/>
          <a:lstStyle/>
          <a:p>
            <a:pPr algn="ctr" rtl="0">
              <a:defRPr sz="840" baseline="0"/>
            </a:pPr>
            <a:endParaRPr lang="en-US" sz="840" b="0" i="0" u="none" strike="noStrike" baseline="0">
              <a:solidFill>
                <a:sysClr val="windowText" lastClr="000000">
                  <a:lumMod val="65000"/>
                  <a:lumOff val="35000"/>
                </a:sysClr>
              </a:solidFill>
              <a:latin typeface="Aptos Narrow" panose="02110004020202020204"/>
            </a:endParaRPr>
          </a:p>
        </cx:txPr>
      </cx:axis>
      <cx:axis id="1">
        <cx:valScaling/>
        <cx:tickLabels/>
        <cx:numFmt formatCode="#,##0.00_);(#,##0.00)" sourceLinked="0"/>
      </cx:axis>
    </cx:plotArea>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22860</xdr:colOff>
      <xdr:row>3</xdr:row>
      <xdr:rowOff>7620</xdr:rowOff>
    </xdr:from>
    <xdr:to>
      <xdr:col>10</xdr:col>
      <xdr:colOff>548640</xdr:colOff>
      <xdr:row>7</xdr:row>
      <xdr:rowOff>60960</xdr:rowOff>
    </xdr:to>
    <mc:AlternateContent xmlns:mc="http://schemas.openxmlformats.org/markup-compatibility/2006" xmlns:sle15="http://schemas.microsoft.com/office/drawing/2012/slicer">
      <mc:Choice Requires="sle15">
        <xdr:graphicFrame macro="">
          <xdr:nvGraphicFramePr>
            <xdr:cNvPr id="3" name="Slicer by Product">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licer by Product"/>
            </a:graphicData>
          </a:graphic>
        </xdr:graphicFrame>
      </mc:Choice>
      <mc:Fallback xmlns="">
        <xdr:sp macro="" textlink="">
          <xdr:nvSpPr>
            <xdr:cNvPr id="0" name=""/>
            <xdr:cNvSpPr>
              <a:spLocks noTextEdit="1"/>
            </xdr:cNvSpPr>
          </xdr:nvSpPr>
          <xdr:spPr>
            <a:xfrm>
              <a:off x="2895600" y="449580"/>
              <a:ext cx="5516880" cy="116586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22860</xdr:colOff>
      <xdr:row>4</xdr:row>
      <xdr:rowOff>15241</xdr:rowOff>
    </xdr:from>
    <xdr:to>
      <xdr:col>12</xdr:col>
      <xdr:colOff>4572000</xdr:colOff>
      <xdr:row>20</xdr:row>
      <xdr:rowOff>57151</xdr:rowOff>
    </xdr:to>
    <xdr:graphicFrame macro="">
      <xdr:nvGraphicFramePr>
        <xdr:cNvPr id="2" name="Chart CPU &amp; Volumne">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6437</xdr:colOff>
      <xdr:row>3</xdr:row>
      <xdr:rowOff>0</xdr:rowOff>
    </xdr:from>
    <xdr:to>
      <xdr:col>2</xdr:col>
      <xdr:colOff>830580</xdr:colOff>
      <xdr:row>4</xdr:row>
      <xdr:rowOff>0</xdr:rowOff>
    </xdr:to>
    <mc:AlternateContent xmlns:mc="http://schemas.openxmlformats.org/markup-compatibility/2006" xmlns:sle15="http://schemas.microsoft.com/office/drawing/2012/slicer">
      <mc:Choice Requires="sle15">
        <xdr:graphicFrame macro="">
          <xdr:nvGraphicFramePr>
            <xdr:cNvPr id="4" name="Slicer by Department Name">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licer by Department Name"/>
            </a:graphicData>
          </a:graphic>
        </xdr:graphicFrame>
      </mc:Choice>
      <mc:Fallback xmlns="">
        <xdr:sp macro="" textlink="">
          <xdr:nvSpPr>
            <xdr:cNvPr id="0" name=""/>
            <xdr:cNvSpPr>
              <a:spLocks noTextEdit="1"/>
            </xdr:cNvSpPr>
          </xdr:nvSpPr>
          <xdr:spPr>
            <a:xfrm>
              <a:off x="227417" y="421003"/>
              <a:ext cx="2919643" cy="577217"/>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8</xdr:col>
      <xdr:colOff>22860</xdr:colOff>
      <xdr:row>22</xdr:row>
      <xdr:rowOff>40005</xdr:rowOff>
    </xdr:from>
    <xdr:to>
      <xdr:col>12</xdr:col>
      <xdr:colOff>4564380</xdr:colOff>
      <xdr:row>33</xdr:row>
      <xdr:rowOff>152400</xdr:rowOff>
    </xdr:to>
    <mc:AlternateContent xmlns:mc="http://schemas.openxmlformats.org/markup-compatibility/2006">
      <mc:Choice xmlns:cx1="http://schemas.microsoft.com/office/drawing/2015/9/8/chartex" Requires="cx1">
        <xdr:graphicFrame macro="">
          <xdr:nvGraphicFramePr>
            <xdr:cNvPr id="7" name="Chart CPU by Expense Category">
              <a:extLst>
                <a:ext uri="{FF2B5EF4-FFF2-40B4-BE49-F238E27FC236}">
                  <a16:creationId xmlns:a16="http://schemas.microsoft.com/office/drawing/2014/main" id="{00000000-0008-0000-0000-00001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522720" y="4375785"/>
              <a:ext cx="6568440" cy="18421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FBE39A8-2BA5-494D-955F-A91A7F1FBC92}" autoFormatId="16" applyNumberFormats="0" applyBorderFormats="0" applyFontFormats="0" applyPatternFormats="0" applyAlignmentFormats="0" applyWidthHeightFormats="0">
  <queryTableRefresh nextId="15" unboundColumnsRight="1">
    <queryTableFields count="8">
      <queryTableField id="1" name="Department Name" tableColumnId="1"/>
      <queryTableField id="2" name="Materials" tableColumnId="2"/>
      <queryTableField id="3" name="Products" tableColumnId="3"/>
      <queryTableField id="8" name="Period" tableColumnId="4"/>
      <queryTableField id="13" name="Volume" tableColumnId="9"/>
      <queryTableField id="10" name="Year" tableColumnId="6"/>
      <queryTableField id="11" name="Month" tableColumnId="7"/>
      <queryTableField id="12" dataBound="0" tableColumnId="8"/>
    </queryTableFields>
  </queryTableRefresh>
</queryTable>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3">
  <rv s="0">
    <v>0</v>
    <v>4</v>
  </rv>
  <rv s="0">
    <v>0</v>
    <v>5</v>
  </rv>
  <rv s="0">
    <v>1</v>
    <v>4</v>
  </rv>
  <rv s="0">
    <v>1</v>
    <v>5</v>
  </rv>
  <rv s="0">
    <v>2</v>
    <v>4</v>
  </rv>
  <rv s="0">
    <v>2</v>
    <v>5</v>
  </rv>
  <rv s="0">
    <v>3</v>
    <v>4</v>
  </rv>
  <rv s="0">
    <v>3</v>
    <v>5</v>
  </rv>
  <rv s="0">
    <v>4</v>
    <v>4</v>
  </rv>
  <rv s="0">
    <v>4</v>
    <v>5</v>
  </rv>
  <rv s="0">
    <v>5</v>
    <v>4</v>
  </rv>
  <rv s="0">
    <v>5</v>
    <v>5</v>
  </rv>
  <rv s="0">
    <v>6</v>
    <v>4</v>
  </rv>
  <rv s="0">
    <v>6</v>
    <v>5</v>
  </rv>
  <rv s="0">
    <v>7</v>
    <v>4</v>
  </rv>
  <rv s="0">
    <v>7</v>
    <v>5</v>
  </rv>
  <rv s="0">
    <v>8</v>
    <v>4</v>
  </rv>
  <rv s="0">
    <v>8</v>
    <v>5</v>
  </rv>
  <rv s="0">
    <v>9</v>
    <v>4</v>
  </rv>
  <rv s="0">
    <v>9</v>
    <v>5</v>
  </rv>
  <rv s="0">
    <v>10</v>
    <v>4</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Name" xr10:uid="{84D0D332-A8C9-40A9-AF23-CD15EF986EF3}" sourceName="Department Name">
  <extLst>
    <x:ext xmlns:x15="http://schemas.microsoft.com/office/spreadsheetml/2010/11/main" uri="{2F2917AC-EB37-4324-AD4E-5DD8C200BD13}">
      <x15:tableSlicerCache tableId="6"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 xr10:uid="{EE0A83E2-6A05-4094-B793-CBA0D12C6B70}" sourceName="Products">
  <extLst>
    <x:ext xmlns:x15="http://schemas.microsoft.com/office/spreadsheetml/2010/11/main" uri="{2F2917AC-EB37-4324-AD4E-5DD8C200BD13}">
      <x15:tableSlicerCache tableId="6"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licer by Department Name" xr10:uid="{745B64FE-850C-41FA-97A6-5F6870D52B87}" cache="Slicer_Department_Name" caption="Select Departments to Evaluate" columnCount="3" style="Dept Names" rowHeight="182880"/>
  <slicer name="Slicer by Product" xr10:uid="{B03A6F1A-B271-4704-B2D4-EC29B8BF2F2E}" cache="Slicer_Products" caption="Select a Product to Evaluate" columnCount="3" style="Dept Names" rowHeight="164592"/>
</slicers>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4F711E5-CFC7-4C16-97FB-B8EBEA166244}" name="DepartmentTable" displayName="DepartmentTable" ref="A4:C7" totalsRowShown="0" headerRowDxfId="109" headerRowBorderDxfId="108">
  <autoFilter ref="A4:C7" xr:uid="{94F711E5-CFC7-4C16-97FB-B8EBEA166244}"/>
  <tableColumns count="3">
    <tableColumn id="1" xr3:uid="{22019686-458B-4561-8CB7-6C485B2B37D1}" name="Department Name"/>
    <tableColumn id="2" xr3:uid="{60E5DC6B-DA1E-4958-B2BE-F62D51740106}" name="Group"/>
    <tableColumn id="3" xr3:uid="{EDD13C7D-FD48-4FA0-8992-C5CD3D5BE45F}" name="Dept Name &amp; Symbol"/>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58537A-CEA0-4E85-A79A-D935AFE3D60D}" name="ProductsTable" displayName="ProductsTable" ref="B8:F19" headerRowDxfId="107" headerRowBorderDxfId="106">
  <autoFilter ref="B8:F19" xr:uid="{7BAF4852-75D8-4968-A95D-62F2B1FBC23F}">
    <filterColumn colId="0" hiddenButton="1"/>
    <filterColumn colId="1" hiddenButton="1"/>
    <filterColumn colId="2" hiddenButton="1"/>
    <filterColumn colId="3" hiddenButton="1"/>
    <filterColumn colId="4" hiddenButton="1"/>
  </autoFilter>
  <tableColumns count="5">
    <tableColumn id="1" xr3:uid="{2D9000AB-07FC-4DBF-B2E8-A8DD0CDAFEEB}" name="Products" totalsRowLabel="Total"/>
    <tableColumn id="2" xr3:uid="{AC581349-BFEE-4159-BE62-EC331EF10ABA}" name="Department Name" dataDxfId="105"/>
    <tableColumn id="3" xr3:uid="{CC47A796-1BE9-4E7D-B259-E1C1917B5F34}" name="Materials"/>
    <tableColumn id="6" xr3:uid="{9E6CF0CA-F817-4069-91EA-ED69EEAB216F}" name="Product Image"/>
    <tableColumn id="13" xr3:uid="{A9C7980F-7077-4C05-B862-F5E7E3A260C7}" name="Include" dataDxfId="104">
      <calculatedColumnFormula>SUBTOTAL(103,ProductsTable[[#This Row],[Products]])</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80E12E-03D4-4300-B768-98D39D7EADFF}" name="ProductRatesTable" displayName="ProductRatesTable" ref="A4:K49" totalsRowCount="1" headerRowDxfId="103" headerRowBorderDxfId="102">
  <autoFilter ref="A4:K48" xr:uid="{7BAF4852-75D8-4968-A95D-62F2B1FBC23F}"/>
  <tableColumns count="11">
    <tableColumn id="1" xr3:uid="{DD1771D0-EC72-4080-A520-B72B2F8496A4}" name="Products" totalsRowLabel="Total"/>
    <tableColumn id="2" xr3:uid="{5876F179-5D61-47BE-B827-C3947BD6D59D}" name="Department Name" dataDxfId="101"/>
    <tableColumn id="3" xr3:uid="{257F6361-0E37-4141-8D7E-466DEB4E5795}" name="Materials"/>
    <tableColumn id="11" xr3:uid="{EDC6C46B-4BA8-42FF-B0AA-628F89ABE775}" name="Year"/>
    <tableColumn id="5" xr3:uid="{0A10151C-DBC4-4C54-8D4C-76E3E6FDA84C}" name="Retail Price" dataDxfId="100" dataCellStyle="Currency"/>
    <tableColumn id="6" xr3:uid="{FF9F82FF-4157-4264-9BA3-1D54CC396147}" name="Product Image"/>
    <tableColumn id="7" xr3:uid="{84B7FA5D-5F7B-4D47-846D-090E074309A3}" name="Volume" dataDxfId="99" dataCellStyle="Comma">
      <calculatedColumnFormula>SUMIFS(#REF!,VolumesTable[Products],$A5,VolumesTable[Year],ProductRatesTable[[#This Row],[Year]])</calculatedColumnFormula>
    </tableColumn>
    <tableColumn id="12" xr3:uid="{E55C9C88-F9B9-4763-A1FD-2E36411ADC52}" name="Materials CPU" dataDxfId="98" dataCellStyle="Currency"/>
    <tableColumn id="13" xr3:uid="{65BCE6BF-4A47-43D8-A089-C199983E86BC}" name="Production FTE Items per Hour" dataDxfId="97" dataCellStyle="Comma"/>
    <tableColumn id="10" xr3:uid="{3AF4D6D3-EC1D-4663-9F05-783BF7628492}" name="Retail Sales" totalsRowFunction="sum" dataDxfId="96" totalsRowDxfId="95" dataCellStyle="Currency">
      <calculatedColumnFormula>ProductRatesTable[[#This Row],[Retail Price]]*ProductRatesTable[[#This Row],[Volume]]</calculatedColumnFormula>
    </tableColumn>
    <tableColumn id="8" xr3:uid="{5BC25182-031B-402A-B295-8DA122786B68}" name="Share of Retail Costs" dataCellStyle="Percent"/>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AF4852-75D8-4968-A95D-62F2B1FBC23F}" name="ProductsCalcTable" displayName="ProductsCalcTable" ref="A4:K49" totalsRowCount="1" headerRowDxfId="94" headerRowBorderDxfId="93">
  <autoFilter ref="A4:K48" xr:uid="{7BAF4852-75D8-4968-A95D-62F2B1FBC23F}"/>
  <tableColumns count="11">
    <tableColumn id="1" xr3:uid="{447FA2E8-0F58-4E8E-BD0E-50A5AC7B8E08}" name="Products" totalsRowLabel="Total"/>
    <tableColumn id="2" xr3:uid="{A4BDB3A8-2E78-433C-B075-CC36F93CD89F}" name="Department Name" dataDxfId="92"/>
    <tableColumn id="3" xr3:uid="{2AF82ECD-5E86-4D46-99B2-663708C07B72}" name="Materials"/>
    <tableColumn id="11" xr3:uid="{56514097-F74E-4612-961B-60ADEFFC7166}" name="Year"/>
    <tableColumn id="5" xr3:uid="{04A96671-2178-4D9F-8F62-1BE2D89B8009}" name="Retail Price" dataDxfId="91" dataCellStyle="Currency"/>
    <tableColumn id="8" xr3:uid="{E0AE9B95-BDB8-4084-9F63-83B0C7D8601F}" name="Share of Retail Costs" dataDxfId="90" dataCellStyle="Percent">
      <calculatedColumnFormula array="1">_xlfn.XLOOKUP(ProductsCalcTable[[#This Row],[Products]]&amp;ProductsCalcTable[[#This Row],[Year]],ProductRatesTable[Products]&amp;ProductRatesTable[Year],ProductRatesTable[Share of Retail Costs],"Not Found",0)</calculatedColumnFormula>
    </tableColumn>
    <tableColumn id="7" xr3:uid="{E8426D54-9EA3-48ED-B2FF-68251184C926}" name="Volume" dataDxfId="89" dataCellStyle="Comma">
      <calculatedColumnFormula>SUMIFS(#REF!,VolumesTable[Products],$A5,VolumesTable[Year],ProductsCalcTable[[#This Row],[Year]])</calculatedColumnFormula>
    </tableColumn>
    <tableColumn id="10" xr3:uid="{45892F3F-F180-4AE6-9B27-F7B3F1297691}" name="Retail Sales" totalsRowFunction="sum" dataDxfId="88" totalsRowDxfId="87" dataCellStyle="Currency">
      <calculatedColumnFormula>ProductsCalcTable[[#This Row],[Retail Price]]*ProductsCalcTable[[#This Row],[Volume]]</calculatedColumnFormula>
    </tableColumn>
    <tableColumn id="9" xr3:uid="{B8B6F84A-0C11-46E6-9BA7-627976B038D2}" name="Actual Costs" totalsRowFunction="sum" dataDxfId="86" totalsRowDxfId="85" dataCellStyle="Currency">
      <calculatedColumnFormula>V5</calculatedColumnFormula>
    </tableColumn>
    <tableColumn id="4" xr3:uid="{4EED50D5-7181-461F-824A-C32BE630155D}" name="Cost Per Unit" dataDxfId="84" dataCellStyle="Currency">
      <calculatedColumnFormula>ProductsCalcTable[[#This Row],[Actual Costs]]/ProductsCalcTable[[#This Row],[Volume]]</calculatedColumnFormula>
    </tableColumn>
    <tableColumn id="6" xr3:uid="{555C3F78-7E70-43DE-AC9C-7B46A106D2D5}" name="Prior CPU" dataDxfId="83" dataCellStyle="Currency">
      <calculatedColumnFormula>SUMIFS(ProductsCalcTable[Cost Per Unit],ProductsCalcTable[Products],$A5,ProductsCalcTable[Year],$D5-1)</calculatedColumnFormula>
    </tableColumn>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E851416-A138-4FCE-A989-DBAE69FCBF4D}" name="FiancialTable" displayName="FiancialTable" ref="R4:AE48" totalsRowShown="0" headerRowDxfId="82" dataDxfId="81" tableBorderDxfId="80" dataCellStyle="Comma">
  <autoFilter ref="R4:AE48" xr:uid="{9E851416-A138-4FCE-A989-DBAE69FCBF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240E2E1-2D25-462F-90B3-EC1DE5BF2D41}" name="Products" dataDxfId="79" dataCellStyle="Currency">
      <calculatedColumnFormula>$A5</calculatedColumnFormula>
    </tableColumn>
    <tableColumn id="2" xr3:uid="{562DDA66-6F9A-4760-BD9E-7DE1FD84D8AE}" name="Year" dataDxfId="78" dataCellStyle="Comma">
      <calculatedColumnFormula>D5</calculatedColumnFormula>
    </tableColumn>
    <tableColumn id="3" xr3:uid="{024EF874-FB42-45ED-A800-D03A659C9484}" name="Mngmt FTEs" dataDxfId="77">
      <calculatedColumnFormula>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calculatedColumnFormula>
    </tableColumn>
    <tableColumn id="4" xr3:uid="{10034E90-B0A2-46DA-AF23-D7E7DA4F51A1}" name="Prod'n FTEs" dataDxfId="76" dataCellStyle="Comma">
      <calculatedColumnFormula>P5/SUMIFS($P:$P,$B:$B,$B5,$D:$D,$D5)*SUMIFS(INDEX(Costs!$O$5:$AI$30,MATCH(U$4,Costs!$C$5:$C$30,0),0),Costs!$O$2:$AI$2,$D5,Costs!$O$4:$AI$4,$B5)</calculatedColumnFormula>
    </tableColumn>
    <tableColumn id="5" xr3:uid="{E57CB5A5-7F9A-4097-8AFB-5729D06CD3A8}" name="Total" dataDxfId="75" dataCellStyle="Comma">
      <calculatedColumnFormula>SUM(W5:AF5)</calculatedColumnFormula>
    </tableColumn>
    <tableColumn id="6" xr3:uid="{04AD8968-49F4-4B94-A1EF-38218B47015F}" name="Staff-Management" dataDxfId="74" dataCellStyle="Comma">
      <calculatedColumnFormula>FiancialTable[[#This Row],[Mngmt FTEs]]*M5</calculatedColumnFormula>
    </tableColumn>
    <tableColumn id="7" xr3:uid="{F4757D7E-1D32-4D98-818B-B7FABB086621}" name="Staff-Production" dataDxfId="73" dataCellStyle="Comma">
      <calculatedColumnFormula>N5*U5</calculatedColumnFormula>
    </tableColumn>
    <tableColumn id="8" xr3:uid="{39E035CD-B52B-407F-AE7E-14B154D7B737}" name="Equipment Depr'n" dataDxfId="72" dataCellStyle="Comma">
      <calculatedColumnFormula>SUMIFS(INDEX(Costs!$O$5:$AI$30,MATCH(Y$4,Costs!$A$5:$A$30,0),0),Costs!$O$2:$AI$2,$D5,Costs!$O$4:$AI$4,$B5)*SUMIFS(Y:Y,$D:$D,($D5+1),$A:$A,$A5)/SUMIFS(Y:Y,$D:$D,($D5+1),$B:$B,$B5)</calculatedColumnFormula>
    </tableColumn>
    <tableColumn id="9" xr3:uid="{D2589D5F-7073-4D85-9B53-B33F3CA04F2C}" name="F&amp;E Maintenance" dataDxfId="71" dataCellStyle="Comma">
      <calculatedColumnFormula>SUMIFS(INDEX(Costs!$O$5:$AI$30,MATCH(Z$4,Costs!$A$5:$A$30,0),0),Costs!$O$2:$AI$2,$D5,Costs!$O$4:$AI$4,$B5)*SUMIFS(Z:Z,$D:$D,($D5+1),$A:$A,$A5)/SUMIFS(Z:Z,$D:$D,($D5+1),$B:$B,$B5)</calculatedColumnFormula>
    </tableColumn>
    <tableColumn id="10" xr3:uid="{D2093FD3-1E60-42A4-B0ED-2B2A602532FF}" name="Facilities" dataDxfId="70" dataCellStyle="Comma">
      <calculatedColumnFormula>SUMIFS(INDEX(Costs!$O$5:$AI$30,MATCH(AA$4,Costs!$A$5:$A$30,0),0),Costs!$O$2:$AI$2,$D5,Costs!$O$4:$AI$4,$B5)*SUMIFS(AA:AA,$D:$D,($D5+1),$A:$A,$A5)/SUMIFS(AA:AA,$D:$D,($D5+1),$B:$B,$B5)</calculatedColumnFormula>
    </tableColumn>
    <tableColumn id="11" xr3:uid="{B18BADB0-7063-4F05-A441-9F11D9AB218E}" name="Materials" dataDxfId="69" dataCellStyle="Comma">
      <calculatedColumnFormula>SUMIFS(ProductRatesTable[Materials CPU],ProductRatesTable[Year],$D5,ProductRatesTable[Products],$A5)*ProductsCalcTable[[#This Row],[Volume]]</calculatedColumnFormula>
    </tableColumn>
    <tableColumn id="12" xr3:uid="{537D7B22-71D5-4324-8216-F2AE20DF45A4}" name="Supplies" dataDxfId="68" dataCellStyle="Comma">
      <calculatedColumnFormula>SUMIFS(INDEX(Costs!$O$5:$AI$30,MATCH(AC$4,Costs!$A$5:$A$30,0),0),Costs!$O$2:$AI$2,$D5,Costs!$O$4:$AI$4,$B5)*SUMIFS(AC:AC,$D:$D,($D5+1),$A:$A,$A5)/SUMIFS(AC:AC,$D:$D,($D5+1),$B:$B,$B5)</calculatedColumnFormula>
    </tableColumn>
    <tableColumn id="13" xr3:uid="{4B1D98CF-4093-45D9-B4F2-2A62FF59D71B}" name="IT" dataDxfId="67" dataCellStyle="Comma">
      <calculatedColumnFormula>SUMIFS(INDEX(Costs!$F$5:$I$30,0,MATCH(ProductsCalcTable[[#This Row],[Year]],Costs!$F$4:$I$4,0)),Costs!$A$5:$A$30,AD$4,Costs!$D$5:$D$30,$B5)/SUMIFS(ProductsCalcTable[Volume],ProductsCalcTable[Year],ProductsCalcTable[[#This Row],[Year]],ProductsCalcTable[Department Name],ProductsCalcTable[[#This Row],[Department Name]])*ProductsCalcTable[[#This Row],[Volume]]</calculatedColumnFormula>
    </tableColumn>
    <tableColumn id="14" xr3:uid="{3367EDA9-17D8-4619-AC54-B31715A9EED8}" name="Other" dataDxfId="66" dataCellStyle="Comma">
      <calculatedColumnFormula>INDEX(Costs!$AF$15:$AH$29,MATCH(AE$4,Costs!$A$15:$A$29,0),MATCH($B5,Costs!$AF$4:$AH$4,0))/SUMIFS(ProductsCalcTable[Volume],ProductsCalcTable[Year],ProductsCalcTable[[#This Row],[Year]],ProductsCalcTable[Department Name],ProductsCalcTable[[#This Row],[Department Name]])*ProductsCalcTable[[#This Row],[Volume]]</calculatedColumnFormula>
    </tableColumn>
  </tableColumns>
  <tableStyleInfo name="TableStyleMedium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C85FE44-B6C7-4D06-8BD7-87F6EDF50985}" name="VolumesTable" displayName="VolumesTable" ref="A4:H532" tableType="queryTable" totalsRowShown="0" headerRowDxfId="65">
  <autoFilter ref="A4:H532" xr:uid="{4C85FE44-B6C7-4D06-8BD7-87F6EDF50985}"/>
  <sortState xmlns:xlrd2="http://schemas.microsoft.com/office/spreadsheetml/2017/richdata2" ref="A5:H532">
    <sortCondition descending="1" ref="F4:F532"/>
  </sortState>
  <tableColumns count="8">
    <tableColumn id="1" xr3:uid="{CB4C5605-3FC3-4810-B085-5806C1F0F26D}" uniqueName="1" name="Department Name" queryTableFieldId="1" dataDxfId="64"/>
    <tableColumn id="2" xr3:uid="{B2AC6543-7EE5-4B3C-B505-4ADBA31160C1}" uniqueName="2" name="Materials" queryTableFieldId="2" dataDxfId="63"/>
    <tableColumn id="3" xr3:uid="{EC8726D0-5FC2-4184-9E7A-88628AEE7A1D}" uniqueName="3" name="Products" queryTableFieldId="3" dataDxfId="62"/>
    <tableColumn id="4" xr3:uid="{3E4D1FF7-7E8A-4B7F-8AD9-26ECE254F0A6}" uniqueName="4" name="Period" queryTableFieldId="8" dataDxfId="61"/>
    <tableColumn id="9" xr3:uid="{15F17B98-586F-4C84-8872-39BF49DB3D1C}" uniqueName="9" name="Volume" queryTableFieldId="13"/>
    <tableColumn id="6" xr3:uid="{C3D6A1E7-28E1-4478-85E0-7476BD953B47}" uniqueName="6" name="Year" queryTableFieldId="10"/>
    <tableColumn id="7" xr3:uid="{1F28D72F-84A8-4384-ABEF-B437F001D4D6}" uniqueName="7" name="Month" queryTableFieldId="11"/>
    <tableColumn id="8" xr3:uid="{4BC9348B-9508-4A3C-841E-EC86D5524AC0}" uniqueName="8" name="Prior Volume" queryTableFieldId="12" dataDxfId="60" dataCellStyle="Comma">
      <calculatedColumnFormula>SUMIFS(VolumesTable[Volume],VolumesTable[Products],$C5,VolumesTable[Period],EDATE($D5,-12))</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78917D-70F6-44CC-8AAF-7FE566FC7B57}" name="Table3" displayName="Table3" ref="A4:AY15" totalsRowShown="0" headerRowDxfId="59" dataDxfId="57" headerRowBorderDxfId="58" dataCellStyle="Comma">
  <autoFilter ref="A4:AY15" xr:uid="{A278917D-70F6-44CC-8AAF-7FE566FC7B57}"/>
  <tableColumns count="51">
    <tableColumn id="1" xr3:uid="{B710F0E8-3963-4FA7-A170-CCE9A3F2C0CA}" name="Department Name"/>
    <tableColumn id="2" xr3:uid="{16B8B24B-4092-4D03-8F0B-22472DC329AA}" name="Materials"/>
    <tableColumn id="3" xr3:uid="{2567CF15-068F-4459-A1ED-93D95DB114D8}" name="Products"/>
    <tableColumn id="4" xr3:uid="{95B3F695-1BB5-4D92-8D4B-D9AFBCEDB351}" name="1/1/2020" dataDxfId="56" dataCellStyle="Comma"/>
    <tableColumn id="5" xr3:uid="{5FDFC08E-BEE1-4FDE-B928-8026C47D597E}" name="2/1/2020" dataDxfId="55" dataCellStyle="Comma"/>
    <tableColumn id="6" xr3:uid="{379DE5C3-84C7-4737-ABA9-FF5CC786C3BC}" name="3/1/2020" dataDxfId="54" dataCellStyle="Comma"/>
    <tableColumn id="7" xr3:uid="{FA557B95-A1D3-409A-93BB-F2FA4530F4D4}" name="4/1/2020" dataDxfId="53" dataCellStyle="Comma"/>
    <tableColumn id="8" xr3:uid="{53C242F5-A4A5-4193-A10C-A576974B5B42}" name="5/1/2020" dataDxfId="52" dataCellStyle="Comma"/>
    <tableColumn id="9" xr3:uid="{89E2935C-5BF6-4BB6-A709-CE5EED7E3083}" name="6/1/2020" dataDxfId="51" dataCellStyle="Comma"/>
    <tableColumn id="10" xr3:uid="{278131CA-73A1-4D72-84BA-1D44DA14F48D}" name="7/1/2020" dataDxfId="50" dataCellStyle="Comma"/>
    <tableColumn id="11" xr3:uid="{3B34E968-33CE-4C3C-9809-B3C86AEE3836}" name="8/1/2020" dataDxfId="49" dataCellStyle="Comma"/>
    <tableColumn id="12" xr3:uid="{53603B79-2B39-4380-B316-01985DE7782E}" name="9/1/2020" dataDxfId="48" dataCellStyle="Comma"/>
    <tableColumn id="13" xr3:uid="{DAC2F273-5671-45E2-A97D-E97F74EC153E}" name="10/1/2020" dataDxfId="47" dataCellStyle="Comma"/>
    <tableColumn id="14" xr3:uid="{0E6E8DB0-E187-43CE-A682-E1892DE70D38}" name="11/1/2020" dataDxfId="46" dataCellStyle="Comma"/>
    <tableColumn id="15" xr3:uid="{8E0A93EC-36DA-47F6-8CE8-4F6B354C62D2}" name="12/1/2020" dataDxfId="45" dataCellStyle="Comma"/>
    <tableColumn id="16" xr3:uid="{68E7E6B4-C3BA-4582-AECF-D23D3C556AEA}" name="1/1/2021" dataDxfId="44" dataCellStyle="Comma">
      <calculatedColumnFormula array="1">ROUND(SUM(($D5:O5)/SUM($D$3:O$3))*1.01*P$3,0)</calculatedColumnFormula>
    </tableColumn>
    <tableColumn id="17" xr3:uid="{EDAC3784-FDDA-4956-B462-FDA26454D7BA}" name="2/1/2021" dataDxfId="43" dataCellStyle="Comma">
      <calculatedColumnFormula array="1">ROUND(SUM(($D5:P5)/SUM($D$3:P$3))*1.01*Q$3,0)</calculatedColumnFormula>
    </tableColumn>
    <tableColumn id="18" xr3:uid="{973D4328-26DB-4F08-93C6-11E3CFBB9963}" name="3/1/2021" dataDxfId="42" dataCellStyle="Comma">
      <calculatedColumnFormula array="1">ROUND(SUM(($D5:Q5)/SUM($D$3:Q$3))*1.01*R$3,0)</calculatedColumnFormula>
    </tableColumn>
    <tableColumn id="19" xr3:uid="{6E86C7F3-1BB0-453D-BAA4-9ACBC91C3EAC}" name="4/1/2021" dataDxfId="41" dataCellStyle="Comma">
      <calculatedColumnFormula array="1">ROUND(SUM(($D5:R5)/SUM($D$3:R$3))*1.01*S$3,0)</calculatedColumnFormula>
    </tableColumn>
    <tableColumn id="20" xr3:uid="{8E01BCEA-B167-430B-82A2-13315F9FF89A}" name="5/1/2021" dataDxfId="40" dataCellStyle="Comma">
      <calculatedColumnFormula array="1">ROUND(SUM(($D5:S5)/SUM($D$3:S$3))*1.01*T$3,0)</calculatedColumnFormula>
    </tableColumn>
    <tableColumn id="21" xr3:uid="{E6C344B4-EF68-4AFE-A4C3-655DB7B115F1}" name="6/1/2021" dataDxfId="39" dataCellStyle="Comma">
      <calculatedColumnFormula array="1">ROUND(SUM(($D5:T5)/SUM($D$3:T$3))*1.01*U$3,0)</calculatedColumnFormula>
    </tableColumn>
    <tableColumn id="22" xr3:uid="{4B170B05-1B8B-445D-8408-D203222C57C0}" name="7/1/2021" dataDxfId="38" dataCellStyle="Comma">
      <calculatedColumnFormula array="1">ROUND(SUM(($D5:U5)/SUM($D$3:U$3))*1.01*V$3,0)</calculatedColumnFormula>
    </tableColumn>
    <tableColumn id="23" xr3:uid="{ACC81021-9EC4-4B4B-9A64-D25846F368A8}" name="8/1/2021" dataDxfId="37" dataCellStyle="Comma">
      <calculatedColumnFormula array="1">ROUND(SUM(($D5:V5)/SUM($D$3:V$3))*1.01*W$3,0)</calculatedColumnFormula>
    </tableColumn>
    <tableColumn id="24" xr3:uid="{7ECF51E5-5087-414A-AFD1-C2811B06B8FE}" name="9/1/2021" dataDxfId="36" dataCellStyle="Comma">
      <calculatedColumnFormula array="1">ROUND(SUM(($D5:W5)/SUM($D$3:W$3))*1.01*X$3,0)</calculatedColumnFormula>
    </tableColumn>
    <tableColumn id="25" xr3:uid="{4B0F0B66-E1A5-4DE5-A4B0-63999B9D8130}" name="10/1/2021" dataDxfId="35" dataCellStyle="Comma">
      <calculatedColumnFormula array="1">ROUND(SUM(($D5:X5)/SUM($D$3:X$3))*1.01*Y$3,0)</calculatedColumnFormula>
    </tableColumn>
    <tableColumn id="26" xr3:uid="{C0956951-1AFB-4DA1-882C-31EC9CF863A0}" name="11/1/2021" dataDxfId="34" dataCellStyle="Comma">
      <calculatedColumnFormula array="1">ROUND(SUM(($D5:Y5)/SUM($D$3:Y$3))*1.01*Z$3,0)</calculatedColumnFormula>
    </tableColumn>
    <tableColumn id="27" xr3:uid="{B255EA74-E51B-4806-97ED-CA2BA402DAD9}" name="12/1/2021" dataDxfId="33" dataCellStyle="Comma">
      <calculatedColumnFormula array="1">ROUND(SUM(($D5:Z5)/SUM($D$3:Z$3))*1.01*AA$3,0)</calculatedColumnFormula>
    </tableColumn>
    <tableColumn id="28" xr3:uid="{388014CF-DC0A-4239-B404-2DE588A566D7}" name="1/1/2022" dataDxfId="32" dataCellStyle="Comma">
      <calculatedColumnFormula array="1">ROUND(SUM(($D5:AA5)/SUM($D$3:AA$3))*1.01*AB$3,0)</calculatedColumnFormula>
    </tableColumn>
    <tableColumn id="29" xr3:uid="{61E8BBC1-2953-46EC-B598-73ABA0B1ED5E}" name="2/1/2022" dataDxfId="31" dataCellStyle="Comma">
      <calculatedColumnFormula array="1">ROUND(SUM(($D5:AB5)/SUM($D$3:AB$3))*1.01*AC$3,0)</calculatedColumnFormula>
    </tableColumn>
    <tableColumn id="30" xr3:uid="{18A09627-0BDF-4D52-AF41-28618488FE48}" name="3/1/2022" dataDxfId="30" dataCellStyle="Comma">
      <calculatedColumnFormula array="1">ROUND(SUM(($D5:AC5)/SUM($D$3:AC$3))*1.01*AD$3,0)</calculatedColumnFormula>
    </tableColumn>
    <tableColumn id="31" xr3:uid="{68FF8631-F3BA-4374-91C9-4BE350485042}" name="4/1/2022" dataDxfId="29" dataCellStyle="Comma">
      <calculatedColumnFormula array="1">ROUND(SUM(($D5:AD5)/SUM($D$3:AD$3))*1.01*AE$3,0)</calculatedColumnFormula>
    </tableColumn>
    <tableColumn id="32" xr3:uid="{DB35A9E6-ABF7-4A31-B5E3-980D902B3631}" name="5/1/2022" dataDxfId="28" dataCellStyle="Comma">
      <calculatedColumnFormula array="1">ROUND(SUM(($D5:AE5)/SUM($D$3:AE$3))*1.01*AF$3,0)</calculatedColumnFormula>
    </tableColumn>
    <tableColumn id="33" xr3:uid="{7F1FF046-9B25-49D5-97FD-3B918370B9B4}" name="6/1/2022" dataDxfId="27" dataCellStyle="Comma">
      <calculatedColumnFormula array="1">ROUND(SUM(($D5:AF5)/SUM($D$3:AF$3))*1.01*AG$3,0)</calculatedColumnFormula>
    </tableColumn>
    <tableColumn id="34" xr3:uid="{5E3C490B-001A-4E20-A736-46B655FF0A88}" name="7/1/2022" dataDxfId="26" dataCellStyle="Comma">
      <calculatedColumnFormula array="1">ROUND(SUM(($D5:AG5)/SUM($D$3:AG$3))*1.01*AH$3,0)</calculatedColumnFormula>
    </tableColumn>
    <tableColumn id="35" xr3:uid="{DCB0D46D-E989-46FA-A206-77256E4F06FC}" name="8/1/2022" dataDxfId="25" dataCellStyle="Comma">
      <calculatedColumnFormula array="1">ROUND(SUM(($D5:AH5)/SUM($D$3:AH$3))*1.01*AI$3,0)</calculatedColumnFormula>
    </tableColumn>
    <tableColumn id="36" xr3:uid="{0FB9EF4E-B5B6-41B8-B021-ADEE51BDC96D}" name="9/1/2022" dataDxfId="24" dataCellStyle="Comma">
      <calculatedColumnFormula array="1">ROUND(SUM(($D5:AI5)/SUM($D$3:AI$3))*1.01*AJ$3,0)</calculatedColumnFormula>
    </tableColumn>
    <tableColumn id="37" xr3:uid="{3E1B704C-6EE1-412A-A24C-93424697D2FD}" name="10/1/2022" dataDxfId="23" dataCellStyle="Comma">
      <calculatedColumnFormula array="1">ROUND(SUM(($D5:AJ5)/SUM($D$3:AJ$3))*1.01*AK$3,0)</calculatedColumnFormula>
    </tableColumn>
    <tableColumn id="38" xr3:uid="{EC70E3EF-D29F-44C4-86FC-AAC7A34068E8}" name="11/1/2022" dataDxfId="22" dataCellStyle="Comma">
      <calculatedColumnFormula array="1">ROUND(SUM(($D5:AK5)/SUM($D$3:AK$3))*1.01*AL$3,0)</calculatedColumnFormula>
    </tableColumn>
    <tableColumn id="39" xr3:uid="{0C8F7B53-260D-4E40-B8F4-9AC672CE209A}" name="12/1/2022" dataDxfId="21" dataCellStyle="Comma">
      <calculatedColumnFormula array="1">ROUND(SUM(($D5:AL5)/SUM($D$3:AL$3))*1.01*AM$3,0)</calculatedColumnFormula>
    </tableColumn>
    <tableColumn id="40" xr3:uid="{D3A896B6-AA1A-49C9-A530-578A1F919AFD}" name="1/1/2023" dataDxfId="20" dataCellStyle="Comma">
      <calculatedColumnFormula array="1">ROUND(SUM(($D5:AM5)/SUM($D$3:AM$3))*1.04*AN$3,0)</calculatedColumnFormula>
    </tableColumn>
    <tableColumn id="41" xr3:uid="{341AA357-0C14-45F1-8BF1-6829933598EF}" name="2/1/2023" dataDxfId="19" dataCellStyle="Comma">
      <calculatedColumnFormula array="1">ROUND(SUM(($D5:AN5)/SUM($D$3:AN$3))*1.04*AO$3,0)</calculatedColumnFormula>
    </tableColumn>
    <tableColumn id="42" xr3:uid="{C5593025-7AE2-4347-9A3F-4BA75D342AD7}" name="3/1/2023" dataDxfId="18" dataCellStyle="Comma">
      <calculatedColumnFormula array="1">ROUND(SUM(($D5:AO5)/SUM($D$3:AO$3))*1.04*AP$3,0)</calculatedColumnFormula>
    </tableColumn>
    <tableColumn id="43" xr3:uid="{A39DA6F1-876B-4C0F-8AD6-50A10B076186}" name="4/1/2023" dataDxfId="17" dataCellStyle="Comma">
      <calculatedColumnFormula array="1">ROUND(SUM(($D5:AP5)/SUM($D$3:AP$3))*1.04*AQ$3,0)</calculatedColumnFormula>
    </tableColumn>
    <tableColumn id="44" xr3:uid="{93740938-8CC0-41C0-9DF9-0FD03DB4CFCD}" name="5/1/2023" dataDxfId="16" dataCellStyle="Comma">
      <calculatedColumnFormula array="1">ROUND(SUM(($D5:AQ5)/SUM($D$3:AQ$3))*1.04*AR$3,0)</calculatedColumnFormula>
    </tableColumn>
    <tableColumn id="45" xr3:uid="{49DFA5A8-D394-4AA3-A349-861C60D1D3A2}" name="6/1/2023" dataDxfId="15" dataCellStyle="Comma">
      <calculatedColumnFormula array="1">ROUND(SUM(($D5:AR5)/SUM($D$3:AR$3))*1.04*AS$3,0)</calculatedColumnFormula>
    </tableColumn>
    <tableColumn id="46" xr3:uid="{0DB02DDE-4329-469C-AA23-682229340E1A}" name="7/1/2023" dataDxfId="14" dataCellStyle="Comma">
      <calculatedColumnFormula array="1">ROUND(SUM(($D5:AS5)/SUM($D$3:AS$3))*1.04*AT$3,0)</calculatedColumnFormula>
    </tableColumn>
    <tableColumn id="47" xr3:uid="{EE91095B-EDF9-482C-978F-6AE585B12D05}" name="8/1/2023" dataDxfId="13" dataCellStyle="Comma">
      <calculatedColumnFormula array="1">ROUND(SUM(($D5:AT5)/SUM($D$3:AT$3))*1.04*AU$3,0)</calculatedColumnFormula>
    </tableColumn>
    <tableColumn id="48" xr3:uid="{F296A141-5C9F-49C3-B98F-37DA6410D478}" name="9/1/2023" dataDxfId="12" dataCellStyle="Comma">
      <calculatedColumnFormula array="1">ROUND(SUM(($D5:AU5)/SUM($D$3:AU$3))*1.04*AV$3,0)</calculatedColumnFormula>
    </tableColumn>
    <tableColumn id="49" xr3:uid="{ED2DC931-37E4-474F-991E-807632585289}" name="10/1/2023" dataDxfId="11" dataCellStyle="Comma">
      <calculatedColumnFormula array="1">ROUND(SUM(($D5:AV5)/SUM($D$3:AV$3))*1.04*AW$3,0)</calculatedColumnFormula>
    </tableColumn>
    <tableColumn id="50" xr3:uid="{C349A8D2-3879-4543-ADF3-005865E75C68}" name="11/1/2023" dataDxfId="10" dataCellStyle="Comma">
      <calculatedColumnFormula array="1">ROUND(SUM(($D5:AW5)/SUM($D$3:AW$3))*1.04*AX$3,0)</calculatedColumnFormula>
    </tableColumn>
    <tableColumn id="51" xr3:uid="{F0A2DE8C-8840-47AC-9DE7-52079E4B98C8}" name="12/1/2023" dataDxfId="9" dataCellStyle="Comma">
      <calculatedColumnFormula array="1">ROUND(SUM(($D5:AX5)/SUM($D$3:AX$3))*1.04*AY$3,0)</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84663CF-5D91-4ED2-9EBB-1F9186812649}" name="TableYears" displayName="TableYears" ref="A4:C8" totalsRowShown="0" headerRowDxfId="8" dataDxfId="7" tableBorderDxfId="6">
  <autoFilter ref="A4:C8" xr:uid="{384663CF-5D91-4ED2-9EBB-1F9186812649}"/>
  <sortState xmlns:xlrd2="http://schemas.microsoft.com/office/spreadsheetml/2017/richdata2" ref="A5:C8">
    <sortCondition descending="1" ref="A4:A8"/>
  </sortState>
  <tableColumns count="3">
    <tableColumn id="1" xr3:uid="{A8327E96-62DA-49A8-916F-DF81522C805C}" name="Year" dataDxfId="5"/>
    <tableColumn id="2" xr3:uid="{6421D13E-E796-495D-BA6C-0E405458D3CF}" name="Evaluation Year" dataDxfId="4"/>
    <tableColumn id="3" xr3:uid="{015E0FA1-1694-442C-B4FF-458D5F054779}" name="Include Compare" dataDxfId="3">
      <calculatedColumnFormula>ISNUMBER(TableYears[[#This Row],[Evaluation Year]])</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CPUWaterfall">
      <a:dk1>
        <a:sysClr val="windowText" lastClr="000000"/>
      </a:dk1>
      <a:lt1>
        <a:sysClr val="window" lastClr="FFFFFF"/>
      </a:lt1>
      <a:dk2>
        <a:srgbClr val="0E2841"/>
      </a:dk2>
      <a:lt2>
        <a:srgbClr val="E8E8E8"/>
      </a:lt2>
      <a:accent1>
        <a:srgbClr val="FF0000"/>
      </a:accent1>
      <a:accent2>
        <a:srgbClr val="4EA72E"/>
      </a:accent2>
      <a:accent3>
        <a:srgbClr val="002060"/>
      </a:accent3>
      <a:accent4>
        <a:srgbClr val="0F9ED5"/>
      </a:accent4>
      <a:accent5>
        <a:srgbClr val="FFC000"/>
      </a:accent5>
      <a:accent6>
        <a:srgbClr val="96607D"/>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46"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736213D-2BA6-41EC-B773-7FB204CDE30B}">
  <we:reference id="wa200003696" version="1.3.0.0" store="en-US" storeType="OMEX"/>
  <we:alternateReferences>
    <we:reference id="wa200003696" version="1.3.0.0" store="WA200003696" storeType="OMEX"/>
  </we:alternateReferences>
  <we:properties>
    <we:property name="projectV0_1-56c6e055-265e-4713-816e-a646dbb708de" value="{&quot;kind&quot;:&quot;AFEJSONBlobNode&quot;,&quot;id&quot;:&quot;{022891FF-D17F-4EE1-976B-D74B4BFB32C2}&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44B99-5FB4-4E7C-AC8D-57787705145B}">
  <dimension ref="A1:V34"/>
  <sheetViews>
    <sheetView showGridLines="0" tabSelected="1" zoomScaleNormal="100" zoomScaleSheetLayoutView="100" workbookViewId="0">
      <pane xSplit="1" ySplit="3" topLeftCell="B4" activePane="bottomRight" state="frozen"/>
      <selection pane="topRight" activeCell="B1" sqref="B1"/>
      <selection pane="bottomLeft" activeCell="A4" sqref="A4"/>
      <selection pane="bottomRight" activeCell="J9" sqref="J9"/>
    </sheetView>
  </sheetViews>
  <sheetFormatPr defaultRowHeight="13.8" x14ac:dyDescent="0.3"/>
  <cols>
    <col min="1" max="1" width="2.6640625" style="87" customWidth="1"/>
    <col min="2" max="2" width="27" style="87" customWidth="1"/>
    <col min="3" max="3" width="12.21875" style="87" customWidth="1"/>
    <col min="4" max="4" width="10.6640625" style="87" bestFit="1" customWidth="1"/>
    <col min="5" max="5" width="11.21875" style="87" customWidth="1"/>
    <col min="6" max="6" width="10.6640625" style="87" customWidth="1"/>
    <col min="7" max="7" width="10.33203125" style="87" customWidth="1"/>
    <col min="8" max="8" width="10" style="87" customWidth="1"/>
    <col min="9" max="9" width="9.88671875" style="87" customWidth="1"/>
    <col min="10" max="10" width="10" style="87" customWidth="1"/>
    <col min="11" max="11" width="8.21875" style="87" customWidth="1"/>
    <col min="12" max="12" width="1.44140625" style="87" customWidth="1"/>
    <col min="13" max="13" width="66.88671875" style="87" customWidth="1"/>
    <col min="14" max="14" width="73.5546875" style="87" customWidth="1"/>
    <col min="15" max="15" width="8" style="87" bestFit="1" customWidth="1"/>
    <col min="16" max="16" width="6.33203125" style="87" bestFit="1" customWidth="1"/>
    <col min="17" max="17" width="20.21875" style="87" customWidth="1"/>
    <col min="18" max="18" width="10.44140625" style="87" customWidth="1"/>
    <col min="19" max="19" width="3.88671875" style="87" customWidth="1"/>
    <col min="20" max="20" width="10.6640625" style="87" bestFit="1" customWidth="1"/>
    <col min="21" max="21" width="8.88671875" style="87"/>
    <col min="22" max="22" width="3.5546875" style="87" customWidth="1"/>
    <col min="23" max="16384" width="8.88671875" style="87"/>
  </cols>
  <sheetData>
    <row r="1" spans="1:22" ht="3.6" customHeight="1" x14ac:dyDescent="0.3"/>
    <row r="2" spans="1:22" s="76" customFormat="1" ht="15.6" x14ac:dyDescent="0.3">
      <c r="B2" s="115" t="s">
        <v>3</v>
      </c>
      <c r="O2" s="117" t="s">
        <v>172</v>
      </c>
      <c r="P2" s="117"/>
      <c r="Q2" s="117"/>
      <c r="R2" s="117"/>
      <c r="S2" s="117"/>
      <c r="T2" s="117"/>
      <c r="U2" s="117"/>
      <c r="V2" s="117"/>
    </row>
    <row r="3" spans="1:22" s="76" customFormat="1" ht="15.6" x14ac:dyDescent="0.3">
      <c r="B3" s="115" t="s">
        <v>126</v>
      </c>
    </row>
    <row r="4" spans="1:22" ht="44.4" customHeight="1" x14ac:dyDescent="0.3">
      <c r="B4" s="88"/>
      <c r="M4" s="133" t="s">
        <v>179</v>
      </c>
    </row>
    <row r="5" spans="1:22" x14ac:dyDescent="0.3">
      <c r="B5" s="134" t="s">
        <v>178</v>
      </c>
      <c r="C5" s="89"/>
      <c r="F5" s="90"/>
      <c r="G5" s="90"/>
      <c r="H5" s="90"/>
      <c r="I5" s="90"/>
    </row>
    <row r="6" spans="1:22" x14ac:dyDescent="0.3">
      <c r="B6" s="91" t="s">
        <v>159</v>
      </c>
      <c r="C6" s="135">
        <v>2023</v>
      </c>
      <c r="Q6" s="87" t="s">
        <v>180</v>
      </c>
    </row>
    <row r="7" spans="1:22" ht="15.6" x14ac:dyDescent="0.3">
      <c r="B7" s="91" t="s">
        <v>125</v>
      </c>
      <c r="C7" s="135">
        <v>2022</v>
      </c>
      <c r="Q7" s="76" t="s">
        <v>128</v>
      </c>
      <c r="R7" s="76"/>
      <c r="S7" s="76"/>
      <c r="T7" s="116" cm="1">
        <f t="array" ref="T7">ROUNDUP(MAX(IFERROR(ABS(G10:G21),0),IFERROR(ABS(K10:K21),0)),2)+0.005</f>
        <v>5.5E-2</v>
      </c>
      <c r="U7" s="116">
        <f>T7*-1</f>
        <v>-5.5E-2</v>
      </c>
    </row>
    <row r="8" spans="1:22" ht="6" customHeight="1" x14ac:dyDescent="0.3">
      <c r="Q8" s="76" t="s">
        <v>129</v>
      </c>
      <c r="R8" s="76"/>
      <c r="S8" s="76"/>
      <c r="T8" s="116">
        <f>T7*-1</f>
        <v>-5.5E-2</v>
      </c>
      <c r="U8" s="116">
        <f>T8*-1</f>
        <v>5.5E-2</v>
      </c>
    </row>
    <row r="9" spans="1:22" ht="41.4" x14ac:dyDescent="0.3">
      <c r="B9" s="86" t="s">
        <v>23</v>
      </c>
      <c r="C9" s="86" t="s">
        <v>0</v>
      </c>
      <c r="D9" s="86" t="s">
        <v>160</v>
      </c>
      <c r="E9" s="86" t="s">
        <v>124</v>
      </c>
      <c r="F9" s="86" t="s">
        <v>169</v>
      </c>
      <c r="G9" s="131" t="s">
        <v>168</v>
      </c>
      <c r="H9" s="86" t="s">
        <v>161</v>
      </c>
      <c r="I9" s="86" t="s">
        <v>127</v>
      </c>
      <c r="J9" s="86" t="s">
        <v>170</v>
      </c>
      <c r="K9" s="86" t="s">
        <v>167</v>
      </c>
      <c r="O9" s="92" t="s">
        <v>146</v>
      </c>
      <c r="T9" s="93" t="s">
        <v>122</v>
      </c>
      <c r="U9" s="93" t="s">
        <v>123</v>
      </c>
      <c r="V9" s="87" t="s">
        <v>134</v>
      </c>
    </row>
    <row r="10" spans="1:22" x14ac:dyDescent="0.3">
      <c r="A10" s="87" t="e" vm="1">
        <f t="shared" ref="A10:A20" si="0">_xlfn.XLOOKUP($B10,ChartPrdNames,Icons,"",0)</f>
        <v>#VALUE!</v>
      </c>
      <c r="B10" s="94" t="str" cm="1">
        <f t="array" ref="B10:C20">_xlfn._xlws.FILTER(ProductsTable[[Products]:[Department Name]],_xlfn.BYROW(ProductsTable[Products],_xlfn.LAMBDA(_xlpm.Prd,SUBTOTAL(3,_xlpm.Prd))))</f>
        <v>6 x 1/2" Screws</v>
      </c>
      <c r="C10" s="87" t="str">
        <v>Fasteners</v>
      </c>
      <c r="D10" s="95">
        <f>IF($B10="","",SUMIFS(VolumesTable[Volume],VolumesTable[Products],$B10,VolumesTable[Year],EvaluationYr))</f>
        <v>6877540</v>
      </c>
      <c r="E10" s="95">
        <f>IF($B10="","",SUMIFS(VolumesTable[Volume],VolumesTable[Products],$B10,VolumesTable[Year],BaseYr))</f>
        <v>6854314</v>
      </c>
      <c r="F10" s="96">
        <f>IFERROR(D10-E10,"")</f>
        <v>23226</v>
      </c>
      <c r="G10" s="132">
        <f t="shared" ref="G10:G12" si="1">IFERROR(F10/E10,NA())</f>
        <v>3.3885229068875457E-3</v>
      </c>
      <c r="H10" s="98">
        <f>IF($B10="","",SUMIFS(ProductsCalcTable[Cost Per Unit],ProductsCalcTable[Products],$B10,ProductsCalcTable[Year],EvaluationYr))</f>
        <v>7.9662750320188602E-2</v>
      </c>
      <c r="I10" s="98">
        <f>IF($B10="","",SUMIFS(ProductsCalcTable[Cost Per Unit],ProductsCalcTable[Products],$B10,ProductsCalcTable[Year],BaseYr))</f>
        <v>8.129363313639662E-2</v>
      </c>
      <c r="J10" s="98">
        <f t="shared" ref="J10:J20" si="2">IFERROR(H10-I10,"")</f>
        <v>-1.630882816208018E-3</v>
      </c>
      <c r="K10" s="99">
        <f>IFERROR(J10/I10,NA())</f>
        <v>-2.006163033052883E-2</v>
      </c>
      <c r="O10" s="87" t="str">
        <f t="shared" ref="O10:O20" si="3">IF($B10="","Pic_0",_xlfn.XLOOKUP($B10,ChartPrdNames,$P$10:$P$20,"Pic_0",0))</f>
        <v>Pic_1</v>
      </c>
      <c r="P10" s="87" t="s">
        <v>135</v>
      </c>
      <c r="Q10" s="87" t="str" cm="1">
        <f t="array" ref="Q10:R20">ProductsTable[[Products]:[Department Name]]</f>
        <v>6 x 1/2" Screws</v>
      </c>
      <c r="R10" s="87" t="str">
        <v>Fasteners</v>
      </c>
      <c r="S10" s="100" t="e" vm="1">
        <f t="shared" ref="S10:S20" si="4">IF(ISERROR($T10),"",$V10)</f>
        <v>#VALUE!</v>
      </c>
      <c r="T10" s="97">
        <f t="shared" ref="T10:T20" si="5">IFERROR(SUMIFS($F$10:$F$20,$B$10:$B$20,$Q10)/SUMIFS($E$10:$E$20,$B$10:$B$20,$Q10),NA())</f>
        <v>3.3885229068875457E-3</v>
      </c>
      <c r="U10" s="99">
        <f t="shared" ref="U10:U20" si="6">IFERROR(SUMIFS($J$10:$J$20,$B$10:$B$20,$Q10)/SUMIFS($I$10:$I$20,$B$10:$B$20,$Q10),NA())</f>
        <v>-2.006163033052883E-2</v>
      </c>
      <c r="V10" s="100" t="e" vm="2">
        <v>#VALUE!</v>
      </c>
    </row>
    <row r="11" spans="1:22" x14ac:dyDescent="0.3">
      <c r="A11" s="87" t="e" vm="3">
        <f t="shared" si="0"/>
        <v>#VALUE!</v>
      </c>
      <c r="B11" s="87" t="str">
        <v>8" Hex Bolts</v>
      </c>
      <c r="C11" s="87" t="str">
        <v>Fasteners</v>
      </c>
      <c r="D11" s="95">
        <f>IF($B11="","",SUMIFS(VolumesTable[Volume],VolumesTable[Products],$B11,VolumesTable[Year],EvaluationYr))</f>
        <v>6741278</v>
      </c>
      <c r="E11" s="95">
        <f>IF($B11="","",SUMIFS(VolumesTable[Volume],VolumesTable[Products],$B11,VolumesTable[Year],BaseYr))</f>
        <v>7061738</v>
      </c>
      <c r="F11" s="96">
        <f t="shared" ref="F11:F20" si="7">IFERROR(D11-E11,"")</f>
        <v>-320460</v>
      </c>
      <c r="G11" s="132">
        <f t="shared" si="1"/>
        <v>-4.5379763452000059E-2</v>
      </c>
      <c r="H11" s="98">
        <f>IF($B11="","",SUMIFS(ProductsCalcTable[Cost Per Unit],ProductsCalcTable[Products],$B11,ProductsCalcTable[Year],EvaluationYr))</f>
        <v>0.16670700585867304</v>
      </c>
      <c r="I11" s="98">
        <f>IF($B11="","",SUMIFS(ProductsCalcTable[Cost Per Unit],ProductsCalcTable[Products],$B11,ProductsCalcTable[Year],BaseYr))</f>
        <v>0.17098737061025918</v>
      </c>
      <c r="J11" s="98">
        <f t="shared" si="2"/>
        <v>-4.2803647515861354E-3</v>
      </c>
      <c r="K11" s="99">
        <f t="shared" ref="K11:K20" si="8">IFERROR(J11/I11,NA())</f>
        <v>-2.5033221671924552E-2</v>
      </c>
      <c r="O11" s="87" t="str">
        <f t="shared" si="3"/>
        <v>Pic_2</v>
      </c>
      <c r="P11" s="87" t="s">
        <v>136</v>
      </c>
      <c r="Q11" s="87" t="str">
        <v>8" Hex Bolts</v>
      </c>
      <c r="R11" s="87" t="str">
        <v>Fasteners</v>
      </c>
      <c r="S11" s="101" t="e" vm="3">
        <f t="shared" si="4"/>
        <v>#VALUE!</v>
      </c>
      <c r="T11" s="97">
        <f t="shared" si="5"/>
        <v>-4.5379763452000059E-2</v>
      </c>
      <c r="U11" s="99">
        <f t="shared" si="6"/>
        <v>-2.5033221671924552E-2</v>
      </c>
      <c r="V11" s="101" t="e" vm="4">
        <v>#VALUE!</v>
      </c>
    </row>
    <row r="12" spans="1:22" x14ac:dyDescent="0.3">
      <c r="A12" s="87" t="e" vm="5">
        <f t="shared" si="0"/>
        <v>#VALUE!</v>
      </c>
      <c r="B12" s="87" t="str">
        <v>1" Screw Pin Anchor Shackle</v>
      </c>
      <c r="C12" s="87" t="str">
        <v>Fasteners</v>
      </c>
      <c r="D12" s="95">
        <f>IF($B12="","",SUMIFS(VolumesTable[Volume],VolumesTable[Products],$B12,VolumesTable[Year],EvaluationYr))</f>
        <v>175189</v>
      </c>
      <c r="E12" s="95">
        <f>IF($B12="","",SUMIFS(VolumesTable[Volume],VolumesTable[Products],$B12,VolumesTable[Year],BaseYr))</f>
        <v>170197</v>
      </c>
      <c r="F12" s="96">
        <f t="shared" si="7"/>
        <v>4992</v>
      </c>
      <c r="G12" s="132">
        <f t="shared" si="1"/>
        <v>2.9330716757639676E-2</v>
      </c>
      <c r="H12" s="98">
        <f>IF($B12="","",SUMIFS(ProductsCalcTable[Cost Per Unit],ProductsCalcTable[Products],$B12,ProductsCalcTable[Year],EvaluationYr))</f>
        <v>32.245817591108882</v>
      </c>
      <c r="I12" s="98">
        <f>IF($B12="","",SUMIFS(ProductsCalcTable[Cost Per Unit],ProductsCalcTable[Products],$B12,ProductsCalcTable[Year],BaseYr))</f>
        <v>33.803412886457075</v>
      </c>
      <c r="J12" s="98">
        <f t="shared" si="2"/>
        <v>-1.5575952953481931</v>
      </c>
      <c r="K12" s="99">
        <f t="shared" si="8"/>
        <v>-4.6078048408308044E-2</v>
      </c>
      <c r="O12" s="87" t="str">
        <f t="shared" si="3"/>
        <v>Pic_3</v>
      </c>
      <c r="P12" s="87" t="s">
        <v>137</v>
      </c>
      <c r="Q12" s="87" t="str">
        <v>1" Screw Pin Anchor Shackle</v>
      </c>
      <c r="R12" s="87" t="str">
        <v>Fasteners</v>
      </c>
      <c r="S12" s="102" t="e" vm="5">
        <f t="shared" si="4"/>
        <v>#VALUE!</v>
      </c>
      <c r="T12" s="97">
        <f t="shared" si="5"/>
        <v>2.9330716757639676E-2</v>
      </c>
      <c r="U12" s="99">
        <f t="shared" si="6"/>
        <v>-4.6078048408308044E-2</v>
      </c>
      <c r="V12" s="102" t="e" vm="6">
        <v>#VALUE!</v>
      </c>
    </row>
    <row r="13" spans="1:22" x14ac:dyDescent="0.3">
      <c r="A13" s="87" t="e" vm="7">
        <f t="shared" si="0"/>
        <v>#VALUE!</v>
      </c>
      <c r="B13" s="87" t="str">
        <v>Hex Nuts</v>
      </c>
      <c r="C13" s="87" t="str">
        <v>Fasteners</v>
      </c>
      <c r="D13" s="95">
        <f>IF($B13="","",SUMIFS(VolumesTable[Volume],VolumesTable[Products],$B13,VolumesTable[Year],EvaluationYr))</f>
        <v>6739945</v>
      </c>
      <c r="E13" s="95">
        <f>IF($B13="","",SUMIFS(VolumesTable[Volume],VolumesTable[Products],$B13,VolumesTable[Year],BaseYr))</f>
        <v>6871612</v>
      </c>
      <c r="F13" s="96">
        <f t="shared" si="7"/>
        <v>-131667</v>
      </c>
      <c r="G13" s="132">
        <f>IFERROR(F13/E13,NA())</f>
        <v>-1.9161006180209245E-2</v>
      </c>
      <c r="H13" s="98">
        <f>IF($B13="","",SUMIFS(ProductsCalcTable[Cost Per Unit],ProductsCalcTable[Products],$B13,ProductsCalcTable[Year],EvaluationYr))</f>
        <v>5.9311255656964934E-2</v>
      </c>
      <c r="I13" s="98">
        <f>IF($B13="","",SUMIFS(ProductsCalcTable[Cost Per Unit],ProductsCalcTable[Products],$B13,ProductsCalcTable[Year],BaseYr))</f>
        <v>5.9923657668691413E-2</v>
      </c>
      <c r="J13" s="98">
        <f t="shared" si="2"/>
        <v>-6.124020117264789E-4</v>
      </c>
      <c r="K13" s="99">
        <f t="shared" si="8"/>
        <v>-1.0219703461900714E-2</v>
      </c>
      <c r="O13" s="87" t="str">
        <f t="shared" si="3"/>
        <v>Pic_4</v>
      </c>
      <c r="P13" s="87" t="s">
        <v>138</v>
      </c>
      <c r="Q13" s="87" t="str">
        <v>Hex Nuts</v>
      </c>
      <c r="R13" s="87" t="str">
        <v>Fasteners</v>
      </c>
      <c r="S13" s="102" t="e" vm="7">
        <f t="shared" si="4"/>
        <v>#VALUE!</v>
      </c>
      <c r="T13" s="97">
        <f t="shared" si="5"/>
        <v>-1.9161006180209245E-2</v>
      </c>
      <c r="U13" s="99">
        <f t="shared" si="6"/>
        <v>-1.0219703461900714E-2</v>
      </c>
      <c r="V13" s="103" t="e" vm="8">
        <v>#VALUE!</v>
      </c>
    </row>
    <row r="14" spans="1:22" x14ac:dyDescent="0.3">
      <c r="A14" s="87" t="e" vm="9">
        <f t="shared" si="0"/>
        <v>#VALUE!</v>
      </c>
      <c r="B14" s="87" t="str">
        <v>Spur Gears 8MM</v>
      </c>
      <c r="C14" s="87" t="str">
        <v>Gears</v>
      </c>
      <c r="D14" s="95">
        <f>IF($B14="","",SUMIFS(VolumesTable[Volume],VolumesTable[Products],$B14,VolumesTable[Year],EvaluationYr))</f>
        <v>293858</v>
      </c>
      <c r="E14" s="95">
        <f>IF($B14="","",SUMIFS(VolumesTable[Volume],VolumesTable[Products],$B14,VolumesTable[Year],BaseYr))</f>
        <v>291878</v>
      </c>
      <c r="F14" s="96">
        <f t="shared" si="7"/>
        <v>1980</v>
      </c>
      <c r="G14" s="132">
        <f t="shared" ref="G14:G20" si="9">IFERROR(F14/E14,NA())</f>
        <v>6.7836561851184396E-3</v>
      </c>
      <c r="H14" s="98">
        <f>IF($B14="","",SUMIFS(ProductsCalcTable[Cost Per Unit],ProductsCalcTable[Products],$B14,ProductsCalcTable[Year],EvaluationYr))</f>
        <v>4.1278960950373573</v>
      </c>
      <c r="I14" s="98">
        <f>IF($B14="","",SUMIFS(ProductsCalcTable[Cost Per Unit],ProductsCalcTable[Products],$B14,ProductsCalcTable[Year],BaseYr))</f>
        <v>4.1752821685045376</v>
      </c>
      <c r="J14" s="98">
        <f t="shared" si="2"/>
        <v>-4.7386073467180267E-2</v>
      </c>
      <c r="K14" s="99">
        <f t="shared" si="8"/>
        <v>-1.1349190678567373E-2</v>
      </c>
      <c r="O14" s="87" t="str">
        <f t="shared" si="3"/>
        <v>Pic_5</v>
      </c>
      <c r="P14" s="87" t="s">
        <v>139</v>
      </c>
      <c r="Q14" s="87" t="str">
        <v>Spur Gears 8MM</v>
      </c>
      <c r="R14" s="87" t="str">
        <v>Gears</v>
      </c>
      <c r="S14" s="100" t="e" vm="9">
        <f t="shared" si="4"/>
        <v>#VALUE!</v>
      </c>
      <c r="T14" s="97">
        <f t="shared" si="5"/>
        <v>6.7836561851184396E-3</v>
      </c>
      <c r="U14" s="99">
        <f t="shared" si="6"/>
        <v>-1.1349190678567373E-2</v>
      </c>
      <c r="V14" s="102" t="e" vm="10">
        <v>#VALUE!</v>
      </c>
    </row>
    <row r="15" spans="1:22" x14ac:dyDescent="0.3">
      <c r="A15" s="87" t="e" vm="11">
        <f t="shared" si="0"/>
        <v>#VALUE!</v>
      </c>
      <c r="B15" s="87" t="str">
        <v>Helical Gears 8MM</v>
      </c>
      <c r="C15" s="87" t="str">
        <v>Gears</v>
      </c>
      <c r="D15" s="95">
        <f>IF($B15="","",SUMIFS(VolumesTable[Volume],VolumesTable[Products],$B15,VolumesTable[Year],EvaluationYr))</f>
        <v>421561</v>
      </c>
      <c r="E15" s="95">
        <f>IF($B15="","",SUMIFS(VolumesTable[Volume],VolumesTable[Products],$B15,VolumesTable[Year],BaseYr))</f>
        <v>433176</v>
      </c>
      <c r="F15" s="96">
        <f t="shared" si="7"/>
        <v>-11615</v>
      </c>
      <c r="G15" s="132">
        <f t="shared" si="9"/>
        <v>-2.681358154653074E-2</v>
      </c>
      <c r="H15" s="98">
        <f>IF($B15="","",SUMIFS(ProductsCalcTable[Cost Per Unit],ProductsCalcTable[Products],$B15,ProductsCalcTable[Year],EvaluationYr))</f>
        <v>4.4470352901745045</v>
      </c>
      <c r="I15" s="98">
        <f>IF($B15="","",SUMIFS(ProductsCalcTable[Cost Per Unit],ProductsCalcTable[Products],$B15,ProductsCalcTable[Year],BaseYr))</f>
        <v>4.4750635045088298</v>
      </c>
      <c r="J15" s="98">
        <f t="shared" si="2"/>
        <v>-2.8028214334325341E-2</v>
      </c>
      <c r="K15" s="99">
        <f t="shared" si="8"/>
        <v>-6.2631992386444667E-3</v>
      </c>
      <c r="O15" s="87" t="str">
        <f t="shared" si="3"/>
        <v>Pic_6</v>
      </c>
      <c r="P15" s="87" t="s">
        <v>140</v>
      </c>
      <c r="Q15" s="87" t="str">
        <v>Helical Gears 8MM</v>
      </c>
      <c r="R15" s="87" t="str">
        <v>Gears</v>
      </c>
      <c r="S15" s="101" t="e" vm="11">
        <f t="shared" si="4"/>
        <v>#VALUE!</v>
      </c>
      <c r="T15" s="97">
        <f t="shared" si="5"/>
        <v>-2.681358154653074E-2</v>
      </c>
      <c r="U15" s="99">
        <f t="shared" si="6"/>
        <v>-6.2631992386444667E-3</v>
      </c>
      <c r="V15" s="103" t="e" vm="12">
        <v>#VALUE!</v>
      </c>
    </row>
    <row r="16" spans="1:22" x14ac:dyDescent="0.3">
      <c r="A16" s="87" t="e" vm="13">
        <f t="shared" si="0"/>
        <v>#VALUE!</v>
      </c>
      <c r="B16" s="87" t="str">
        <v>Bevel Gears</v>
      </c>
      <c r="C16" s="87" t="str">
        <v>Gears</v>
      </c>
      <c r="D16" s="95">
        <f>IF($B16="","",SUMIFS(VolumesTable[Volume],VolumesTable[Products],$B16,VolumesTable[Year],EvaluationYr))</f>
        <v>239840</v>
      </c>
      <c r="E16" s="95">
        <f>IF($B16="","",SUMIFS(VolumesTable[Volume],VolumesTable[Products],$B16,VolumesTable[Year],BaseYr))</f>
        <v>238947</v>
      </c>
      <c r="F16" s="96">
        <f t="shared" si="7"/>
        <v>893</v>
      </c>
      <c r="G16" s="132">
        <f t="shared" si="9"/>
        <v>3.7372304318530887E-3</v>
      </c>
      <c r="H16" s="98">
        <f>IF($B16="","",SUMIFS(ProductsCalcTable[Cost Per Unit],ProductsCalcTable[Products],$B16,ProductsCalcTable[Year],EvaluationYr))</f>
        <v>5.1309049940398221</v>
      </c>
      <c r="I16" s="98">
        <f>IF($B16="","",SUMIFS(ProductsCalcTable[Cost Per Unit],ProductsCalcTable[Products],$B16,ProductsCalcTable[Year],BaseYr))</f>
        <v>5.1905089585453732</v>
      </c>
      <c r="J16" s="98">
        <f t="shared" si="2"/>
        <v>-5.9603964505551055E-2</v>
      </c>
      <c r="K16" s="99">
        <f t="shared" si="8"/>
        <v>-1.148326011602818E-2</v>
      </c>
      <c r="O16" s="87" t="str">
        <f t="shared" si="3"/>
        <v>Pic_7</v>
      </c>
      <c r="P16" s="87" t="s">
        <v>141</v>
      </c>
      <c r="Q16" s="87" t="str">
        <v>Bevel Gears</v>
      </c>
      <c r="R16" s="87" t="str">
        <v>Gears</v>
      </c>
      <c r="S16" s="102" t="e" vm="13">
        <f t="shared" si="4"/>
        <v>#VALUE!</v>
      </c>
      <c r="T16" s="97">
        <f t="shared" si="5"/>
        <v>3.7372304318530887E-3</v>
      </c>
      <c r="U16" s="99">
        <f t="shared" si="6"/>
        <v>-1.148326011602818E-2</v>
      </c>
      <c r="V16" s="101" t="e" vm="14">
        <v>#VALUE!</v>
      </c>
    </row>
    <row r="17" spans="1:22" x14ac:dyDescent="0.3">
      <c r="A17" s="87" t="e" vm="15">
        <f t="shared" si="0"/>
        <v>#VALUE!</v>
      </c>
      <c r="B17" s="87" t="str">
        <v>Worm Gears 2mm Hole 6mmx8mm</v>
      </c>
      <c r="C17" s="87" t="str">
        <v>Gears</v>
      </c>
      <c r="D17" s="95">
        <f>IF($B17="","",SUMIFS(VolumesTable[Volume],VolumesTable[Products],$B17,VolumesTable[Year],EvaluationYr))</f>
        <v>196717</v>
      </c>
      <c r="E17" s="95">
        <f>IF($B17="","",SUMIFS(VolumesTable[Volume],VolumesTable[Products],$B17,VolumesTable[Year],BaseYr))</f>
        <v>197050</v>
      </c>
      <c r="F17" s="96">
        <f t="shared" si="7"/>
        <v>-333</v>
      </c>
      <c r="G17" s="132">
        <f t="shared" si="9"/>
        <v>-1.6899264146155797E-3</v>
      </c>
      <c r="H17" s="98">
        <f>IF($B17="","",SUMIFS(ProductsCalcTable[Cost Per Unit],ProductsCalcTable[Products],$B17,ProductsCalcTable[Year],EvaluationYr))</f>
        <v>5.8147746979051407</v>
      </c>
      <c r="I17" s="98">
        <f>IF($B17="","",SUMIFS(ProductsCalcTable[Cost Per Unit],ProductsCalcTable[Products],$B17,ProductsCalcTable[Year],BaseYr))</f>
        <v>5.878899544742227</v>
      </c>
      <c r="J17" s="98">
        <f t="shared" si="2"/>
        <v>-6.4124846837086302E-2</v>
      </c>
      <c r="K17" s="99">
        <f t="shared" si="8"/>
        <v>-1.0907627583879391E-2</v>
      </c>
      <c r="O17" s="87" t="str">
        <f t="shared" si="3"/>
        <v>Pic_8</v>
      </c>
      <c r="P17" s="87" t="s">
        <v>142</v>
      </c>
      <c r="Q17" s="87" t="str">
        <v>Worm Gears 2mm Hole 6mmx8mm</v>
      </c>
      <c r="R17" s="87" t="str">
        <v>Gears</v>
      </c>
      <c r="S17" s="103" t="e" vm="15">
        <f t="shared" si="4"/>
        <v>#VALUE!</v>
      </c>
      <c r="T17" s="97">
        <f t="shared" si="5"/>
        <v>-1.6899264146155797E-3</v>
      </c>
      <c r="U17" s="99">
        <f t="shared" si="6"/>
        <v>-1.0907627583879391E-2</v>
      </c>
      <c r="V17" s="100" t="e" vm="16">
        <v>#VALUE!</v>
      </c>
    </row>
    <row r="18" spans="1:22" x14ac:dyDescent="0.3">
      <c r="A18" s="87" t="e" vm="17">
        <f t="shared" si="0"/>
        <v>#VALUE!</v>
      </c>
      <c r="B18" s="87" t="str">
        <v>60-Tooth Saw blade</v>
      </c>
      <c r="C18" s="87" t="str">
        <v>Saw Blades</v>
      </c>
      <c r="D18" s="95">
        <f>IF($B18="","",SUMIFS(VolumesTable[Volume],VolumesTable[Products],$B18,VolumesTable[Year],EvaluationYr))</f>
        <v>243190</v>
      </c>
      <c r="E18" s="95">
        <f>IF($B18="","",SUMIFS(VolumesTable[Volume],VolumesTable[Products],$B18,VolumesTable[Year],BaseYr))</f>
        <v>242370</v>
      </c>
      <c r="F18" s="96">
        <f t="shared" si="7"/>
        <v>820</v>
      </c>
      <c r="G18" s="132">
        <f t="shared" si="9"/>
        <v>3.3832570037545901E-3</v>
      </c>
      <c r="H18" s="98">
        <f>IF($B18="","",SUMIFS(ProductsCalcTable[Cost Per Unit],ProductsCalcTable[Products],$B18,ProductsCalcTable[Year],EvaluationYr))</f>
        <v>11.351835698562942</v>
      </c>
      <c r="I18" s="98">
        <f>IF($B18="","",SUMIFS(ProductsCalcTable[Cost Per Unit],ProductsCalcTable[Products],$B18,ProductsCalcTable[Year],BaseYr))</f>
        <v>11.41188750430606</v>
      </c>
      <c r="J18" s="98">
        <f t="shared" si="2"/>
        <v>-6.0051805743118081E-2</v>
      </c>
      <c r="K18" s="99">
        <f t="shared" si="8"/>
        <v>-5.2622150122369031E-3</v>
      </c>
      <c r="O18" s="87" t="str">
        <f t="shared" si="3"/>
        <v>Pic_9</v>
      </c>
      <c r="P18" s="87" t="s">
        <v>143</v>
      </c>
      <c r="Q18" s="87" t="str">
        <v>60-Tooth Saw blade</v>
      </c>
      <c r="R18" s="87" t="str">
        <v>Saw Blades</v>
      </c>
      <c r="S18" s="100" t="e" vm="17">
        <f t="shared" si="4"/>
        <v>#VALUE!</v>
      </c>
      <c r="T18" s="97">
        <f t="shared" si="5"/>
        <v>3.3832570037545901E-3</v>
      </c>
      <c r="U18" s="99">
        <f t="shared" si="6"/>
        <v>-5.2622150122369031E-3</v>
      </c>
      <c r="V18" s="93" t="e" vm="18">
        <v>#VALUE!</v>
      </c>
    </row>
    <row r="19" spans="1:22" x14ac:dyDescent="0.3">
      <c r="A19" s="87" t="e" vm="19">
        <f t="shared" si="0"/>
        <v>#VALUE!</v>
      </c>
      <c r="B19" s="87" t="str">
        <v>Metal Cutting Circular Saw Blade</v>
      </c>
      <c r="C19" s="87" t="str">
        <v>Saw Blades</v>
      </c>
      <c r="D19" s="95">
        <f>IF($B19="","",SUMIFS(VolumesTable[Volume],VolumesTable[Products],$B19,VolumesTable[Year],EvaluationYr))</f>
        <v>225629</v>
      </c>
      <c r="E19" s="95">
        <f>IF($B19="","",SUMIFS(VolumesTable[Volume],VolumesTable[Products],$B19,VolumesTable[Year],BaseYr))</f>
        <v>224109</v>
      </c>
      <c r="F19" s="96">
        <f t="shared" si="7"/>
        <v>1520</v>
      </c>
      <c r="G19" s="132">
        <f t="shared" si="9"/>
        <v>6.7824139146575998E-3</v>
      </c>
      <c r="H19" s="98">
        <f>IF($B19="","",SUMIFS(ProductsCalcTable[Cost Per Unit],ProductsCalcTable[Products],$B19,ProductsCalcTable[Year],EvaluationYr))</f>
        <v>21.632872420849846</v>
      </c>
      <c r="I19" s="98">
        <f>IF($B19="","",SUMIFS(ProductsCalcTable[Cost Per Unit],ProductsCalcTable[Products],$B19,ProductsCalcTable[Year],BaseYr))</f>
        <v>21.911962278812954</v>
      </c>
      <c r="J19" s="98">
        <f t="shared" si="2"/>
        <v>-0.27908985796310759</v>
      </c>
      <c r="K19" s="99">
        <f t="shared" si="8"/>
        <v>-1.2736871961164532E-2</v>
      </c>
      <c r="O19" s="87" t="str">
        <f t="shared" si="3"/>
        <v>Pic_10</v>
      </c>
      <c r="P19" s="87" t="s">
        <v>144</v>
      </c>
      <c r="Q19" s="87" t="str">
        <v>Metal Cutting Circular Saw Blade</v>
      </c>
      <c r="R19" s="87" t="str">
        <v>Saw Blades</v>
      </c>
      <c r="S19" s="101" t="e" vm="19">
        <f t="shared" si="4"/>
        <v>#VALUE!</v>
      </c>
      <c r="T19" s="97">
        <f t="shared" si="5"/>
        <v>6.7824139146575998E-3</v>
      </c>
      <c r="U19" s="99">
        <f t="shared" si="6"/>
        <v>-1.2736871961164532E-2</v>
      </c>
      <c r="V19" s="93" t="e" vm="20">
        <v>#VALUE!</v>
      </c>
    </row>
    <row r="20" spans="1:22" x14ac:dyDescent="0.3">
      <c r="A20" s="87" t="e" vm="21">
        <f t="shared" si="0"/>
        <v>#VALUE!</v>
      </c>
      <c r="B20" s="87" t="str">
        <v>Diamond Circular Saw Blade</v>
      </c>
      <c r="C20" s="87" t="str">
        <v>Saw Blades</v>
      </c>
      <c r="D20" s="95">
        <f>IF($B20="","",SUMIFS(VolumesTable[Volume],VolumesTable[Products],$B20,VolumesTable[Year],EvaluationYr))</f>
        <v>188052</v>
      </c>
      <c r="E20" s="95">
        <f>IF($B20="","",SUMIFS(VolumesTable[Volume],VolumesTable[Products],$B20,VolumesTable[Year],BaseYr))</f>
        <v>184718</v>
      </c>
      <c r="F20" s="96">
        <f t="shared" si="7"/>
        <v>3334</v>
      </c>
      <c r="G20" s="132">
        <f t="shared" si="9"/>
        <v>1.8049134356153705E-2</v>
      </c>
      <c r="H20" s="98">
        <f>IF($B20="","",SUMIFS(ProductsCalcTable[Cost Per Unit],ProductsCalcTable[Products],$B20,ProductsCalcTable[Year],EvaluationYr))</f>
        <v>52.92298418433171</v>
      </c>
      <c r="I20" s="98">
        <f>IF($B20="","",SUMIFS(ProductsCalcTable[Cost Per Unit],ProductsCalcTable[Products],$B20,ProductsCalcTable[Year],BaseYr))</f>
        <v>53.714879198512293</v>
      </c>
      <c r="J20" s="98">
        <f t="shared" si="2"/>
        <v>-0.79189501418058228</v>
      </c>
      <c r="K20" s="99">
        <f t="shared" si="8"/>
        <v>-1.4742563438595891E-2</v>
      </c>
      <c r="O20" s="87" t="str">
        <f t="shared" si="3"/>
        <v>Pic_11</v>
      </c>
      <c r="P20" s="87" t="s">
        <v>145</v>
      </c>
      <c r="Q20" s="87" t="str">
        <v>Diamond Circular Saw Blade</v>
      </c>
      <c r="R20" s="87" t="str">
        <v>Saw Blades</v>
      </c>
      <c r="S20" s="87" t="e" vm="21">
        <f t="shared" si="4"/>
        <v>#VALUE!</v>
      </c>
      <c r="T20" s="97">
        <f t="shared" si="5"/>
        <v>1.8049134356153705E-2</v>
      </c>
      <c r="U20" s="99">
        <f t="shared" si="6"/>
        <v>-1.4742563438595891E-2</v>
      </c>
      <c r="V20" s="93" t="e" vm="22">
        <v>#VALUE!</v>
      </c>
    </row>
    <row r="21" spans="1:22" ht="6" customHeight="1" x14ac:dyDescent="0.3">
      <c r="D21" s="95" t="str">
        <f>IF($B21="","",SUMIFS(VolumesTable[Volume],VolumesTable[Products],$B21,VolumesTable[Year],EvaluationYr))</f>
        <v/>
      </c>
      <c r="E21" s="95" t="str">
        <f>IF($B21="","",SUMIFS(VolumesTable[Volume],VolumesTable[Products],$B21,VolumesTable[Year],BaseYr))</f>
        <v/>
      </c>
      <c r="F21" s="95" t="str">
        <f>IF($B21="","",SUMIFS(VolumesTable[Volume],VolumesTable[Products],$B21,VolumesTable[Year],BaseYr))</f>
        <v/>
      </c>
      <c r="G21" s="97"/>
      <c r="H21" s="98"/>
      <c r="I21" s="98"/>
      <c r="J21" s="98"/>
      <c r="K21" s="99"/>
    </row>
    <row r="22" spans="1:22" x14ac:dyDescent="0.3">
      <c r="B22" s="130" t="s">
        <v>177</v>
      </c>
      <c r="C22" s="130"/>
      <c r="D22" s="130"/>
      <c r="E22" s="130"/>
      <c r="F22" s="130"/>
      <c r="G22" s="130"/>
      <c r="H22" s="98"/>
      <c r="I22" s="129" t="s">
        <v>166</v>
      </c>
      <c r="J22" s="129"/>
      <c r="K22" s="129"/>
      <c r="L22" s="129"/>
      <c r="M22" s="129"/>
      <c r="O22" s="87" t="s">
        <v>162</v>
      </c>
      <c r="Q22" s="87" t="s">
        <v>154</v>
      </c>
      <c r="T22" s="93" t="s">
        <v>165</v>
      </c>
      <c r="U22" s="93"/>
    </row>
    <row r="23" spans="1:22" x14ac:dyDescent="0.3">
      <c r="B23" s="104" t="s">
        <v>153</v>
      </c>
      <c r="D23" s="105" t="str">
        <f>EvaluationYr&amp;" CPU"</f>
        <v>2023 CPU</v>
      </c>
      <c r="E23" s="105" t="str">
        <f>BaseYr&amp;" CPU"</f>
        <v>2022 CPU</v>
      </c>
      <c r="F23" s="106" t="s">
        <v>171</v>
      </c>
      <c r="G23" s="107"/>
    </row>
    <row r="24" spans="1:22" ht="6" customHeight="1" x14ac:dyDescent="0.3">
      <c r="D24" s="98"/>
      <c r="E24" s="98"/>
      <c r="F24" s="108"/>
      <c r="G24" s="109"/>
      <c r="Q24" s="96" t="str">
        <f>$E$23</f>
        <v>2022 CPU</v>
      </c>
      <c r="R24" s="96" t="str">
        <f>$E$23</f>
        <v>2022 CPU</v>
      </c>
      <c r="T24" s="110">
        <f>$E$34</f>
        <v>140.87410070580469</v>
      </c>
      <c r="U24" s="111"/>
    </row>
    <row r="25" spans="1:22" x14ac:dyDescent="0.3">
      <c r="B25" s="87" t="s">
        <v>175</v>
      </c>
      <c r="D25" s="98" cm="1">
        <f t="array" ref="D25">SUM(SUMIFS(INDEX('Products Calculations'!$AM$5:$AX$48, 0, MATCH($Q25, 'Products Calculations'!$AM$4:$AX$4, 0)), ProductsCalcTable[Year], EvaluationYr, ProductsCalcTable[Products], _xlfn.UNIQUE(_xlfn._xlws.FILTER(ProductsTable[Products],ProductsTable[Include]=1,"No Values"))))</f>
        <v>3.6100131088824052</v>
      </c>
      <c r="E25" s="98" cm="1">
        <f t="array" ref="E25">SUM(SUMIFS(INDEX('Products Calculations'!$AM$5:$AX$48, 0, MATCH($Q25, 'Products Calculations'!$AM$4:$AX$4, 0)), ProductsCalcTable[Year], BaseYr, ProductsCalcTable[Products], _xlfn.UNIQUE(_xlfn._xlws.FILTER(ProductsTable[Products],ProductsTable[Include]=1,"No Values"))))</f>
        <v>4.1073971003934124</v>
      </c>
      <c r="F25" s="108">
        <f>D25-E25</f>
        <v>-0.49738399151100721</v>
      </c>
      <c r="G25" s="109">
        <f>IFERROR(F25/E25,0)</f>
        <v>-0.12109469314845819</v>
      </c>
      <c r="Q25" s="87" t="s">
        <v>173</v>
      </c>
      <c r="R25" s="87" t="str">
        <f t="shared" ref="R25:R32" si="10">B25</f>
        <v>Staff-Mngt</v>
      </c>
      <c r="T25" s="111">
        <f t="shared" ref="T25:T32" si="11">$F25</f>
        <v>-0.49738399151100721</v>
      </c>
      <c r="U25" s="111"/>
    </row>
    <row r="26" spans="1:22" x14ac:dyDescent="0.3">
      <c r="B26" s="87" t="s">
        <v>85</v>
      </c>
      <c r="D26" s="98" cm="1">
        <f t="array" ref="D26">SUM(SUMIFS(INDEX('Products Calculations'!$AM$5:$AX$48, 0, MATCH($Q26, 'Products Calculations'!$AM$4:$AX$4, 0)), ProductsCalcTable[Year], EvaluationYr, ProductsCalcTable[Products], _xlfn.UNIQUE(_xlfn._xlws.FILTER(ProductsTable[Products],ProductsTable[Include]=1,"No Values"))))</f>
        <v>40.222344596741678</v>
      </c>
      <c r="E26" s="98" cm="1">
        <f t="array" ref="E26">SUM(SUMIFS(INDEX('Products Calculations'!$AM$5:$AX$48, 0, MATCH($Q26, 'Products Calculations'!$AM$4:$AX$4, 0)), ProductsCalcTable[Year], BaseYr, ProductsCalcTable[Products], _xlfn.UNIQUE(_xlfn._xlws.FILTER(ProductsTable[Products],ProductsTable[Include]=1,"No Values"))))</f>
        <v>41.234516681512986</v>
      </c>
      <c r="F26" s="108">
        <f t="shared" ref="F26:F34" si="12">D26-E26</f>
        <v>-1.0121720847713078</v>
      </c>
      <c r="G26" s="109">
        <f t="shared" ref="G26:G34" si="13">IFERROR(F26/E26,0)</f>
        <v>-2.4546718774203637E-2</v>
      </c>
      <c r="Q26" s="87" t="s">
        <v>174</v>
      </c>
      <c r="R26" s="87" t="str">
        <f t="shared" si="10"/>
        <v>Staff-Production</v>
      </c>
      <c r="T26" s="111">
        <f t="shared" si="11"/>
        <v>-1.0121720847713078</v>
      </c>
      <c r="U26" s="111"/>
    </row>
    <row r="27" spans="1:22" x14ac:dyDescent="0.3">
      <c r="B27" s="87" t="s">
        <v>176</v>
      </c>
      <c r="D27" s="98" cm="1">
        <f t="array" ref="D27">SUM(SUMIFS(INDEX('Products Calculations'!$AM$5:$AX$48, 0, MATCH($Q27, 'Products Calculations'!$AM$4:$AX$4, 0)), ProductsCalcTable[Year], EvaluationYr, ProductsCalcTable[Products], _xlfn.UNIQUE(_xlfn._xlws.FILTER(ProductsTable[Products],ProductsTable[Include]=1,"No Values"))))</f>
        <v>17.894991229527761</v>
      </c>
      <c r="E27" s="98" cm="1">
        <f t="array" ref="E27">SUM(SUMIFS(INDEX('Products Calculations'!$AM$5:$AX$48, 0, MATCH($Q27, 'Products Calculations'!$AM$4:$AX$4, 0)), ProductsCalcTable[Year], BaseYr, ProductsCalcTable[Products], _xlfn.UNIQUE(_xlfn._xlws.FILTER(ProductsTable[Products],ProductsTable[Include]=1,"No Values"))))</f>
        <v>19.117259941366513</v>
      </c>
      <c r="F27" s="108">
        <f t="shared" ref="F27:F32" si="14">D27-E27</f>
        <v>-1.2222687118387512</v>
      </c>
      <c r="G27" s="109">
        <f t="shared" ref="G27:G32" si="15">IFERROR(F27/E27,0)</f>
        <v>-6.3935350337208569E-2</v>
      </c>
      <c r="Q27" s="87" t="s">
        <v>164</v>
      </c>
      <c r="R27" s="87" t="str">
        <f t="shared" si="10"/>
        <v>Hardware</v>
      </c>
      <c r="T27" s="111">
        <f t="shared" si="11"/>
        <v>-1.2222687118387512</v>
      </c>
      <c r="U27" s="111"/>
    </row>
    <row r="28" spans="1:22" x14ac:dyDescent="0.3">
      <c r="B28" s="87" t="s">
        <v>83</v>
      </c>
      <c r="D28" s="98" cm="1">
        <f t="array" ref="D28">SUM(SUMIFS(INDEX('Products Calculations'!$AM$5:$AX$48, 0, MATCH($Q28, 'Products Calculations'!$AM$4:$AX$4, 0)), ProductsCalcTable[Year], EvaluationYr, ProductsCalcTable[Products], _xlfn.UNIQUE(_xlfn._xlws.FILTER(ProductsTable[Products],ProductsTable[Include]=1,"No Values"))))</f>
        <v>3.9975799652444999</v>
      </c>
      <c r="E28" s="98" cm="1">
        <f t="array" ref="E28">SUM(SUMIFS(INDEX('Products Calculations'!$AM$5:$AX$48, 0, MATCH($Q28, 'Products Calculations'!$AM$4:$AX$4, 0)), ProductsCalcTable[Year], BaseYr, ProductsCalcTable[Products], _xlfn.UNIQUE(_xlfn._xlws.FILTER(ProductsTable[Products],ProductsTable[Include]=1,"No Values"))))</f>
        <v>4.0564090472841201</v>
      </c>
      <c r="F28" s="108">
        <f t="shared" si="14"/>
        <v>-5.8829082039620229E-2</v>
      </c>
      <c r="G28" s="109">
        <f t="shared" si="15"/>
        <v>-1.450274894712799E-2</v>
      </c>
      <c r="Q28" s="87" t="s">
        <v>155</v>
      </c>
      <c r="R28" s="87" t="str">
        <f t="shared" si="10"/>
        <v>Facilities</v>
      </c>
      <c r="T28" s="111">
        <f t="shared" si="11"/>
        <v>-5.8829082039620229E-2</v>
      </c>
      <c r="U28" s="111"/>
    </row>
    <row r="29" spans="1:22" x14ac:dyDescent="0.3">
      <c r="B29" s="87" t="s">
        <v>20</v>
      </c>
      <c r="D29" s="98" cm="1">
        <f t="array" ref="D29">SUM(SUMIFS(INDEX('Products Calculations'!$AM$5:$AX$48, 0, MATCH($Q29, 'Products Calculations'!$AM$4:$AX$4, 0)), ProductsCalcTable[Year], EvaluationYr, ProductsCalcTable[Products], _xlfn.UNIQUE(_xlfn._xlws.FILTER(ProductsTable[Products],ProductsTable[Include]=1,"No Values"))))</f>
        <v>66.217832974441848</v>
      </c>
      <c r="E29" s="98" cm="1">
        <f t="array" ref="E29">SUM(SUMIFS(INDEX('Products Calculations'!$AM$5:$AX$48, 0, MATCH($Q29, 'Products Calculations'!$AM$4:$AX$4, 0)), ProductsCalcTable[Year], BaseYr, ProductsCalcTable[Products], _xlfn.UNIQUE(_xlfn._xlws.FILTER(ProductsTable[Products],ProductsTable[Include]=1,"No Values"))))</f>
        <v>66.340347139394552</v>
      </c>
      <c r="F29" s="108">
        <f t="shared" si="14"/>
        <v>-0.12251416495270462</v>
      </c>
      <c r="G29" s="109">
        <f t="shared" si="15"/>
        <v>-1.8467519426040606E-3</v>
      </c>
      <c r="Q29" s="87" t="s">
        <v>130</v>
      </c>
      <c r="R29" s="87" t="str">
        <f t="shared" si="10"/>
        <v>Materials</v>
      </c>
      <c r="T29" s="111">
        <f t="shared" si="11"/>
        <v>-0.12251416495270462</v>
      </c>
      <c r="U29" s="111"/>
    </row>
    <row r="30" spans="1:22" x14ac:dyDescent="0.3">
      <c r="B30" s="87" t="s">
        <v>86</v>
      </c>
      <c r="D30" s="98" cm="1">
        <f t="array" ref="D30">SUM(SUMIFS(INDEX('Products Calculations'!$AM$5:$AX$48, 0, MATCH($Q30, 'Products Calculations'!$AM$4:$AX$4, 0)), ProductsCalcTable[Year], EvaluationYr, ProductsCalcTable[Products], _xlfn.UNIQUE(_xlfn._xlws.FILTER(ProductsTable[Products],ProductsTable[Include]=1,"No Values"))))</f>
        <v>1.1458602464391427</v>
      </c>
      <c r="E30" s="98" cm="1">
        <f t="array" ref="E30">SUM(SUMIFS(INDEX('Products Calculations'!$AM$5:$AX$48, 0, MATCH($Q30, 'Products Calculations'!$AM$4:$AX$4, 0)), ProductsCalcTable[Year], BaseYr, ProductsCalcTable[Products], _xlfn.UNIQUE(_xlfn._xlws.FILTER(ProductsTable[Products],ProductsTable[Include]=1,"No Values"))))</f>
        <v>1.1129241434840036</v>
      </c>
      <c r="F30" s="108">
        <f t="shared" si="14"/>
        <v>3.2936102955139157E-2</v>
      </c>
      <c r="G30" s="109">
        <f t="shared" si="15"/>
        <v>2.9594202936448884E-2</v>
      </c>
      <c r="Q30" s="87" t="s">
        <v>156</v>
      </c>
      <c r="R30" s="87" t="str">
        <f t="shared" si="10"/>
        <v>Supplies</v>
      </c>
      <c r="T30" s="111">
        <f t="shared" si="11"/>
        <v>3.2936102955139157E-2</v>
      </c>
      <c r="U30" s="111"/>
    </row>
    <row r="31" spans="1:22" x14ac:dyDescent="0.3">
      <c r="B31" s="87" t="s">
        <v>88</v>
      </c>
      <c r="D31" s="98" cm="1">
        <f t="array" ref="D31">SUM(SUMIFS(INDEX('Products Calculations'!$AM$5:$AX$48, 0, MATCH($Q31, 'Products Calculations'!$AM$4:$AX$4, 0)), ProductsCalcTable[Year], EvaluationYr, ProductsCalcTable[Products], _xlfn.UNIQUE(_xlfn._xlws.FILTER(ProductsTable[Products],ProductsTable[Include]=1,"No Values"))))</f>
        <v>2.4405496412583494</v>
      </c>
      <c r="E31" s="98" cm="1">
        <f t="array" ref="E31">SUM(SUMIFS(INDEX('Products Calculations'!$AM$5:$AX$48, 0, MATCH($Q31, 'Products Calculations'!$AM$4:$AX$4, 0)), ProductsCalcTable[Year], BaseYr, ProductsCalcTable[Products], _xlfn.UNIQUE(_xlfn._xlws.FILTER(ProductsTable[Products],ProductsTable[Include]=1,"No Values"))))</f>
        <v>2.4419772371244397</v>
      </c>
      <c r="F31" s="108">
        <f t="shared" si="14"/>
        <v>-1.4275958660903143E-3</v>
      </c>
      <c r="G31" s="109">
        <f t="shared" si="15"/>
        <v>-5.8460654112050018E-4</v>
      </c>
      <c r="Q31" s="87" t="s">
        <v>157</v>
      </c>
      <c r="R31" s="87" t="str">
        <f t="shared" si="10"/>
        <v>IT</v>
      </c>
      <c r="T31" s="111">
        <f t="shared" si="11"/>
        <v>-1.4275958660903143E-3</v>
      </c>
      <c r="U31" s="111"/>
    </row>
    <row r="32" spans="1:22" x14ac:dyDescent="0.3">
      <c r="B32" s="87" t="s">
        <v>87</v>
      </c>
      <c r="D32" s="98" cm="1">
        <f t="array" ref="D32">SUM(SUMIFS(INDEX('Products Calculations'!$AM$5:$AX$48, 0, MATCH($Q32, 'Products Calculations'!$AM$4:$AX$4, 0)), ProductsCalcTable[Year], EvaluationYr, ProductsCalcTable[Products], _xlfn.UNIQUE(_xlfn._xlws.FILTER(ProductsTable[Products],ProductsTable[Include]=1,"No Values"))))</f>
        <v>2.450630221310357</v>
      </c>
      <c r="E32" s="98" cm="1">
        <f t="array" ref="E32">SUM(SUMIFS(INDEX('Products Calculations'!$AM$5:$AX$48, 0, MATCH($Q32, 'Products Calculations'!$AM$4:$AX$4, 0)), ProductsCalcTable[Year], BaseYr, ProductsCalcTable[Products], _xlfn.UNIQUE(_xlfn._xlws.FILTER(ProductsTable[Products],ProductsTable[Include]=1,"No Values"))))</f>
        <v>2.4632694152446577</v>
      </c>
      <c r="F32" s="108">
        <f t="shared" si="14"/>
        <v>-1.2639193934300685E-2</v>
      </c>
      <c r="G32" s="109">
        <f t="shared" si="15"/>
        <v>-5.1310643716352602E-3</v>
      </c>
      <c r="Q32" s="87" t="s">
        <v>158</v>
      </c>
      <c r="R32" s="87" t="str">
        <f t="shared" si="10"/>
        <v>Other</v>
      </c>
      <c r="T32" s="111">
        <f t="shared" si="11"/>
        <v>-1.2639193934300685E-2</v>
      </c>
      <c r="U32" s="111"/>
    </row>
    <row r="33" spans="3:20" ht="6" customHeight="1" x14ac:dyDescent="0.3">
      <c r="C33" s="95"/>
      <c r="D33" s="98"/>
      <c r="E33" s="98"/>
      <c r="F33" s="108"/>
      <c r="G33" s="109"/>
      <c r="Q33" s="96" t="str">
        <f>$D$23</f>
        <v>2023 CPU</v>
      </c>
      <c r="R33" s="96" t="str">
        <f>$D$23</f>
        <v>2023 CPU</v>
      </c>
      <c r="T33" s="110">
        <f>$D$34</f>
        <v>137.97980198384604</v>
      </c>
    </row>
    <row r="34" spans="3:20" ht="14.4" thickBot="1" x14ac:dyDescent="0.35">
      <c r="C34" s="95"/>
      <c r="D34" s="112">
        <f>SUBTOTAL(9,D24:D33)</f>
        <v>137.97980198384604</v>
      </c>
      <c r="E34" s="112">
        <f>SUBTOTAL(9,E24:E33)</f>
        <v>140.87410070580469</v>
      </c>
      <c r="F34" s="113">
        <f t="shared" si="12"/>
        <v>-2.8942987219586485</v>
      </c>
      <c r="G34" s="114">
        <f t="shared" si="13"/>
        <v>-2.0545286234003902E-2</v>
      </c>
    </row>
  </sheetData>
  <sheetProtection algorithmName="SHA-512" hashValue="Wc3F2rrprtnGXa90EQaiHJdYOSzT29LaczqenQWdKxAeGAWQ3Ay4hn78BdfxNZA7C7VeB55pcOwRox+FCWaY5g==" saltValue="7c+CF5Tqp1zRwtN8E9iunQ==" spinCount="100000" sheet="1" scenarios="1" autoFilter="0" pivotTables="0"/>
  <phoneticPr fontId="5" type="noConversion"/>
  <conditionalFormatting sqref="G10:G21 K10:K21 F23:F34 G24:G32 F27:G33">
    <cfRule type="expression" dxfId="2" priority="2">
      <formula>ISERROR(F10)</formula>
    </cfRule>
  </conditionalFormatting>
  <conditionalFormatting sqref="G34">
    <cfRule type="expression" dxfId="1" priority="1">
      <formula>ISERROR(G34)</formula>
    </cfRule>
  </conditionalFormatting>
  <conditionalFormatting sqref="T10:U20">
    <cfRule type="expression" dxfId="0" priority="5">
      <formula>ISERROR(T10)</formula>
    </cfRule>
  </conditionalFormatting>
  <pageMargins left="0.25" right="0.25" top="0.75" bottom="0.75" header="0.3" footer="0.3"/>
  <pageSetup scale="70" orientation="landscape"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C56945B5-A087-488A-AB21-80D214A02ECB}">
          <x14:formula1>
            <xm:f>Years!$B$5:$B$7</xm:f>
          </x14:formula1>
          <xm:sqref>C6</xm:sqref>
        </x14:dataValidation>
        <x14:dataValidation type="list" allowBlank="1" showInputMessage="1" showErrorMessage="1" xr:uid="{2994058A-90B7-4B08-B40A-36D9E89A7D30}">
          <x14:formula1>
            <xm:f>Years!$A$6:$A$8</xm:f>
          </x14:formula1>
          <xm:sqref>C7</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50756-D448-4991-ADE5-6403990B7E74}">
  <dimension ref="A1:O7"/>
  <sheetViews>
    <sheetView showGridLines="0" workbookViewId="0">
      <selection activeCell="F5" sqref="F5"/>
    </sheetView>
  </sheetViews>
  <sheetFormatPr defaultRowHeight="14.4" x14ac:dyDescent="0.3"/>
  <cols>
    <col min="1" max="1" width="25.6640625" customWidth="1"/>
    <col min="2" max="2" width="10.6640625" bestFit="1" customWidth="1"/>
    <col min="3" max="3" width="16.77734375" customWidth="1"/>
    <col min="6" max="6" width="17.109375" customWidth="1"/>
  </cols>
  <sheetData>
    <row r="1" spans="1:15" x14ac:dyDescent="0.3">
      <c r="A1" s="12" t="s">
        <v>3</v>
      </c>
    </row>
    <row r="2" spans="1:15" x14ac:dyDescent="0.3">
      <c r="A2" s="12" t="s">
        <v>2</v>
      </c>
    </row>
    <row r="4" spans="1:15" s="1" customFormat="1" ht="29.4" thickBot="1" x14ac:dyDescent="0.35">
      <c r="A4" s="2" t="s">
        <v>0</v>
      </c>
      <c r="B4" s="2" t="s">
        <v>1</v>
      </c>
      <c r="C4" s="2" t="s">
        <v>148</v>
      </c>
    </row>
    <row r="5" spans="1:15" ht="22.8" customHeight="1" x14ac:dyDescent="0.35">
      <c r="A5" t="s">
        <v>6</v>
      </c>
      <c r="B5" t="s">
        <v>12</v>
      </c>
      <c r="C5" s="78" t="e" vm="23">
        <v>#VALUE!</v>
      </c>
      <c r="E5" s="1"/>
      <c r="F5" s="1"/>
      <c r="G5" s="1"/>
      <c r="O5" s="1"/>
    </row>
    <row r="6" spans="1:15" ht="19.8" customHeight="1" x14ac:dyDescent="0.3">
      <c r="A6" t="s">
        <v>73</v>
      </c>
      <c r="B6" t="s">
        <v>11</v>
      </c>
      <c r="C6" t="e" vm="24">
        <v>#VALUE!</v>
      </c>
      <c r="F6" s="1"/>
    </row>
    <row r="7" spans="1:15" ht="19.8" customHeight="1" x14ac:dyDescent="0.3">
      <c r="A7" t="s">
        <v>21</v>
      </c>
      <c r="B7" t="s">
        <v>12</v>
      </c>
      <c r="C7" t="e" vm="25">
        <v>#VALUE!</v>
      </c>
      <c r="F7" s="1"/>
    </row>
  </sheetData>
  <sheetProtection algorithmName="SHA-512" hashValue="IzDdEZwEtH0myeM6Rm+0hVsnjLI5IQqS+Fmo7u4kAGGn8omTgu4nHv1+c+QWGdfXMmv/mow8VhlZ/aP5cZOcgw==" saltValue="u4C5w36vZmWjqFp30YRuLA==" spinCount="100000" sheet="1" objects="1" scenarios="1" autoFilter="0" pivotTables="0"/>
  <phoneticPr fontId="5"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87385-C955-4204-A363-8299599DBB87}">
  <dimension ref="B1:P19"/>
  <sheetViews>
    <sheetView showGridLines="0" topLeftCell="A7" workbookViewId="0">
      <selection activeCell="B21" sqref="B21"/>
    </sheetView>
  </sheetViews>
  <sheetFormatPr defaultRowHeight="14.4" x14ac:dyDescent="0.3"/>
  <cols>
    <col min="1" max="1" width="2" customWidth="1"/>
    <col min="2" max="2" width="31.109375" bestFit="1" customWidth="1"/>
    <col min="3" max="3" width="15.88671875" customWidth="1"/>
    <col min="4" max="4" width="11" customWidth="1"/>
    <col min="5" max="5" width="10.88671875" customWidth="1"/>
    <col min="6" max="6" width="7.21875" bestFit="1" customWidth="1"/>
    <col min="7" max="8" width="12.33203125" bestFit="1" customWidth="1"/>
    <col min="9" max="11" width="9.6640625" bestFit="1" customWidth="1"/>
    <col min="12" max="12" width="10.6640625" bestFit="1" customWidth="1"/>
    <col min="13" max="15" width="10.6640625" customWidth="1"/>
    <col min="16" max="16" width="9.5546875" customWidth="1"/>
  </cols>
  <sheetData>
    <row r="1" spans="2:16" x14ac:dyDescent="0.3">
      <c r="B1" s="12" t="s">
        <v>3</v>
      </c>
    </row>
    <row r="2" spans="2:16" x14ac:dyDescent="0.3">
      <c r="B2" s="12" t="s">
        <v>126</v>
      </c>
    </row>
    <row r="3" spans="2:16" x14ac:dyDescent="0.3">
      <c r="B3" s="12"/>
    </row>
    <row r="4" spans="2:16" x14ac:dyDescent="0.3">
      <c r="B4" s="12"/>
      <c r="C4" s="28"/>
    </row>
    <row r="5" spans="2:16" x14ac:dyDescent="0.3">
      <c r="B5" s="12"/>
      <c r="C5" s="28"/>
    </row>
    <row r="6" spans="2:16" x14ac:dyDescent="0.3">
      <c r="B6" s="12"/>
      <c r="C6" s="12"/>
    </row>
    <row r="7" spans="2:16" x14ac:dyDescent="0.3">
      <c r="P7" s="33"/>
    </row>
    <row r="8" spans="2:16" ht="29.4" thickBot="1" x14ac:dyDescent="0.35">
      <c r="B8" s="2" t="s">
        <v>23</v>
      </c>
      <c r="C8" s="2" t="s">
        <v>0</v>
      </c>
      <c r="D8" s="2" t="s">
        <v>20</v>
      </c>
      <c r="E8" s="2" t="s">
        <v>97</v>
      </c>
      <c r="F8" s="75" t="s">
        <v>133</v>
      </c>
      <c r="O8" s="24"/>
    </row>
    <row r="9" spans="2:16" ht="22.95" customHeight="1" x14ac:dyDescent="0.3">
      <c r="B9" t="s">
        <v>9</v>
      </c>
      <c r="C9" s="3" t="s">
        <v>6</v>
      </c>
      <c r="D9" t="s">
        <v>12</v>
      </c>
      <c r="E9" t="e" vm="26">
        <v>#VALUE!</v>
      </c>
      <c r="F9">
        <f>SUBTOTAL(103,ProductsTable[[#This Row],[Products]])</f>
        <v>1</v>
      </c>
      <c r="O9" s="45"/>
    </row>
    <row r="10" spans="2:16" ht="22.95" customHeight="1" x14ac:dyDescent="0.3">
      <c r="B10" t="s">
        <v>7</v>
      </c>
      <c r="C10" s="3" t="s">
        <v>6</v>
      </c>
      <c r="D10" t="s">
        <v>12</v>
      </c>
      <c r="E10" t="e" vm="27">
        <v>#VALUE!</v>
      </c>
      <c r="F10">
        <f>SUBTOTAL(103,ProductsTable[[#This Row],[Products]])</f>
        <v>1</v>
      </c>
      <c r="O10" s="45"/>
    </row>
    <row r="11" spans="2:16" ht="22.95" customHeight="1" x14ac:dyDescent="0.3">
      <c r="B11" t="s">
        <v>8</v>
      </c>
      <c r="C11" s="3" t="s">
        <v>6</v>
      </c>
      <c r="D11" t="s">
        <v>12</v>
      </c>
      <c r="E11" t="e" vm="28">
        <v>#VALUE!</v>
      </c>
      <c r="F11">
        <f>SUBTOTAL(103,ProductsTable[[#This Row],[Products]])</f>
        <v>1</v>
      </c>
      <c r="O11" s="45"/>
    </row>
    <row r="12" spans="2:16" ht="22.95" customHeight="1" x14ac:dyDescent="0.3">
      <c r="B12" t="s">
        <v>10</v>
      </c>
      <c r="C12" s="3" t="s">
        <v>6</v>
      </c>
      <c r="D12" t="s">
        <v>12</v>
      </c>
      <c r="E12" t="e" vm="29">
        <v>#VALUE!</v>
      </c>
      <c r="F12">
        <f>SUBTOTAL(103,ProductsTable[[#This Row],[Products]])</f>
        <v>1</v>
      </c>
      <c r="O12" s="45"/>
    </row>
    <row r="13" spans="2:16" ht="22.95" customHeight="1" x14ac:dyDescent="0.3">
      <c r="B13" t="s">
        <v>16</v>
      </c>
      <c r="C13" s="3" t="s">
        <v>73</v>
      </c>
      <c r="D13" t="s">
        <v>11</v>
      </c>
      <c r="E13" t="e" vm="30">
        <v>#VALUE!</v>
      </c>
      <c r="F13">
        <f>SUBTOTAL(103,ProductsTable[[#This Row],[Products]])</f>
        <v>1</v>
      </c>
      <c r="O13" s="45"/>
    </row>
    <row r="14" spans="2:16" ht="22.95" customHeight="1" x14ac:dyDescent="0.3">
      <c r="B14" t="s">
        <v>15</v>
      </c>
      <c r="C14" s="3" t="s">
        <v>73</v>
      </c>
      <c r="D14" t="s">
        <v>11</v>
      </c>
      <c r="E14" t="e" vm="31">
        <v>#VALUE!</v>
      </c>
      <c r="F14">
        <f>SUBTOTAL(103,ProductsTable[[#This Row],[Products]])</f>
        <v>1</v>
      </c>
      <c r="O14" s="45"/>
    </row>
    <row r="15" spans="2:16" ht="22.95" customHeight="1" x14ac:dyDescent="0.3">
      <c r="B15" t="s">
        <v>13</v>
      </c>
      <c r="C15" s="3" t="s">
        <v>73</v>
      </c>
      <c r="D15" t="s">
        <v>11</v>
      </c>
      <c r="E15" t="e" vm="32">
        <v>#VALUE!</v>
      </c>
      <c r="F15">
        <f>SUBTOTAL(103,ProductsTable[[#This Row],[Products]])</f>
        <v>1</v>
      </c>
      <c r="O15" s="45"/>
    </row>
    <row r="16" spans="2:16" ht="22.95" customHeight="1" x14ac:dyDescent="0.3">
      <c r="B16" t="s">
        <v>14</v>
      </c>
      <c r="C16" s="3" t="s">
        <v>73</v>
      </c>
      <c r="D16" t="s">
        <v>11</v>
      </c>
      <c r="E16" t="e" vm="33">
        <v>#VALUE!</v>
      </c>
      <c r="F16">
        <f>SUBTOTAL(103,ProductsTable[[#This Row],[Products]])</f>
        <v>1</v>
      </c>
      <c r="O16" s="45"/>
    </row>
    <row r="17" spans="2:15" ht="22.95" customHeight="1" x14ac:dyDescent="0.3">
      <c r="B17" t="s">
        <v>17</v>
      </c>
      <c r="C17" s="3" t="s">
        <v>21</v>
      </c>
      <c r="D17" t="s">
        <v>12</v>
      </c>
      <c r="E17" t="e" vm="34">
        <v>#VALUE!</v>
      </c>
      <c r="F17">
        <f>SUBTOTAL(103,ProductsTable[[#This Row],[Products]])</f>
        <v>1</v>
      </c>
      <c r="O17" s="45"/>
    </row>
    <row r="18" spans="2:15" ht="22.95" customHeight="1" x14ac:dyDescent="0.3">
      <c r="B18" t="s">
        <v>19</v>
      </c>
      <c r="C18" s="3" t="s">
        <v>21</v>
      </c>
      <c r="D18" t="s">
        <v>12</v>
      </c>
      <c r="E18" t="e" vm="35">
        <v>#VALUE!</v>
      </c>
      <c r="F18">
        <f>SUBTOTAL(103,ProductsTable[[#This Row],[Products]])</f>
        <v>1</v>
      </c>
      <c r="O18" s="45"/>
    </row>
    <row r="19" spans="2:15" ht="22.95" customHeight="1" x14ac:dyDescent="0.3">
      <c r="B19" t="s">
        <v>18</v>
      </c>
      <c r="C19" s="3" t="s">
        <v>21</v>
      </c>
      <c r="D19" t="s">
        <v>12</v>
      </c>
      <c r="E19" t="e" vm="36">
        <v>#VALUE!</v>
      </c>
      <c r="F19">
        <f>SUBTOTAL(103,ProductsTable[[#This Row],[Products]])</f>
        <v>1</v>
      </c>
      <c r="O19" s="45"/>
    </row>
  </sheetData>
  <sheetProtection algorithmName="SHA-512" hashValue="cqB8EPXu9tu8d9BnCf0g633AoAZ+AyPcpR3b7Cc7ScIq0r84ahj63KDsh/esnE00hmJb3rSEUBhaqIwRIaXRvw==" saltValue="QVK+dLUTlPVGndnoqlUU4w==" spinCount="100000" sheet="1" autoFilter="0" pivotTables="0"/>
  <dataValidations count="1">
    <dataValidation type="list" allowBlank="1" showInputMessage="1" showErrorMessage="1" sqref="C6" xr:uid="{40BD8FAD-1F7A-432C-AD1F-0E18927C3084}">
      <formula1>#REF!</formula1>
    </dataValidation>
  </dataValidation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712F0-0A86-469B-8EC8-C98866976F39}">
  <sheetPr>
    <tabColor theme="3" tint="0.89999084444715716"/>
  </sheetPr>
  <dimension ref="A1:AC56"/>
  <sheetViews>
    <sheetView showGridLines="0" workbookViewId="0">
      <pane xSplit="4" ySplit="4" topLeftCell="E5" activePane="bottomRight" state="frozen"/>
      <selection pane="topRight" activeCell="E1" sqref="E1"/>
      <selection pane="bottomLeft" activeCell="A5" sqref="A5"/>
      <selection pane="bottomRight" activeCell="G1" sqref="G1"/>
    </sheetView>
  </sheetViews>
  <sheetFormatPr defaultRowHeight="14.4" x14ac:dyDescent="0.3"/>
  <cols>
    <col min="1" max="1" width="31.109375" bestFit="1" customWidth="1"/>
    <col min="2" max="2" width="15.88671875" customWidth="1"/>
    <col min="3" max="3" width="11" customWidth="1"/>
    <col min="4" max="4" width="9.109375" bestFit="1" customWidth="1"/>
    <col min="5" max="5" width="10.88671875" customWidth="1"/>
    <col min="6" max="6" width="12.88671875" customWidth="1"/>
    <col min="7" max="7" width="10.6640625" customWidth="1"/>
    <col min="8" max="8" width="15.33203125" bestFit="1" customWidth="1"/>
    <col min="9" max="9" width="14" customWidth="1"/>
    <col min="10" max="10" width="13.5546875" bestFit="1" customWidth="1"/>
    <col min="11" max="11" width="12.33203125" customWidth="1"/>
    <col min="12" max="12" width="11.6640625" customWidth="1"/>
    <col min="13" max="13" width="14.33203125" bestFit="1" customWidth="1"/>
    <col min="14" max="14" width="11.33203125" bestFit="1" customWidth="1"/>
    <col min="15" max="15" width="11.44140625" bestFit="1" customWidth="1"/>
    <col min="16" max="16" width="11.33203125" bestFit="1" customWidth="1"/>
    <col min="17" max="18" width="12.33203125" bestFit="1" customWidth="1"/>
    <col min="19" max="21" width="9.6640625" bestFit="1" customWidth="1"/>
    <col min="22" max="22" width="10.6640625" bestFit="1" customWidth="1"/>
    <col min="23" max="25" width="10.6640625" customWidth="1"/>
    <col min="26" max="26" width="9.5546875" customWidth="1"/>
  </cols>
  <sheetData>
    <row r="1" spans="1:29" x14ac:dyDescent="0.3">
      <c r="A1" s="12" t="s">
        <v>3</v>
      </c>
    </row>
    <row r="2" spans="1:29" x14ac:dyDescent="0.3">
      <c r="A2" s="12" t="s">
        <v>119</v>
      </c>
    </row>
    <row r="3" spans="1:29" x14ac:dyDescent="0.3">
      <c r="Z3" s="33"/>
    </row>
    <row r="4" spans="1:29" ht="29.4" thickBot="1" x14ac:dyDescent="0.35">
      <c r="A4" s="2" t="s">
        <v>23</v>
      </c>
      <c r="B4" s="2" t="s">
        <v>0</v>
      </c>
      <c r="C4" s="2" t="s">
        <v>20</v>
      </c>
      <c r="D4" s="2" t="s">
        <v>76</v>
      </c>
      <c r="E4" s="2" t="s">
        <v>111</v>
      </c>
      <c r="F4" s="2" t="s">
        <v>97</v>
      </c>
      <c r="G4" s="2" t="s">
        <v>80</v>
      </c>
      <c r="H4" s="2" t="s">
        <v>130</v>
      </c>
      <c r="I4" s="2" t="s">
        <v>132</v>
      </c>
      <c r="J4" s="2" t="s">
        <v>112</v>
      </c>
      <c r="K4" s="2" t="s">
        <v>113</v>
      </c>
      <c r="AC4" s="24"/>
    </row>
    <row r="5" spans="1:29" ht="22.95" customHeight="1" x14ac:dyDescent="0.3">
      <c r="A5" t="s">
        <v>9</v>
      </c>
      <c r="B5" s="3" t="s">
        <v>6</v>
      </c>
      <c r="C5" t="s">
        <v>12</v>
      </c>
      <c r="D5">
        <v>2023</v>
      </c>
      <c r="E5" s="20">
        <v>9.7899999999999987E-2</v>
      </c>
      <c r="F5" t="e" vm="37">
        <v>#VALUE!</v>
      </c>
      <c r="G5" s="4">
        <f>SUMIFS(VolumesTable[Volume],VolumesTable[Products],$A5,VolumesTable[Year],ProductRatesTable[[#This Row],[Year]])</f>
        <v>6877540</v>
      </c>
      <c r="H5" s="20">
        <v>2.6432999989797628E-2</v>
      </c>
      <c r="I5" s="74">
        <v>2298.9148891223108</v>
      </c>
      <c r="J5" s="18">
        <f>ProductRatesTable[[#This Row],[Retail Price]]*ProductRatesTable[[#This Row],[Volume]]</f>
        <v>673311.16599999997</v>
      </c>
      <c r="K5" s="7">
        <v>0.6</v>
      </c>
      <c r="M5" s="65"/>
      <c r="AC5" s="45"/>
    </row>
    <row r="6" spans="1:29" ht="22.95" customHeight="1" x14ac:dyDescent="0.3">
      <c r="A6" t="s">
        <v>7</v>
      </c>
      <c r="B6" s="3" t="s">
        <v>6</v>
      </c>
      <c r="C6" t="s">
        <v>12</v>
      </c>
      <c r="D6">
        <v>2023</v>
      </c>
      <c r="E6" s="20">
        <v>0.26</v>
      </c>
      <c r="F6" t="e" vm="38">
        <v>#VALUE!</v>
      </c>
      <c r="G6" s="4">
        <f>SUMIFS(VolumesTable[Volume],VolumesTable[Products],$A6,VolumesTable[Year],ProductRatesTable[[#This Row],[Year]])</f>
        <v>6741278</v>
      </c>
      <c r="H6" s="20">
        <v>7.0199999972904853E-2</v>
      </c>
      <c r="I6" s="74">
        <v>865.62987555797793</v>
      </c>
      <c r="J6" s="18">
        <f>ProductRatesTable[[#This Row],[Retail Price]]*ProductRatesTable[[#This Row],[Volume]]</f>
        <v>1752732.28</v>
      </c>
      <c r="K6" s="7">
        <v>0.6</v>
      </c>
      <c r="M6" s="65"/>
      <c r="AC6" s="45"/>
    </row>
    <row r="7" spans="1:29" ht="22.95" customHeight="1" x14ac:dyDescent="0.3">
      <c r="A7" t="s">
        <v>8</v>
      </c>
      <c r="B7" s="3" t="s">
        <v>6</v>
      </c>
      <c r="C7" t="s">
        <v>12</v>
      </c>
      <c r="D7">
        <v>2023</v>
      </c>
      <c r="E7" s="20">
        <v>72</v>
      </c>
      <c r="F7" t="e" vm="28">
        <v>#VALUE!</v>
      </c>
      <c r="G7" s="4">
        <f>SUMIFS(VolumesTable[Volume],VolumesTable[Products],$A7,VolumesTable[Year],ProductRatesTable[[#This Row],[Year]])</f>
        <v>175189</v>
      </c>
      <c r="H7" s="20">
        <v>16.199999993747273</v>
      </c>
      <c r="I7" s="74">
        <v>3.7510627940845711</v>
      </c>
      <c r="J7" s="18">
        <f>ProductRatesTable[[#This Row],[Retail Price]]*ProductRatesTable[[#This Row],[Volume]]</f>
        <v>12613608</v>
      </c>
      <c r="K7" s="7">
        <v>0.5</v>
      </c>
      <c r="M7" s="65"/>
      <c r="AC7" s="45"/>
    </row>
    <row r="8" spans="1:29" ht="22.95" customHeight="1" x14ac:dyDescent="0.3">
      <c r="A8" t="s">
        <v>10</v>
      </c>
      <c r="B8" s="3" t="s">
        <v>6</v>
      </c>
      <c r="C8" t="s">
        <v>12</v>
      </c>
      <c r="D8">
        <v>2023</v>
      </c>
      <c r="E8" s="20">
        <v>0.06</v>
      </c>
      <c r="F8" t="e" vm="39">
        <v>#VALUE!</v>
      </c>
      <c r="G8" s="4">
        <f>SUMIFS(VolumesTable[Volume],VolumesTable[Products],$A8,VolumesTable[Year],ProductRatesTable[[#This Row],[Year]])</f>
        <v>6739945</v>
      </c>
      <c r="H8" s="20">
        <v>1.6199999993747272E-2</v>
      </c>
      <c r="I8" s="74">
        <v>3751.0627940845711</v>
      </c>
      <c r="J8" s="18">
        <f>ProductRatesTable[[#This Row],[Retail Price]]*ProductRatesTable[[#This Row],[Volume]]</f>
        <v>404396.7</v>
      </c>
      <c r="K8" s="7">
        <v>0.6</v>
      </c>
      <c r="M8" s="65"/>
      <c r="AC8" s="45"/>
    </row>
    <row r="9" spans="1:29" ht="22.95" customHeight="1" x14ac:dyDescent="0.3">
      <c r="A9" t="s">
        <v>16</v>
      </c>
      <c r="B9" s="3" t="s">
        <v>73</v>
      </c>
      <c r="C9" t="s">
        <v>11</v>
      </c>
      <c r="D9">
        <v>2023</v>
      </c>
      <c r="E9" s="20">
        <v>8.3000000000000007</v>
      </c>
      <c r="F9" t="e" vm="40">
        <v>#VALUE!</v>
      </c>
      <c r="G9" s="4">
        <f>SUMIFS(VolumesTable[Volume],VolumesTable[Products],$A9,VolumesTable[Year],ProductRatesTable[[#This Row],[Year]])</f>
        <v>293858</v>
      </c>
      <c r="H9" s="20">
        <v>1.8674999992791994</v>
      </c>
      <c r="I9" s="74">
        <v>31.214898390847569</v>
      </c>
      <c r="J9" s="18">
        <f>ProductRatesTable[[#This Row],[Retail Price]]*ProductRatesTable[[#This Row],[Volume]]</f>
        <v>2439021.4000000004</v>
      </c>
      <c r="K9" s="7">
        <v>0.5</v>
      </c>
      <c r="M9" s="65"/>
      <c r="AC9" s="45"/>
    </row>
    <row r="10" spans="1:29" ht="22.95" customHeight="1" x14ac:dyDescent="0.3">
      <c r="A10" t="s">
        <v>15</v>
      </c>
      <c r="B10" s="3" t="s">
        <v>73</v>
      </c>
      <c r="C10" t="s">
        <v>11</v>
      </c>
      <c r="D10">
        <v>2023</v>
      </c>
      <c r="E10" s="20">
        <v>9</v>
      </c>
      <c r="F10" t="e" vm="31">
        <v>#VALUE!</v>
      </c>
      <c r="G10" s="4">
        <f>SUMIFS(VolumesTable[Volume],VolumesTable[Products],$A10,VolumesTable[Year],ProductRatesTable[[#This Row],[Year]])</f>
        <v>421561</v>
      </c>
      <c r="H10" s="20">
        <v>2.0249999992184087</v>
      </c>
      <c r="I10" s="74">
        <v>28.787072960448324</v>
      </c>
      <c r="J10" s="18">
        <f>ProductRatesTable[[#This Row],[Retail Price]]*ProductRatesTable[[#This Row],[Volume]]</f>
        <v>3794049</v>
      </c>
      <c r="K10" s="7">
        <v>0.5</v>
      </c>
      <c r="M10" s="65"/>
      <c r="AC10" s="45"/>
    </row>
    <row r="11" spans="1:29" ht="22.95" customHeight="1" x14ac:dyDescent="0.3">
      <c r="A11" t="s">
        <v>13</v>
      </c>
      <c r="B11" s="3" t="s">
        <v>73</v>
      </c>
      <c r="C11" t="s">
        <v>11</v>
      </c>
      <c r="D11">
        <v>2023</v>
      </c>
      <c r="E11" s="20">
        <v>10.5</v>
      </c>
      <c r="F11" t="e" vm="32">
        <v>#VALUE!</v>
      </c>
      <c r="G11" s="4">
        <f>SUMIFS(VolumesTable[Volume],VolumesTable[Products],$A11,VolumesTable[Year],ProductRatesTable[[#This Row],[Year]])</f>
        <v>239840</v>
      </c>
      <c r="H11" s="20">
        <v>2.3624999990881435</v>
      </c>
      <c r="I11" s="74">
        <v>24.674633966098561</v>
      </c>
      <c r="J11" s="18">
        <f>ProductRatesTable[[#This Row],[Retail Price]]*ProductRatesTable[[#This Row],[Volume]]</f>
        <v>2518320</v>
      </c>
      <c r="K11" s="7">
        <v>0.5</v>
      </c>
      <c r="M11" s="65"/>
      <c r="AC11" s="45"/>
    </row>
    <row r="12" spans="1:29" ht="22.95" customHeight="1" x14ac:dyDescent="0.3">
      <c r="A12" t="s">
        <v>14</v>
      </c>
      <c r="B12" s="3" t="s">
        <v>73</v>
      </c>
      <c r="C12" t="s">
        <v>11</v>
      </c>
      <c r="D12">
        <v>2023</v>
      </c>
      <c r="E12" s="20">
        <v>12</v>
      </c>
      <c r="F12" t="e" vm="41">
        <v>#VALUE!</v>
      </c>
      <c r="G12" s="4">
        <f>SUMIFS(VolumesTable[Volume],VolumesTable[Products],$A12,VolumesTable[Year],ProductRatesTable[[#This Row],[Year]])</f>
        <v>196717</v>
      </c>
      <c r="H12" s="20">
        <v>2.6999999989578787</v>
      </c>
      <c r="I12" s="74">
        <v>21.590304720336242</v>
      </c>
      <c r="J12" s="18">
        <f>ProductRatesTable[[#This Row],[Retail Price]]*ProductRatesTable[[#This Row],[Volume]]</f>
        <v>2360604</v>
      </c>
      <c r="K12" s="7">
        <v>0.5</v>
      </c>
      <c r="M12" s="65"/>
      <c r="AC12" s="45"/>
    </row>
    <row r="13" spans="1:29" ht="22.95" customHeight="1" x14ac:dyDescent="0.3">
      <c r="A13" t="s">
        <v>17</v>
      </c>
      <c r="B13" s="3" t="s">
        <v>21</v>
      </c>
      <c r="C13" t="s">
        <v>12</v>
      </c>
      <c r="D13">
        <v>2023</v>
      </c>
      <c r="E13" s="20">
        <v>22</v>
      </c>
      <c r="F13" t="e" vm="42">
        <v>#VALUE!</v>
      </c>
      <c r="G13" s="4">
        <f>SUMIFS(VolumesTable[Volume],VolumesTable[Products],$A13,VolumesTable[Year],ProductRatesTable[[#This Row],[Year]])</f>
        <v>243190</v>
      </c>
      <c r="H13" s="20">
        <v>4.9499999980894449</v>
      </c>
      <c r="I13" s="74">
        <v>12.316266715600735</v>
      </c>
      <c r="J13" s="18">
        <f>ProductRatesTable[[#This Row],[Retail Price]]*ProductRatesTable[[#This Row],[Volume]]</f>
        <v>5350180</v>
      </c>
      <c r="K13" s="7">
        <v>0.5</v>
      </c>
      <c r="M13" s="65"/>
      <c r="AC13" s="45"/>
    </row>
    <row r="14" spans="1:29" ht="22.95" customHeight="1" x14ac:dyDescent="0.3">
      <c r="A14" t="s">
        <v>19</v>
      </c>
      <c r="B14" s="3" t="s">
        <v>21</v>
      </c>
      <c r="C14" t="s">
        <v>12</v>
      </c>
      <c r="D14">
        <v>2023</v>
      </c>
      <c r="E14" s="20">
        <v>45</v>
      </c>
      <c r="F14" t="e" vm="35">
        <v>#VALUE!</v>
      </c>
      <c r="G14" s="4">
        <f>SUMIFS(VolumesTable[Volume],VolumesTable[Products],$A14,VolumesTable[Year],ProductRatesTable[[#This Row],[Year]])</f>
        <v>225629</v>
      </c>
      <c r="H14" s="20">
        <v>10.124999996092045</v>
      </c>
      <c r="I14" s="74">
        <v>6.021285949849247</v>
      </c>
      <c r="J14" s="18">
        <f>ProductRatesTable[[#This Row],[Retail Price]]*ProductRatesTable[[#This Row],[Volume]]</f>
        <v>10153305</v>
      </c>
      <c r="K14" s="7">
        <v>0.5</v>
      </c>
      <c r="M14" s="65"/>
      <c r="AC14" s="45"/>
    </row>
    <row r="15" spans="1:29" ht="22.95" customHeight="1" x14ac:dyDescent="0.3">
      <c r="A15" t="s">
        <v>18</v>
      </c>
      <c r="B15" s="3" t="s">
        <v>21</v>
      </c>
      <c r="C15" t="s">
        <v>12</v>
      </c>
      <c r="D15">
        <v>2023</v>
      </c>
      <c r="E15" s="20">
        <v>115</v>
      </c>
      <c r="F15" t="e" vm="36">
        <v>#VALUE!</v>
      </c>
      <c r="G15" s="4">
        <f>SUMIFS(VolumesTable[Volume],VolumesTable[Products],$A15,VolumesTable[Year],ProductRatesTable[[#This Row],[Year]])</f>
        <v>188052</v>
      </c>
      <c r="H15" s="20">
        <v>25.874999990013006</v>
      </c>
      <c r="I15" s="74">
        <v>2.3561553716801402</v>
      </c>
      <c r="J15" s="18">
        <f>ProductRatesTable[[#This Row],[Retail Price]]*ProductRatesTable[[#This Row],[Volume]]</f>
        <v>21625980</v>
      </c>
      <c r="K15" s="7">
        <v>0.5</v>
      </c>
      <c r="M15" s="65"/>
      <c r="AC15" s="45"/>
    </row>
    <row r="16" spans="1:29" ht="22.95" customHeight="1" x14ac:dyDescent="0.3">
      <c r="A16" t="s">
        <v>9</v>
      </c>
      <c r="B16" s="3" t="s">
        <v>6</v>
      </c>
      <c r="C16" t="s">
        <v>12</v>
      </c>
      <c r="D16">
        <v>2022</v>
      </c>
      <c r="E16" s="20">
        <v>9.5941999999999986E-2</v>
      </c>
      <c r="F16" t="e" vm="43">
        <v>#VALUE!</v>
      </c>
      <c r="G16" s="4">
        <f>SUMIFS(VolumesTable[Volume],VolumesTable[Products],$A16,VolumesTable[Year],ProductRatesTable[[#This Row],[Year]])</f>
        <v>6854314</v>
      </c>
      <c r="H16" s="20">
        <v>2.6565164989746613E-2</v>
      </c>
      <c r="I16" s="74">
        <v>2149.499414073754</v>
      </c>
      <c r="J16" s="18">
        <f>ProductRatesTable[[#This Row],[Retail Price]]*ProductRatesTable[[#This Row],[Volume]]</f>
        <v>657616.59378799994</v>
      </c>
      <c r="K16" s="7">
        <v>0.6</v>
      </c>
      <c r="M16" s="65"/>
    </row>
    <row r="17" spans="1:13" ht="22.95" customHeight="1" x14ac:dyDescent="0.3">
      <c r="A17" t="s">
        <v>7</v>
      </c>
      <c r="B17" s="3" t="s">
        <v>6</v>
      </c>
      <c r="C17" t="s">
        <v>12</v>
      </c>
      <c r="D17">
        <v>2022</v>
      </c>
      <c r="E17" s="20">
        <v>0.25480000000000003</v>
      </c>
      <c r="F17" t="e" vm="38">
        <v>#VALUE!</v>
      </c>
      <c r="G17" s="4">
        <f>SUMIFS(VolumesTable[Volume],VolumesTable[Products],$A17,VolumesTable[Year],ProductRatesTable[[#This Row],[Year]])</f>
        <v>7061738</v>
      </c>
      <c r="H17" s="20">
        <v>7.0550999972769368E-2</v>
      </c>
      <c r="I17" s="74">
        <v>809.36920245315594</v>
      </c>
      <c r="J17" s="18">
        <f>ProductRatesTable[[#This Row],[Retail Price]]*ProductRatesTable[[#This Row],[Volume]]</f>
        <v>1799330.8424000002</v>
      </c>
      <c r="K17" s="7">
        <v>0.6</v>
      </c>
      <c r="M17" s="65"/>
    </row>
    <row r="18" spans="1:13" ht="22.95" customHeight="1" x14ac:dyDescent="0.3">
      <c r="A18" t="s">
        <v>8</v>
      </c>
      <c r="B18" s="3" t="s">
        <v>6</v>
      </c>
      <c r="C18" t="s">
        <v>12</v>
      </c>
      <c r="D18">
        <v>2022</v>
      </c>
      <c r="E18" s="20">
        <v>70.56</v>
      </c>
      <c r="F18" t="e" vm="28">
        <v>#VALUE!</v>
      </c>
      <c r="G18" s="4">
        <f>SUMIFS(VolumesTable[Volume],VolumesTable[Products],$A18,VolumesTable[Year],ProductRatesTable[[#This Row],[Year]])</f>
        <v>170197</v>
      </c>
      <c r="H18" s="20">
        <v>16.280999993716009</v>
      </c>
      <c r="I18" s="74">
        <v>3.507266543963675</v>
      </c>
      <c r="J18" s="18">
        <f>ProductRatesTable[[#This Row],[Retail Price]]*ProductRatesTable[[#This Row],[Volume]]</f>
        <v>12009100.32</v>
      </c>
      <c r="K18" s="7">
        <v>0.5</v>
      </c>
      <c r="M18" s="65"/>
    </row>
    <row r="19" spans="1:13" ht="22.95" customHeight="1" x14ac:dyDescent="0.3">
      <c r="A19" t="s">
        <v>10</v>
      </c>
      <c r="B19" s="3" t="s">
        <v>6</v>
      </c>
      <c r="C19" t="s">
        <v>12</v>
      </c>
      <c r="D19">
        <v>2022</v>
      </c>
      <c r="E19" s="20">
        <v>5.8799999999999998E-2</v>
      </c>
      <c r="F19" t="e" vm="39">
        <v>#VALUE!</v>
      </c>
      <c r="G19" s="4">
        <f>SUMIFS(VolumesTable[Volume],VolumesTable[Products],$A19,VolumesTable[Year],ProductRatesTable[[#This Row],[Year]])</f>
        <v>6871612</v>
      </c>
      <c r="H19" s="20">
        <v>1.6280999993716006E-2</v>
      </c>
      <c r="I19" s="74">
        <v>3507.2665439636753</v>
      </c>
      <c r="J19" s="18">
        <f>ProductRatesTable[[#This Row],[Retail Price]]*ProductRatesTable[[#This Row],[Volume]]</f>
        <v>404050.7856</v>
      </c>
      <c r="K19" s="7">
        <v>0.6</v>
      </c>
      <c r="M19" s="65"/>
    </row>
    <row r="20" spans="1:13" ht="22.95" customHeight="1" x14ac:dyDescent="0.3">
      <c r="A20" t="s">
        <v>16</v>
      </c>
      <c r="B20" s="3" t="s">
        <v>73</v>
      </c>
      <c r="C20" t="s">
        <v>11</v>
      </c>
      <c r="D20">
        <v>2022</v>
      </c>
      <c r="E20" s="20">
        <v>8.1340000000000003</v>
      </c>
      <c r="F20" t="e" vm="40">
        <v>#VALUE!</v>
      </c>
      <c r="G20" s="4">
        <f>SUMIFS(VolumesTable[Volume],VolumesTable[Products],$A20,VolumesTable[Year],ProductRatesTable[[#This Row],[Year]])</f>
        <v>291878</v>
      </c>
      <c r="H20" s="20">
        <v>1.8488249992864074</v>
      </c>
      <c r="I20" s="74">
        <v>30.878224160377769</v>
      </c>
      <c r="J20" s="18">
        <f>ProductRatesTable[[#This Row],[Retail Price]]*ProductRatesTable[[#This Row],[Volume]]</f>
        <v>2374135.6520000002</v>
      </c>
      <c r="K20" s="7">
        <v>0.5</v>
      </c>
      <c r="M20" s="65"/>
    </row>
    <row r="21" spans="1:13" ht="22.95" customHeight="1" x14ac:dyDescent="0.3">
      <c r="A21" t="s">
        <v>15</v>
      </c>
      <c r="B21" s="3" t="s">
        <v>73</v>
      </c>
      <c r="C21" t="s">
        <v>11</v>
      </c>
      <c r="D21">
        <v>2022</v>
      </c>
      <c r="E21" s="20">
        <v>8.82</v>
      </c>
      <c r="F21" t="e" vm="31">
        <v>#VALUE!</v>
      </c>
      <c r="G21" s="4">
        <f>SUMIFS(VolumesTable[Volume],VolumesTable[Products],$A21,VolumesTable[Year],ProductRatesTable[[#This Row],[Year]])</f>
        <v>433176</v>
      </c>
      <c r="H21" s="20">
        <v>2.0047499992262248</v>
      </c>
      <c r="I21" s="74">
        <v>28.476584503459506</v>
      </c>
      <c r="J21" s="18">
        <f>ProductRatesTable[[#This Row],[Retail Price]]*ProductRatesTable[[#This Row],[Volume]]</f>
        <v>3820612.3200000003</v>
      </c>
      <c r="K21" s="7">
        <v>0.5</v>
      </c>
      <c r="M21" s="65"/>
    </row>
    <row r="22" spans="1:13" ht="22.95" customHeight="1" x14ac:dyDescent="0.3">
      <c r="A22" t="s">
        <v>13</v>
      </c>
      <c r="B22" s="3" t="s">
        <v>73</v>
      </c>
      <c r="C22" t="s">
        <v>11</v>
      </c>
      <c r="D22">
        <v>2022</v>
      </c>
      <c r="E22" s="20">
        <v>10.29</v>
      </c>
      <c r="F22" t="e" vm="32">
        <v>#VALUE!</v>
      </c>
      <c r="G22" s="4">
        <f>SUMIFS(VolumesTable[Volume],VolumesTable[Products],$A22,VolumesTable[Year],ProductRatesTable[[#This Row],[Year]])</f>
        <v>238947</v>
      </c>
      <c r="H22" s="20">
        <v>2.3388749990972619</v>
      </c>
      <c r="I22" s="74">
        <v>24.408501002965291</v>
      </c>
      <c r="J22" s="18">
        <f>ProductRatesTable[[#This Row],[Retail Price]]*ProductRatesTable[[#This Row],[Volume]]</f>
        <v>2458764.63</v>
      </c>
      <c r="K22" s="7">
        <v>0.5</v>
      </c>
      <c r="M22" s="65"/>
    </row>
    <row r="23" spans="1:13" ht="22.95" customHeight="1" x14ac:dyDescent="0.3">
      <c r="A23" t="s">
        <v>14</v>
      </c>
      <c r="B23" s="3" t="s">
        <v>73</v>
      </c>
      <c r="C23" t="s">
        <v>11</v>
      </c>
      <c r="D23">
        <v>2022</v>
      </c>
      <c r="E23" s="20">
        <v>11.76</v>
      </c>
      <c r="F23" t="e" vm="41">
        <v>#VALUE!</v>
      </c>
      <c r="G23" s="4">
        <f>SUMIFS(VolumesTable[Volume],VolumesTable[Products],$A23,VolumesTable[Year],ProductRatesTable[[#This Row],[Year]])</f>
        <v>197050</v>
      </c>
      <c r="H23" s="20">
        <v>2.6729999989683</v>
      </c>
      <c r="I23" s="74">
        <v>21.357438377594633</v>
      </c>
      <c r="J23" s="18">
        <f>ProductRatesTable[[#This Row],[Retail Price]]*ProductRatesTable[[#This Row],[Volume]]</f>
        <v>2317308</v>
      </c>
      <c r="K23" s="7">
        <v>0.5</v>
      </c>
      <c r="M23" s="65"/>
    </row>
    <row r="24" spans="1:13" ht="22.95" customHeight="1" x14ac:dyDescent="0.3">
      <c r="A24" t="s">
        <v>17</v>
      </c>
      <c r="B24" s="3" t="s">
        <v>21</v>
      </c>
      <c r="C24" t="s">
        <v>12</v>
      </c>
      <c r="D24">
        <v>2022</v>
      </c>
      <c r="E24" s="20">
        <v>21.56</v>
      </c>
      <c r="F24" t="e" vm="42">
        <v>#VALUE!</v>
      </c>
      <c r="G24" s="4">
        <f>SUMIFS(VolumesTable[Volume],VolumesTable[Products],$A24,VolumesTable[Year],ProductRatesTable[[#This Row],[Year]])</f>
        <v>242370</v>
      </c>
      <c r="H24" s="20">
        <v>4.9004999981085504</v>
      </c>
      <c r="I24" s="74">
        <v>11.610550002533703</v>
      </c>
      <c r="J24" s="18">
        <f>ProductRatesTable[[#This Row],[Retail Price]]*ProductRatesTable[[#This Row],[Volume]]</f>
        <v>5225497.1999999993</v>
      </c>
      <c r="K24" s="7">
        <v>0.5</v>
      </c>
      <c r="M24" s="65"/>
    </row>
    <row r="25" spans="1:13" ht="22.95" customHeight="1" x14ac:dyDescent="0.3">
      <c r="A25" t="s">
        <v>19</v>
      </c>
      <c r="B25" s="3" t="s">
        <v>21</v>
      </c>
      <c r="C25" t="s">
        <v>12</v>
      </c>
      <c r="D25">
        <v>2022</v>
      </c>
      <c r="E25" s="20">
        <v>44.1</v>
      </c>
      <c r="F25" t="e" vm="35">
        <v>#VALUE!</v>
      </c>
      <c r="G25" s="4">
        <f>SUMIFS(VolumesTable[Volume],VolumesTable[Products],$A25,VolumesTable[Year],ProductRatesTable[[#This Row],[Year]])</f>
        <v>224109</v>
      </c>
      <c r="H25" s="20">
        <v>10.175624996072504</v>
      </c>
      <c r="I25" s="74">
        <v>5.6762688901275862</v>
      </c>
      <c r="J25" s="18">
        <f>ProductRatesTable[[#This Row],[Retail Price]]*ProductRatesTable[[#This Row],[Volume]]</f>
        <v>9883206.9000000004</v>
      </c>
      <c r="K25" s="7">
        <v>0.5</v>
      </c>
      <c r="M25" s="65"/>
    </row>
    <row r="26" spans="1:13" ht="22.95" customHeight="1" x14ac:dyDescent="0.3">
      <c r="A26" t="s">
        <v>18</v>
      </c>
      <c r="B26" s="3" t="s">
        <v>21</v>
      </c>
      <c r="C26" t="s">
        <v>12</v>
      </c>
      <c r="D26">
        <v>2022</v>
      </c>
      <c r="E26" s="20">
        <v>112.7</v>
      </c>
      <c r="F26" t="e" vm="36">
        <v>#VALUE!</v>
      </c>
      <c r="G26" s="4">
        <f>SUMIFS(VolumesTable[Volume],VolumesTable[Products],$A26,VolumesTable[Year],ProductRatesTable[[#This Row],[Year]])</f>
        <v>184718</v>
      </c>
      <c r="H26" s="20">
        <v>26.004374989963068</v>
      </c>
      <c r="I26" s="74">
        <v>2.2211486961368814</v>
      </c>
      <c r="J26" s="18">
        <f>ProductRatesTable[[#This Row],[Retail Price]]*ProductRatesTable[[#This Row],[Volume]]</f>
        <v>20817718.600000001</v>
      </c>
      <c r="K26" s="7">
        <v>0.5</v>
      </c>
      <c r="M26" s="65"/>
    </row>
    <row r="27" spans="1:13" ht="22.95" customHeight="1" x14ac:dyDescent="0.3">
      <c r="A27" t="s">
        <v>9</v>
      </c>
      <c r="B27" s="3" t="s">
        <v>6</v>
      </c>
      <c r="C27" t="s">
        <v>12</v>
      </c>
      <c r="D27">
        <v>2021</v>
      </c>
      <c r="E27" s="20">
        <v>9.4023159999999981E-2</v>
      </c>
      <c r="F27" t="e" vm="43">
        <v>#VALUE!</v>
      </c>
      <c r="G27" s="4">
        <f>SUMIFS(VolumesTable[Volume],VolumesTable[Products],$A27,VolumesTable[Year],ProductRatesTable[[#This Row],[Year]])</f>
        <v>6912755</v>
      </c>
      <c r="H27" s="20">
        <v>2.6299513339849145E-2</v>
      </c>
      <c r="I27" s="74">
        <v>2201.3315423800336</v>
      </c>
      <c r="J27" s="18">
        <f>ProductRatesTable[[#This Row],[Retail Price]]*ProductRatesTable[[#This Row],[Volume]]</f>
        <v>649959.06940579985</v>
      </c>
      <c r="K27" s="7">
        <v>0.6</v>
      </c>
      <c r="M27" s="65"/>
    </row>
    <row r="28" spans="1:13" ht="22.95" customHeight="1" x14ac:dyDescent="0.3">
      <c r="A28" t="s">
        <v>7</v>
      </c>
      <c r="B28" s="3" t="s">
        <v>6</v>
      </c>
      <c r="C28" t="s">
        <v>12</v>
      </c>
      <c r="D28">
        <v>2021</v>
      </c>
      <c r="E28" s="20">
        <v>0.24970400000000001</v>
      </c>
      <c r="F28" t="e" vm="38">
        <v>#VALUE!</v>
      </c>
      <c r="G28" s="4">
        <f>SUMIFS(VolumesTable[Volume],VolumesTable[Products],$A28,VolumesTable[Year],ProductRatesTable[[#This Row],[Year]])</f>
        <v>7023995</v>
      </c>
      <c r="H28" s="20">
        <v>6.9845489973041672E-2</v>
      </c>
      <c r="I28" s="74">
        <v>828.88599230386649</v>
      </c>
      <c r="J28" s="18">
        <f>ProductRatesTable[[#This Row],[Retail Price]]*ProductRatesTable[[#This Row],[Volume]]</f>
        <v>1753919.64748</v>
      </c>
      <c r="K28" s="7">
        <v>0.6</v>
      </c>
      <c r="M28" s="65"/>
    </row>
    <row r="29" spans="1:13" ht="22.95" customHeight="1" x14ac:dyDescent="0.3">
      <c r="A29" t="s">
        <v>8</v>
      </c>
      <c r="B29" s="3" t="s">
        <v>6</v>
      </c>
      <c r="C29" t="s">
        <v>12</v>
      </c>
      <c r="D29">
        <v>2021</v>
      </c>
      <c r="E29" s="20">
        <v>69.148799999999994</v>
      </c>
      <c r="F29" t="e" vm="28">
        <v>#VALUE!</v>
      </c>
      <c r="G29" s="4">
        <f>SUMIFS(VolumesTable[Volume],VolumesTable[Products],$A29,VolumesTable[Year],ProductRatesTable[[#This Row],[Year]])</f>
        <v>167968</v>
      </c>
      <c r="H29" s="20">
        <v>16.118189993778849</v>
      </c>
      <c r="I29" s="74">
        <v>3.5918392999834219</v>
      </c>
      <c r="J29" s="18">
        <f>ProductRatesTable[[#This Row],[Retail Price]]*ProductRatesTable[[#This Row],[Volume]]</f>
        <v>11614785.6384</v>
      </c>
      <c r="K29" s="7">
        <v>0.5</v>
      </c>
      <c r="M29" s="65"/>
    </row>
    <row r="30" spans="1:13" ht="22.95" customHeight="1" x14ac:dyDescent="0.3">
      <c r="A30" t="s">
        <v>10</v>
      </c>
      <c r="B30" s="3" t="s">
        <v>6</v>
      </c>
      <c r="C30" t="s">
        <v>12</v>
      </c>
      <c r="D30">
        <v>2021</v>
      </c>
      <c r="E30" s="20">
        <v>5.7623999999999995E-2</v>
      </c>
      <c r="F30" t="e" vm="39">
        <v>#VALUE!</v>
      </c>
      <c r="G30" s="4">
        <f>SUMIFS(VolumesTable[Volume],VolumesTable[Products],$A30,VolumesTable[Year],ProductRatesTable[[#This Row],[Year]])</f>
        <v>6975123</v>
      </c>
      <c r="H30" s="20">
        <v>1.6118189993778845E-2</v>
      </c>
      <c r="I30" s="74">
        <v>3591.8392999834218</v>
      </c>
      <c r="J30" s="18">
        <f>ProductRatesTable[[#This Row],[Retail Price]]*ProductRatesTable[[#This Row],[Volume]]</f>
        <v>401934.48775199999</v>
      </c>
      <c r="K30" s="7">
        <v>0.6</v>
      </c>
      <c r="M30" s="65"/>
    </row>
    <row r="31" spans="1:13" ht="22.95" customHeight="1" x14ac:dyDescent="0.3">
      <c r="A31" t="s">
        <v>16</v>
      </c>
      <c r="B31" s="3" t="s">
        <v>73</v>
      </c>
      <c r="C31" t="s">
        <v>11</v>
      </c>
      <c r="D31">
        <v>2021</v>
      </c>
      <c r="E31" s="20">
        <v>7.9713200000000004</v>
      </c>
      <c r="F31" t="e" vm="40">
        <v>#VALUE!</v>
      </c>
      <c r="G31" s="4">
        <f>SUMIFS(VolumesTable[Volume],VolumesTable[Products],$A31,VolumesTable[Year],ProductRatesTable[[#This Row],[Year]])</f>
        <v>285174</v>
      </c>
      <c r="H31" s="20">
        <v>1.8580691242828393</v>
      </c>
      <c r="I31" s="74">
        <v>32.297464955977752</v>
      </c>
      <c r="J31" s="18">
        <f>ProductRatesTable[[#This Row],[Retail Price]]*ProductRatesTable[[#This Row],[Volume]]</f>
        <v>2273213.2096800003</v>
      </c>
      <c r="K31" s="7">
        <v>0.5</v>
      </c>
      <c r="M31" s="65"/>
    </row>
    <row r="32" spans="1:13" ht="22.95" customHeight="1" x14ac:dyDescent="0.3">
      <c r="A32" t="s">
        <v>15</v>
      </c>
      <c r="B32" s="3" t="s">
        <v>73</v>
      </c>
      <c r="C32" t="s">
        <v>11</v>
      </c>
      <c r="D32">
        <v>2021</v>
      </c>
      <c r="E32" s="20">
        <v>8.6435999999999993</v>
      </c>
      <c r="F32" t="e" vm="31">
        <v>#VALUE!</v>
      </c>
      <c r="G32" s="4">
        <f>SUMIFS(VolumesTable[Volume],VolumesTable[Products],$A32,VolumesTable[Year],ProductRatesTable[[#This Row],[Year]])</f>
        <v>431744</v>
      </c>
      <c r="H32" s="20">
        <v>2.0147737492223556</v>
      </c>
      <c r="I32" s="74">
        <v>29.785439903846157</v>
      </c>
      <c r="J32" s="18">
        <f>ProductRatesTable[[#This Row],[Retail Price]]*ProductRatesTable[[#This Row],[Volume]]</f>
        <v>3731822.4383999999</v>
      </c>
      <c r="K32" s="7">
        <v>0.5</v>
      </c>
      <c r="M32" s="65"/>
    </row>
    <row r="33" spans="1:13" ht="22.95" customHeight="1" x14ac:dyDescent="0.3">
      <c r="A33" t="s">
        <v>13</v>
      </c>
      <c r="B33" s="3" t="s">
        <v>73</v>
      </c>
      <c r="C33" t="s">
        <v>11</v>
      </c>
      <c r="D33">
        <v>2021</v>
      </c>
      <c r="E33" s="20">
        <v>10.084199999999999</v>
      </c>
      <c r="F33" t="e" vm="32">
        <v>#VALUE!</v>
      </c>
      <c r="G33" s="4">
        <f>SUMIFS(VolumesTable[Volume],VolumesTable[Products],$A33,VolumesTable[Year],ProductRatesTable[[#This Row],[Year]])</f>
        <v>239917</v>
      </c>
      <c r="H33" s="20">
        <v>2.350569374092748</v>
      </c>
      <c r="I33" s="74">
        <v>25.530377060439569</v>
      </c>
      <c r="J33" s="18">
        <f>ProductRatesTable[[#This Row],[Retail Price]]*ProductRatesTable[[#This Row],[Volume]]</f>
        <v>2419371.0113999997</v>
      </c>
      <c r="K33" s="7">
        <v>0.5</v>
      </c>
      <c r="M33" s="65"/>
    </row>
    <row r="34" spans="1:13" ht="22.95" customHeight="1" x14ac:dyDescent="0.3">
      <c r="A34" t="s">
        <v>14</v>
      </c>
      <c r="B34" s="3" t="s">
        <v>73</v>
      </c>
      <c r="C34" t="s">
        <v>11</v>
      </c>
      <c r="D34">
        <v>2021</v>
      </c>
      <c r="E34" s="20">
        <v>11.524799999999999</v>
      </c>
      <c r="F34" t="e" vm="41">
        <v>#VALUE!</v>
      </c>
      <c r="G34" s="4">
        <f>SUMIFS(VolumesTable[Volume],VolumesTable[Products],$A34,VolumesTable[Year],ProductRatesTable[[#This Row],[Year]])</f>
        <v>198325</v>
      </c>
      <c r="H34" s="20">
        <v>2.6863649989631413</v>
      </c>
      <c r="I34" s="74">
        <v>22.339079927884622</v>
      </c>
      <c r="J34" s="18">
        <f>ProductRatesTable[[#This Row],[Retail Price]]*ProductRatesTable[[#This Row],[Volume]]</f>
        <v>2285655.96</v>
      </c>
      <c r="K34" s="7">
        <v>0.5</v>
      </c>
      <c r="M34" s="65"/>
    </row>
    <row r="35" spans="1:13" ht="22.95" customHeight="1" x14ac:dyDescent="0.3">
      <c r="A35" t="s">
        <v>17</v>
      </c>
      <c r="B35" s="3" t="s">
        <v>21</v>
      </c>
      <c r="C35" t="s">
        <v>12</v>
      </c>
      <c r="D35">
        <v>2021</v>
      </c>
      <c r="E35" s="20">
        <v>21.128799999999998</v>
      </c>
      <c r="F35" t="e" vm="42">
        <v>#VALUE!</v>
      </c>
      <c r="G35" s="4">
        <f>SUMIFS(VolumesTable[Volume],VolumesTable[Products],$A35,VolumesTable[Year],ProductRatesTable[[#This Row],[Year]])</f>
        <v>242035</v>
      </c>
      <c r="H35" s="20">
        <v>4.8514949981274649</v>
      </c>
      <c r="I35" s="74">
        <v>11.778227516968332</v>
      </c>
      <c r="J35" s="18">
        <f>ProductRatesTable[[#This Row],[Retail Price]]*ProductRatesTable[[#This Row],[Volume]]</f>
        <v>5113909.108</v>
      </c>
      <c r="K35" s="7">
        <v>0.5</v>
      </c>
      <c r="M35" s="65"/>
    </row>
    <row r="36" spans="1:13" ht="22.95" customHeight="1" x14ac:dyDescent="0.3">
      <c r="A36" t="s">
        <v>19</v>
      </c>
      <c r="B36" s="3" t="s">
        <v>21</v>
      </c>
      <c r="C36" t="s">
        <v>12</v>
      </c>
      <c r="D36">
        <v>2021</v>
      </c>
      <c r="E36" s="20">
        <v>43.218000000000004</v>
      </c>
      <c r="F36" t="e" vm="35">
        <v>#VALUE!</v>
      </c>
      <c r="G36" s="4">
        <f>SUMIFS(VolumesTable[Volume],VolumesTable[Products],$A36,VolumesTable[Year],ProductRatesTable[[#This Row],[Year]])</f>
        <v>224094</v>
      </c>
      <c r="H36" s="20">
        <v>10.073868746111778</v>
      </c>
      <c r="I36" s="74">
        <v>5.7582445638511812</v>
      </c>
      <c r="J36" s="18">
        <f>ProductRatesTable[[#This Row],[Retail Price]]*ProductRatesTable[[#This Row],[Volume]]</f>
        <v>9684894.4920000006</v>
      </c>
      <c r="K36" s="7">
        <v>0.5</v>
      </c>
      <c r="M36" s="65"/>
    </row>
    <row r="37" spans="1:13" ht="22.95" customHeight="1" x14ac:dyDescent="0.3">
      <c r="A37" t="s">
        <v>18</v>
      </c>
      <c r="B37" s="3" t="s">
        <v>21</v>
      </c>
      <c r="C37" t="s">
        <v>12</v>
      </c>
      <c r="D37">
        <v>2021</v>
      </c>
      <c r="E37" s="20">
        <v>110.446</v>
      </c>
      <c r="F37" t="e" vm="36">
        <v>#VALUE!</v>
      </c>
      <c r="G37" s="4">
        <f>SUMIFS(VolumesTable[Volume],VolumesTable[Products],$A37,VolumesTable[Year],ProductRatesTable[[#This Row],[Year]])</f>
        <v>184705</v>
      </c>
      <c r="H37" s="20">
        <v>25.744331240063438</v>
      </c>
      <c r="I37" s="74">
        <v>2.2532261336808967</v>
      </c>
      <c r="J37" s="18">
        <f>ProductRatesTable[[#This Row],[Retail Price]]*ProductRatesTable[[#This Row],[Volume]]</f>
        <v>20399928.43</v>
      </c>
      <c r="K37" s="7">
        <v>0.5</v>
      </c>
      <c r="M37" s="65"/>
    </row>
    <row r="38" spans="1:13" ht="22.95" customHeight="1" x14ac:dyDescent="0.3">
      <c r="A38" t="s">
        <v>9</v>
      </c>
      <c r="B38" s="3" t="s">
        <v>6</v>
      </c>
      <c r="C38" t="s">
        <v>12</v>
      </c>
      <c r="D38">
        <v>2020</v>
      </c>
      <c r="E38" s="20">
        <v>9.2142696799999979E-2</v>
      </c>
      <c r="F38" t="e" vm="43">
        <v>#VALUE!</v>
      </c>
      <c r="G38" s="4">
        <f>SUMIFS(VolumesTable[Volume],VolumesTable[Products],$A38,VolumesTable[Year],ProductRatesTable[[#This Row],[Year]])</f>
        <v>6711868</v>
      </c>
      <c r="H38" s="20">
        <v>2.6036518206450653E-2</v>
      </c>
      <c r="I38" s="74">
        <v>2261.4356399850781</v>
      </c>
      <c r="J38" s="18">
        <f>ProductRatesTable[[#This Row],[Retail Price]]*ProductRatesTable[[#This Row],[Volume]]</f>
        <v>618449.61808562221</v>
      </c>
      <c r="K38" s="7">
        <v>0.6</v>
      </c>
      <c r="M38" s="65"/>
    </row>
    <row r="39" spans="1:13" ht="22.95" customHeight="1" x14ac:dyDescent="0.3">
      <c r="A39" t="s">
        <v>7</v>
      </c>
      <c r="B39" s="3" t="s">
        <v>6</v>
      </c>
      <c r="C39" t="s">
        <v>12</v>
      </c>
      <c r="D39">
        <v>2020</v>
      </c>
      <c r="E39" s="20">
        <v>0.24470992</v>
      </c>
      <c r="F39" t="e" vm="38">
        <v>#VALUE!</v>
      </c>
      <c r="G39" s="4">
        <f>SUMIFS(VolumesTable[Volume],VolumesTable[Products],$A39,VolumesTable[Year],ProductRatesTable[[#This Row],[Year]])</f>
        <v>6686802</v>
      </c>
      <c r="H39" s="20">
        <v>6.9147035073311255E-2</v>
      </c>
      <c r="I39" s="74">
        <v>851.51749674822736</v>
      </c>
      <c r="J39" s="18">
        <f>ProductRatesTable[[#This Row],[Retail Price]]*ProductRatesTable[[#This Row],[Volume]]</f>
        <v>1636326.7824758401</v>
      </c>
      <c r="K39" s="7">
        <v>0.6</v>
      </c>
      <c r="M39" s="65"/>
    </row>
    <row r="40" spans="1:13" ht="22.95" customHeight="1" x14ac:dyDescent="0.3">
      <c r="A40" t="s">
        <v>8</v>
      </c>
      <c r="B40" s="3" t="s">
        <v>6</v>
      </c>
      <c r="C40" t="s">
        <v>12</v>
      </c>
      <c r="D40">
        <v>2020</v>
      </c>
      <c r="E40" s="20">
        <v>67.765823999999995</v>
      </c>
      <c r="F40" t="e" vm="28">
        <v>#VALUE!</v>
      </c>
      <c r="G40" s="4">
        <f>SUMIFS(VolumesTable[Volume],VolumesTable[Products],$A40,VolumesTable[Year],ProductRatesTable[[#This Row],[Year]])</f>
        <v>166370</v>
      </c>
      <c r="H40" s="20">
        <v>15.957008093841059</v>
      </c>
      <c r="I40" s="74">
        <v>3.6899091525756527</v>
      </c>
      <c r="J40" s="18">
        <f>ProductRatesTable[[#This Row],[Retail Price]]*ProductRatesTable[[#This Row],[Volume]]</f>
        <v>11274200.13888</v>
      </c>
      <c r="K40" s="7">
        <v>0.5</v>
      </c>
      <c r="M40" s="65"/>
    </row>
    <row r="41" spans="1:13" ht="22.95" customHeight="1" x14ac:dyDescent="0.3">
      <c r="A41" t="s">
        <v>10</v>
      </c>
      <c r="B41" s="3" t="s">
        <v>6</v>
      </c>
      <c r="C41" t="s">
        <v>12</v>
      </c>
      <c r="D41">
        <v>2020</v>
      </c>
      <c r="E41" s="20">
        <v>5.647151999999999E-2</v>
      </c>
      <c r="F41" t="e" vm="39">
        <v>#VALUE!</v>
      </c>
      <c r="G41" s="4">
        <f>SUMIFS(VolumesTable[Volume],VolumesTable[Products],$A41,VolumesTable[Year],ProductRatesTable[[#This Row],[Year]])</f>
        <v>6683883</v>
      </c>
      <c r="H41" s="20">
        <v>1.5957008093841058E-2</v>
      </c>
      <c r="I41" s="74">
        <v>3689.909152575653</v>
      </c>
      <c r="J41" s="18">
        <f>ProductRatesTable[[#This Row],[Retail Price]]*ProductRatesTable[[#This Row],[Volume]]</f>
        <v>377449.03251215996</v>
      </c>
      <c r="K41" s="7">
        <v>0.6</v>
      </c>
      <c r="M41" s="65"/>
    </row>
    <row r="42" spans="1:13" ht="22.95" customHeight="1" x14ac:dyDescent="0.3">
      <c r="A42" t="s">
        <v>16</v>
      </c>
      <c r="B42" s="3" t="s">
        <v>73</v>
      </c>
      <c r="C42" t="s">
        <v>11</v>
      </c>
      <c r="D42">
        <v>2020</v>
      </c>
      <c r="E42" s="20">
        <v>7.8118936000000003</v>
      </c>
      <c r="F42" t="e" vm="40">
        <v>#VALUE!</v>
      </c>
      <c r="G42" s="4">
        <f>SUMIFS(VolumesTable[Volume],VolumesTable[Products],$A42,VolumesTable[Year],ProductRatesTable[[#This Row],[Year]])</f>
        <v>288200</v>
      </c>
      <c r="H42" s="20">
        <v>1.839488433040011</v>
      </c>
      <c r="I42" s="74">
        <v>31.556897104085852</v>
      </c>
      <c r="J42" s="18">
        <f>ProductRatesTable[[#This Row],[Retail Price]]*ProductRatesTable[[#This Row],[Volume]]</f>
        <v>2251387.7355200001</v>
      </c>
      <c r="K42" s="7">
        <v>0.5</v>
      </c>
      <c r="M42" s="65"/>
    </row>
    <row r="43" spans="1:13" ht="22.95" customHeight="1" x14ac:dyDescent="0.3">
      <c r="A43" t="s">
        <v>15</v>
      </c>
      <c r="B43" s="3" t="s">
        <v>73</v>
      </c>
      <c r="C43" t="s">
        <v>11</v>
      </c>
      <c r="D43">
        <v>2020</v>
      </c>
      <c r="E43" s="20">
        <v>8.4707279999999994</v>
      </c>
      <c r="F43" t="e" vm="31">
        <v>#VALUE!</v>
      </c>
      <c r="G43" s="4">
        <f>SUMIFS(VolumesTable[Volume],VolumesTable[Products],$A43,VolumesTable[Year],ProductRatesTable[[#This Row],[Year]])</f>
        <v>419200</v>
      </c>
      <c r="H43" s="20">
        <v>1.994626011730132</v>
      </c>
      <c r="I43" s="74">
        <v>29.10247177376807</v>
      </c>
      <c r="J43" s="18">
        <f>ProductRatesTable[[#This Row],[Retail Price]]*ProductRatesTable[[#This Row],[Volume]]</f>
        <v>3550929.1775999996</v>
      </c>
      <c r="K43" s="7">
        <v>0.5</v>
      </c>
      <c r="M43" s="65"/>
    </row>
    <row r="44" spans="1:13" ht="22.95" customHeight="1" x14ac:dyDescent="0.3">
      <c r="A44" t="s">
        <v>13</v>
      </c>
      <c r="B44" s="3" t="s">
        <v>73</v>
      </c>
      <c r="C44" t="s">
        <v>11</v>
      </c>
      <c r="D44">
        <v>2020</v>
      </c>
      <c r="E44" s="20">
        <v>9.882515999999999</v>
      </c>
      <c r="F44" t="e" vm="32">
        <v>#VALUE!</v>
      </c>
      <c r="G44" s="4">
        <f>SUMIFS(VolumesTable[Volume],VolumesTable[Products],$A44,VolumesTable[Year],ProductRatesTable[[#This Row],[Year]])</f>
        <v>234490</v>
      </c>
      <c r="H44" s="20">
        <v>2.3270636803518205</v>
      </c>
      <c r="I44" s="74">
        <v>24.944975806086919</v>
      </c>
      <c r="J44" s="18">
        <f>ProductRatesTable[[#This Row],[Retail Price]]*ProductRatesTable[[#This Row],[Volume]]</f>
        <v>2317351.1768399999</v>
      </c>
      <c r="K44" s="7">
        <v>0.5</v>
      </c>
      <c r="M44" s="65"/>
    </row>
    <row r="45" spans="1:13" ht="22.95" customHeight="1" x14ac:dyDescent="0.3">
      <c r="A45" t="s">
        <v>14</v>
      </c>
      <c r="B45" s="3" t="s">
        <v>73</v>
      </c>
      <c r="C45" t="s">
        <v>11</v>
      </c>
      <c r="D45">
        <v>2020</v>
      </c>
      <c r="E45" s="20">
        <v>11.294303999999999</v>
      </c>
      <c r="F45" t="e" vm="41">
        <v>#VALUE!</v>
      </c>
      <c r="G45" s="4">
        <f>SUMIFS(VolumesTable[Volume],VolumesTable[Products],$A45,VolumesTable[Year],ProductRatesTable[[#This Row],[Year]])</f>
        <v>200430</v>
      </c>
      <c r="H45" s="20">
        <v>2.6595013489735098</v>
      </c>
      <c r="I45" s="74">
        <v>21.826853830326051</v>
      </c>
      <c r="J45" s="18">
        <f>ProductRatesTable[[#This Row],[Retail Price]]*ProductRatesTable[[#This Row],[Volume]]</f>
        <v>2263717.3507199995</v>
      </c>
      <c r="K45" s="7">
        <v>0.5</v>
      </c>
      <c r="M45" s="65"/>
    </row>
    <row r="46" spans="1:13" ht="22.95" customHeight="1" x14ac:dyDescent="0.3">
      <c r="A46" t="s">
        <v>17</v>
      </c>
      <c r="B46" s="3" t="s">
        <v>21</v>
      </c>
      <c r="C46" t="s">
        <v>12</v>
      </c>
      <c r="D46">
        <v>2020</v>
      </c>
      <c r="E46" s="20">
        <v>20.706223999999999</v>
      </c>
      <c r="F46" t="e" vm="42">
        <v>#VALUE!</v>
      </c>
      <c r="G46" s="4">
        <f>SUMIFS(VolumesTable[Volume],VolumesTable[Products],$A46,VolumesTable[Year],ProductRatesTable[[#This Row],[Year]])</f>
        <v>239730</v>
      </c>
      <c r="H46" s="20">
        <v>4.80298004814619</v>
      </c>
      <c r="I46" s="74">
        <v>11.575386833315944</v>
      </c>
      <c r="J46" s="18">
        <f>ProductRatesTable[[#This Row],[Retail Price]]*ProductRatesTable[[#This Row],[Volume]]</f>
        <v>4963903.0795200001</v>
      </c>
      <c r="K46" s="7">
        <v>0.5</v>
      </c>
      <c r="M46" s="65"/>
    </row>
    <row r="47" spans="1:13" ht="22.95" customHeight="1" x14ac:dyDescent="0.3">
      <c r="A47" t="s">
        <v>19</v>
      </c>
      <c r="B47" s="3" t="s">
        <v>21</v>
      </c>
      <c r="C47" t="s">
        <v>12</v>
      </c>
      <c r="D47">
        <v>2020</v>
      </c>
      <c r="E47" s="20">
        <v>42.353640000000006</v>
      </c>
      <c r="F47" t="e" vm="35">
        <v>#VALUE!</v>
      </c>
      <c r="G47" s="4">
        <f>SUMIFS(VolumesTable[Volume],VolumesTable[Products],$A47,VolumesTable[Year],ProductRatesTable[[#This Row],[Year]])</f>
        <v>216150</v>
      </c>
      <c r="H47" s="20">
        <v>9.9731300586506606</v>
      </c>
      <c r="I47" s="74">
        <v>5.6590780073989011</v>
      </c>
      <c r="J47" s="18">
        <f>ProductRatesTable[[#This Row],[Retail Price]]*ProductRatesTable[[#This Row],[Volume]]</f>
        <v>9154739.2860000003</v>
      </c>
      <c r="K47" s="7">
        <v>0.5</v>
      </c>
      <c r="M47" s="65"/>
    </row>
    <row r="48" spans="1:13" ht="22.95" customHeight="1" x14ac:dyDescent="0.3">
      <c r="A48" t="s">
        <v>18</v>
      </c>
      <c r="B48" s="3" t="s">
        <v>21</v>
      </c>
      <c r="C48" t="s">
        <v>12</v>
      </c>
      <c r="D48">
        <v>2020</v>
      </c>
      <c r="E48" s="20">
        <v>108.23707999999999</v>
      </c>
      <c r="F48" t="e" vm="36">
        <v>#VALUE!</v>
      </c>
      <c r="G48" s="4">
        <f>SUMIFS(VolumesTable[Volume],VolumesTable[Products],$A48,VolumesTable[Year],ProductRatesTable[[#This Row],[Year]])</f>
        <v>178160</v>
      </c>
      <c r="H48" s="20">
        <v>25.486887927662803</v>
      </c>
      <c r="I48" s="74">
        <v>2.2144218289821791</v>
      </c>
      <c r="J48" s="18">
        <f>ProductRatesTable[[#This Row],[Retail Price]]*ProductRatesTable[[#This Row],[Volume]]</f>
        <v>19283518.172799997</v>
      </c>
      <c r="K48" s="7">
        <v>0.5</v>
      </c>
      <c r="M48" s="65"/>
    </row>
    <row r="49" spans="1:10" x14ac:dyDescent="0.3">
      <c r="A49" t="s">
        <v>78</v>
      </c>
      <c r="J49" s="19">
        <f>SUBTOTAL(109,ProductRatesTable[Retail Sales])</f>
        <v>243474214.43325949</v>
      </c>
    </row>
    <row r="50" spans="1:10" x14ac:dyDescent="0.3">
      <c r="B50" s="3"/>
      <c r="E50" s="20"/>
      <c r="G50" s="4"/>
      <c r="H50" s="20"/>
      <c r="I50" s="18"/>
      <c r="J50" s="7"/>
    </row>
    <row r="51" spans="1:10" x14ac:dyDescent="0.3">
      <c r="B51" s="3"/>
      <c r="E51" s="20"/>
      <c r="G51" s="4"/>
      <c r="H51" s="20"/>
      <c r="I51" s="18"/>
      <c r="J51" s="7"/>
    </row>
    <row r="56" spans="1:10" x14ac:dyDescent="0.3">
      <c r="G56">
        <f>SUMPRODUCT(E5:E48,G5:G48)</f>
        <v>243474214.43325949</v>
      </c>
    </row>
  </sheetData>
  <sheetProtection algorithmName="SHA-512" hashValue="ehhxIyo/lKO+4uUCg3aVgPApqbDJwsZ5QZ/Vizpmwx8oY8kk9btEdGDTUmxqzb6S8ScHaqHp3kRxYt7C5cEP+g==" saltValue="DKzeKA0uqmWleMdtdM2Ukg==" spinCount="100000" sheet="1" objects="1" scenarios="1"/>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6D21B-4124-43D3-926D-97E8DB14AA9A}">
  <sheetPr>
    <tabColor theme="3" tint="0.89999084444715716"/>
  </sheetPr>
  <dimension ref="A1:AW50"/>
  <sheetViews>
    <sheetView showGridLines="0" workbookViewId="0">
      <pane xSplit="4" ySplit="4" topLeftCell="E5" activePane="bottomRight" state="frozen"/>
      <selection pane="topRight" activeCell="E1" sqref="E1"/>
      <selection pane="bottomLeft" activeCell="A5" sqref="A5"/>
      <selection pane="bottomRight" activeCell="F2" sqref="F2"/>
    </sheetView>
  </sheetViews>
  <sheetFormatPr defaultRowHeight="14.4" x14ac:dyDescent="0.3"/>
  <cols>
    <col min="1" max="1" width="31.109375" bestFit="1" customWidth="1"/>
    <col min="2" max="2" width="15.88671875" customWidth="1"/>
    <col min="3" max="3" width="13.44140625" bestFit="1" customWidth="1"/>
    <col min="4" max="4" width="9.33203125" bestFit="1" customWidth="1"/>
    <col min="5" max="5" width="10.88671875" customWidth="1"/>
    <col min="6" max="6" width="12.6640625" bestFit="1" customWidth="1"/>
    <col min="7" max="7" width="12.88671875" bestFit="1" customWidth="1"/>
    <col min="8" max="8" width="15.6640625" bestFit="1" customWidth="1"/>
    <col min="9" max="9" width="15.109375" bestFit="1" customWidth="1"/>
    <col min="10" max="11" width="15.109375" customWidth="1"/>
    <col min="12" max="12" width="3.33203125" customWidth="1"/>
    <col min="13" max="13" width="12.33203125" bestFit="1" customWidth="1"/>
    <col min="14" max="14" width="11.33203125" bestFit="1" customWidth="1"/>
    <col min="15" max="15" width="10.33203125" customWidth="1"/>
    <col min="16" max="16" width="15.5546875" style="53" customWidth="1"/>
    <col min="17" max="17" width="1.88671875" customWidth="1"/>
    <col min="18" max="18" width="33.44140625" bestFit="1" customWidth="1"/>
    <col min="19" max="19" width="7.109375" style="52" customWidth="1"/>
    <col min="20" max="20" width="13.88671875" customWidth="1"/>
    <col min="21" max="21" width="13.44140625" customWidth="1"/>
    <col min="22" max="22" width="12.33203125" customWidth="1"/>
    <col min="23" max="23" width="13.6640625" customWidth="1"/>
    <col min="24" max="24" width="14.21875" customWidth="1"/>
    <col min="25" max="25" width="14" customWidth="1"/>
    <col min="26" max="26" width="11.88671875" customWidth="1"/>
    <col min="27" max="27" width="11.33203125" bestFit="1" customWidth="1"/>
    <col min="28" max="29" width="12.33203125" bestFit="1" customWidth="1"/>
    <col min="30" max="30" width="10.33203125" bestFit="1" customWidth="1"/>
    <col min="31" max="31" width="10" customWidth="1"/>
    <col min="32" max="32" width="1.6640625" customWidth="1"/>
    <col min="33" max="36" width="10.6640625" bestFit="1" customWidth="1"/>
    <col min="39" max="39" width="12.44140625" customWidth="1"/>
    <col min="40" max="41" width="10.44140625" customWidth="1"/>
    <col min="42" max="42" width="10.88671875" customWidth="1"/>
    <col min="43" max="43" width="12" customWidth="1"/>
    <col min="44" max="44" width="10.44140625" customWidth="1"/>
  </cols>
  <sheetData>
    <row r="1" spans="1:49" x14ac:dyDescent="0.3">
      <c r="A1" s="12" t="s">
        <v>3</v>
      </c>
      <c r="V1" s="19"/>
      <c r="W1" s="19"/>
      <c r="X1" s="19"/>
      <c r="Y1" s="19"/>
      <c r="Z1" s="19"/>
      <c r="AA1" s="19"/>
      <c r="AB1" s="19"/>
      <c r="AC1" s="19"/>
      <c r="AD1" s="19"/>
      <c r="AE1" s="19"/>
    </row>
    <row r="2" spans="1:49" x14ac:dyDescent="0.3">
      <c r="A2" s="12" t="s">
        <v>22</v>
      </c>
      <c r="R2" t="s">
        <v>94</v>
      </c>
      <c r="V2" s="19"/>
      <c r="W2" s="79" t="str">
        <f>_xlfn.XLOOKUP(W$4,Costs!$A$7:$A$30,Costs!$D$7:$D$30,"Not Found",0)</f>
        <v>Fixed</v>
      </c>
      <c r="X2" s="79" t="str">
        <f>_xlfn.XLOOKUP(X$4,Costs!$A$7:$A$30,Costs!$D$7:$D$30,"Not Found",0)</f>
        <v>Variable</v>
      </c>
      <c r="Y2" s="79" t="str">
        <f>_xlfn.XLOOKUP(Y$4,Costs!$A$7:$A$30,Costs!$D$7:$D$30,"Not Found",0)</f>
        <v>Fixed</v>
      </c>
      <c r="Z2" s="79" t="str">
        <f>_xlfn.XLOOKUP(Z$4,Costs!$A$7:$A$30,Costs!$D$7:$D$30,"Not Found",0)</f>
        <v>Fixed</v>
      </c>
      <c r="AA2" s="79" t="str">
        <f>_xlfn.XLOOKUP(AA$4,Costs!$A$7:$A$30,Costs!$D$7:$D$30,"Not Found",0)</f>
        <v>Fixed</v>
      </c>
      <c r="AB2" s="79" t="str">
        <f>_xlfn.XLOOKUP(AB$4,Costs!$A$7:$A$30,Costs!$D$7:$D$30,"Not Found",0)</f>
        <v>Variable</v>
      </c>
      <c r="AC2" s="79" t="str">
        <f>_xlfn.XLOOKUP(AC$4,Costs!$A$7:$A$30,Costs!$D$7:$D$30,"Not Found",0)</f>
        <v>Fixed</v>
      </c>
      <c r="AD2" s="79" t="str">
        <f>_xlfn.XLOOKUP(AD$4,Costs!$A$7:$A$30,Costs!$D$7:$D$30,"Not Found",0)</f>
        <v>Variable</v>
      </c>
      <c r="AE2" s="79" t="str">
        <f>_xlfn.XLOOKUP(AE$4,Costs!$A$7:$A$30,Costs!$D$7:$D$30,"Not Found",0)</f>
        <v>Fixed</v>
      </c>
      <c r="AM2" s="82" t="str">
        <f t="shared" ref="AM2" si="0">W2</f>
        <v>Fixed</v>
      </c>
      <c r="AN2" s="82" t="str">
        <f t="shared" ref="AN2:AN3" si="1">X2</f>
        <v>Variable</v>
      </c>
      <c r="AO2" s="82"/>
      <c r="AP2" s="82" t="str">
        <f t="shared" ref="AP2:AP3" si="2">Y2</f>
        <v>Fixed</v>
      </c>
      <c r="AQ2" s="82" t="str">
        <f t="shared" ref="AQ2:AQ3" si="3">Z2</f>
        <v>Fixed</v>
      </c>
      <c r="AR2" s="82"/>
      <c r="AS2" s="82" t="str">
        <f t="shared" ref="AS2:AS3" si="4">AA2</f>
        <v>Fixed</v>
      </c>
      <c r="AT2" s="82" t="str">
        <f t="shared" ref="AT2:AT3" si="5">AB2</f>
        <v>Variable</v>
      </c>
      <c r="AU2" s="82" t="str">
        <f t="shared" ref="AU2:AU3" si="6">AC2</f>
        <v>Fixed</v>
      </c>
      <c r="AV2" s="82" t="str">
        <f t="shared" ref="AV2:AV3" si="7">AD2</f>
        <v>Variable</v>
      </c>
      <c r="AW2" s="82" t="str">
        <f t="shared" ref="AW2:AW3" si="8">AE2</f>
        <v>Fixed</v>
      </c>
    </row>
    <row r="3" spans="1:49" x14ac:dyDescent="0.3">
      <c r="R3" t="s">
        <v>151</v>
      </c>
      <c r="V3" s="19"/>
      <c r="W3" s="79" t="str">
        <f>_xlfn.XLOOKUP(W$4,Costs!$A$7:$A$30,Costs!$B$7:$B$30,"Not Found",0)</f>
        <v>Staff</v>
      </c>
      <c r="X3" s="79" t="str">
        <f>_xlfn.XLOOKUP(X$4,Costs!$A$7:$A$30,Costs!$B$7:$B$30,"Not Found",0)</f>
        <v>Staff</v>
      </c>
      <c r="Y3" s="79" t="str">
        <f>_xlfn.XLOOKUP(Y$4,Costs!$A$7:$A$30,Costs!$B$7:$B$30,"Not Found",0)</f>
        <v>HW</v>
      </c>
      <c r="Z3" s="79" t="str">
        <f>_xlfn.XLOOKUP(Z$4,Costs!$A$7:$A$30,Costs!$B$7:$B$30,"Not Found",0)</f>
        <v>HW</v>
      </c>
      <c r="AA3" s="79" t="str">
        <f>_xlfn.XLOOKUP(AA$4,Costs!$A$7:$A$30,Costs!$B$7:$B$30,"Not Found",0)</f>
        <v>Facilities</v>
      </c>
      <c r="AB3" s="79" t="str">
        <f>_xlfn.XLOOKUP(AB$4,Costs!$A$7:$A$30,Costs!$B$7:$B$30,"Not Found",0)</f>
        <v>Materials</v>
      </c>
      <c r="AC3" s="79" t="str">
        <f>_xlfn.XLOOKUP(AC$4,Costs!$A$7:$A$30,Costs!$B$7:$B$30,"Not Found",0)</f>
        <v>Supplies</v>
      </c>
      <c r="AD3" s="79" t="str">
        <f>_xlfn.XLOOKUP(AD$4,Costs!$A$7:$A$30,Costs!$B$7:$B$30,"Not Found",0)</f>
        <v>IT</v>
      </c>
      <c r="AE3" s="79" t="str">
        <f>_xlfn.XLOOKUP(AE$4,Costs!$A$7:$A$30,Costs!$B$7:$B$30,"Not Found",0)</f>
        <v>Other</v>
      </c>
      <c r="AG3" s="33">
        <v>2020</v>
      </c>
      <c r="AH3" s="33">
        <v>2021</v>
      </c>
      <c r="AI3" s="33">
        <v>2022</v>
      </c>
      <c r="AJ3" s="33">
        <v>2023</v>
      </c>
      <c r="AM3" s="82" t="str">
        <f>W3</f>
        <v>Staff</v>
      </c>
      <c r="AN3" s="82" t="str">
        <f t="shared" si="1"/>
        <v>Staff</v>
      </c>
      <c r="AO3" s="83" t="s">
        <v>149</v>
      </c>
      <c r="AP3" s="82" t="str">
        <f t="shared" si="2"/>
        <v>HW</v>
      </c>
      <c r="AQ3" s="82" t="str">
        <f t="shared" si="3"/>
        <v>HW</v>
      </c>
      <c r="AR3" s="83" t="s">
        <v>150</v>
      </c>
      <c r="AS3" s="82" t="str">
        <f t="shared" si="4"/>
        <v>Facilities</v>
      </c>
      <c r="AT3" s="82" t="str">
        <f t="shared" si="5"/>
        <v>Materials</v>
      </c>
      <c r="AU3" s="82" t="str">
        <f t="shared" si="6"/>
        <v>Supplies</v>
      </c>
      <c r="AV3" s="82" t="str">
        <f t="shared" si="7"/>
        <v>IT</v>
      </c>
      <c r="AW3" s="82" t="str">
        <f t="shared" si="8"/>
        <v>Other</v>
      </c>
    </row>
    <row r="4" spans="1:49" ht="43.8" thickBot="1" x14ac:dyDescent="0.35">
      <c r="A4" s="2" t="s">
        <v>23</v>
      </c>
      <c r="B4" s="2" t="s">
        <v>0</v>
      </c>
      <c r="C4" s="2" t="s">
        <v>20</v>
      </c>
      <c r="D4" s="2" t="s">
        <v>76</v>
      </c>
      <c r="E4" s="2" t="s">
        <v>111</v>
      </c>
      <c r="F4" s="2" t="s">
        <v>113</v>
      </c>
      <c r="G4" s="2" t="s">
        <v>80</v>
      </c>
      <c r="H4" s="2" t="s">
        <v>112</v>
      </c>
      <c r="I4" s="2" t="s">
        <v>114</v>
      </c>
      <c r="J4" s="2" t="s">
        <v>115</v>
      </c>
      <c r="K4" s="2" t="s">
        <v>120</v>
      </c>
      <c r="M4" s="24" t="s">
        <v>116</v>
      </c>
      <c r="N4" s="24" t="s">
        <v>117</v>
      </c>
      <c r="O4" s="24" t="s">
        <v>98</v>
      </c>
      <c r="P4" s="54" t="s">
        <v>118</v>
      </c>
      <c r="Q4" s="24"/>
      <c r="R4" s="77" t="s">
        <v>23</v>
      </c>
      <c r="S4" s="119" t="s">
        <v>76</v>
      </c>
      <c r="T4" s="77" t="s">
        <v>99</v>
      </c>
      <c r="U4" s="77" t="s">
        <v>100</v>
      </c>
      <c r="V4" s="120" t="s">
        <v>78</v>
      </c>
      <c r="W4" s="77" t="s">
        <v>84</v>
      </c>
      <c r="X4" s="77" t="s">
        <v>85</v>
      </c>
      <c r="Y4" s="77" t="s">
        <v>81</v>
      </c>
      <c r="Z4" s="77" t="s">
        <v>82</v>
      </c>
      <c r="AA4" s="77" t="s">
        <v>83</v>
      </c>
      <c r="AB4" s="77" t="s">
        <v>20</v>
      </c>
      <c r="AC4" s="77" t="s">
        <v>86</v>
      </c>
      <c r="AD4" s="77" t="s">
        <v>88</v>
      </c>
      <c r="AE4" s="77" t="s">
        <v>87</v>
      </c>
      <c r="AG4" s="24" t="s">
        <v>109</v>
      </c>
      <c r="AH4" s="24" t="s">
        <v>109</v>
      </c>
      <c r="AI4" s="24" t="s">
        <v>109</v>
      </c>
      <c r="AJ4" s="24" t="s">
        <v>109</v>
      </c>
      <c r="AL4" s="24" t="s">
        <v>152</v>
      </c>
      <c r="AM4" s="24" t="str">
        <f>W4&amp;" CPU"</f>
        <v>Staff-Management CPU</v>
      </c>
      <c r="AN4" s="24" t="str">
        <f t="shared" ref="AN4" si="9">X4&amp;" CPU"</f>
        <v>Staff-Production CPU</v>
      </c>
      <c r="AO4" s="84" t="s">
        <v>163</v>
      </c>
      <c r="AP4" s="24" t="str">
        <f>Y4&amp;" CPU"</f>
        <v>Equipment Depr'n CPU</v>
      </c>
      <c r="AQ4" s="24" t="str">
        <f>Z4&amp;" CPU"</f>
        <v>F&amp;E Maintenance CPU</v>
      </c>
      <c r="AR4" s="84" t="s">
        <v>164</v>
      </c>
      <c r="AS4" s="24" t="str">
        <f>AA4&amp;" CPU"</f>
        <v>Facilities CPU</v>
      </c>
      <c r="AT4" s="24" t="str">
        <f>AB4&amp;" CPU"</f>
        <v>Materials CPU</v>
      </c>
      <c r="AU4" s="24" t="str">
        <f>AC4&amp;" CPU"</f>
        <v>Supplies CPU</v>
      </c>
      <c r="AV4" s="24" t="str">
        <f>AD4&amp;" CPU"</f>
        <v>IT CPU</v>
      </c>
      <c r="AW4" s="24" t="str">
        <f>AE4&amp;" CPU"</f>
        <v>Other CPU</v>
      </c>
    </row>
    <row r="5" spans="1:49" x14ac:dyDescent="0.3">
      <c r="A5" t="s">
        <v>9</v>
      </c>
      <c r="B5" s="3" t="s">
        <v>6</v>
      </c>
      <c r="C5" t="s">
        <v>12</v>
      </c>
      <c r="D5">
        <v>2023</v>
      </c>
      <c r="E5" s="20">
        <f>9.79/100</f>
        <v>9.7899999999999987E-2</v>
      </c>
      <c r="F5" s="7" cm="1">
        <f t="array" ref="F5">_xlfn.XLOOKUP(ProductsCalcTable[[#This Row],[Products]]&amp;ProductsCalcTable[[#This Row],[Year]],ProductRatesTable[Products]&amp;ProductRatesTable[Year],ProductRatesTable[Share of Retail Costs],"Not Found",0)</f>
        <v>0.6</v>
      </c>
      <c r="G5" s="4">
        <f>SUMIFS(VolumesTable[Volume],VolumesTable[Products],$A5,VolumesTable[Year],ProductsCalcTable[[#This Row],[Year]])</f>
        <v>6877540</v>
      </c>
      <c r="H5" s="18">
        <f>ProductsCalcTable[[#This Row],[Retail Price]]*ProductsCalcTable[[#This Row],[Volume]]</f>
        <v>673311.16599999997</v>
      </c>
      <c r="I5" s="18">
        <f t="shared" ref="I5:I48" si="10">V5</f>
        <v>547883.75183710991</v>
      </c>
      <c r="J5" s="27">
        <f>ProductsCalcTable[[#This Row],[Actual Costs]]/ProductsCalcTable[[#This Row],[Volume]]</f>
        <v>7.9662750320188602E-2</v>
      </c>
      <c r="K5" s="27">
        <f>SUMIFS(ProductsCalcTable[Cost Per Unit],ProductsCalcTable[Products],$A5,ProductsCalcTable[Year],$D5-1)</f>
        <v>8.129363313639662E-2</v>
      </c>
      <c r="M5" s="23">
        <f>INDEX(Costs!$F$5:$J$30,MATCH(M$4,Costs!$C$5:$C$30,0),MATCH($D5,Costs!$F$4:$J$4,0))</f>
        <v>131127.24</v>
      </c>
      <c r="N5" s="23">
        <f>INDEX(Costs!$F$5:$J$30,MATCH(N$4,Costs!$C$5:$C$30,0),MATCH($D5,Costs!$F$4:$J$4,0))</f>
        <v>76490.89</v>
      </c>
      <c r="O5" s="30">
        <v>5.0466366454244529E-2</v>
      </c>
      <c r="P5" s="55">
        <f>(FiancialTable[[#This Row],[Prod''n FTEs]]/ProductsCalcTable[[#This Row],[Volume]])</f>
        <v>2.0912876463764207E-7</v>
      </c>
      <c r="Q5" s="51"/>
      <c r="R5" s="121" t="str">
        <f>$A5</f>
        <v>6 x 1/2" Screws</v>
      </c>
      <c r="S5" s="122">
        <f>D5</f>
        <v>2023</v>
      </c>
      <c r="T5" s="123">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7.5699549681366801E-2</v>
      </c>
      <c r="U5" s="123">
        <f>SUMIFS(VolumesTable[Volume],VolumesTable[Products],FiancialTable[[#This Row],[Products]],VolumesTable[Year],FiancialTable[[#This Row],[Year]])/SUMIFS(ProductRatesTable[Production FTE Items per Hour],ProductRatesTable[Products],FiancialTable[[#This Row],[Products]],ProductRatesTable[Year],FiancialTable[[#This Row],[Year]])/2080</f>
        <v>1.4382914439459689</v>
      </c>
      <c r="V5" s="124">
        <f>SUM(W5:AF5)</f>
        <v>547883.75183710991</v>
      </c>
      <c r="W5" s="124">
        <f>FiancialTable[[#This Row],[Mngmt FTEs]]*M5</f>
        <v>9926.2730189605081</v>
      </c>
      <c r="X5" s="124">
        <f>FiancialTable[[#This Row],[Prod''n FTEs]]*N5</f>
        <v>110016.19262681226</v>
      </c>
      <c r="Y5" s="124">
        <f>SUMIFS(INDEX(Costs!$AF$15:$AH$29,0,MATCH($B5,Costs!$AF$4:$AH$4,0)),Costs!$A$15:$A$29,Y$4,Costs!$E$15:$E$29,$B5)*$O5</f>
        <v>43804.806082284253</v>
      </c>
      <c r="Z5"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5162.2336932317512</v>
      </c>
      <c r="AA5" s="124">
        <f>SUMIFS(INDEX(Costs!$O$6:$AI$30,MATCH(AA$4,Costs!$A$6:$A$30,0),0),Costs!$O$2:$AI$2,FiancialTable[[#This Row],[Year]],Costs!$O$4:$AI$4,ProductsCalcTable[[#This Row],[Department Name]])/SUMIFS(FiancialTable[Prod''n FTEs],ProductsCalcTable[Department Name],ProductsCalcTable[[#This Row],[Department Name]],FiancialTable[Year],FiancialTable[[#This Row],[Year]])*FiancialTable[[#This Row],[Prod''n FTEs]]</f>
        <v>10850.268787662575</v>
      </c>
      <c r="AB5" s="124">
        <f>SUMIFS(ProductRatesTable[Materials CPU],ProductRatesTable[Year],$D5,ProductRatesTable[Products],$A5)*ProductsCalcTable[[#This Row],[Volume]]</f>
        <v>181794.01474983277</v>
      </c>
      <c r="AC5" s="124">
        <f>SUMIFS(INDEX(Costs!$F$5:$I$30,0,MATCH(ProductsCalcTable[[#This Row],[Year]],Costs!$F$4:$I$4,0)),Costs!$A$5:$A$30,AC$4,Costs!$E$5:$E$30,$B5)/SUMIFS(ProductsCalcTable[Volume],ProductsCalcTable[Year],ProductsCalcTable[[#This Row],[Year]],ProductsCalcTable[Department Name],ProductsCalcTable[[#This Row],[Department Name]])*ProductsCalcTable[[#This Row],[Volume]]</f>
        <v>62800.319685173126</v>
      </c>
      <c r="AD5" s="124">
        <f>SUMIFS(INDEX(Costs!$F$5:$I$30,0,MATCH(ProductsCalcTable[[#This Row],[Year]],Costs!$F$4:$I$4,0)),Costs!$A$5:$A$30,AD$4,Costs!$E$5:$E$30,$B5)/SUMIFS(ProductsCalcTable[Volume],ProductsCalcTable[Year],ProductsCalcTable[[#This Row],[Year]],ProductsCalcTable[Department Name],ProductsCalcTable[[#This Row],[Department Name]])*ProductsCalcTable[[#This Row],[Volume]]</f>
        <v>61648.938624065166</v>
      </c>
      <c r="AE5" s="124">
        <f>INDEX(Costs!$AF$15:$AH$29,MATCH(AE$4,Costs!$A$15:$A$29,0),MATCH($B5,Costs!$AF$4:$AH$4,0))/SUMIFS(ProductsCalcTable[Volume],ProductsCalcTable[Year],ProductsCalcTable[[#This Row],[Year]],ProductsCalcTable[Department Name],ProductsCalcTable[[#This Row],[Department Name]])*ProductsCalcTable[[#This Row],[Volume]]</f>
        <v>61880.704569087633</v>
      </c>
      <c r="AG5" s="118">
        <f t="shared" ref="AG5:AH6" si="11">AH5*0.99</f>
        <v>2.6036518206450653E-2</v>
      </c>
      <c r="AH5" s="118">
        <f t="shared" si="11"/>
        <v>2.6299513339849145E-2</v>
      </c>
      <c r="AI5" s="118">
        <f t="shared" ref="AI5" si="12">AJ5*1.005</f>
        <v>2.6565164989746613E-2</v>
      </c>
      <c r="AJ5" s="118">
        <f>AB5/ProductsCalcTable[[#This Row],[Volume]]</f>
        <v>2.6432999989797628E-2</v>
      </c>
      <c r="AK5" s="80">
        <f>SUMIFS(ProductsCalcTable[#This Row],ProductsCalcTable[#Headers],"Cost Per Unit")-AL5</f>
        <v>0</v>
      </c>
      <c r="AL5" s="80">
        <f>SUBTOTAL(9,AM5:AW5)</f>
        <v>7.9662750320188616E-2</v>
      </c>
      <c r="AM5" s="81">
        <f>SUMIFS(FiancialTable[[#This Row],[Total]:[Other]],FiancialTable[[#Headers],[Total]:[Other]],LEFT(AM$4,LEN(AM$4)-4))/SUMIFS(ProductsCalcTable[#This Row],ProductsCalcTable[#Headers],"Volume")</f>
        <v>1.4432883006075586E-3</v>
      </c>
      <c r="AN5" s="81">
        <f>SUMIFS(FiancialTable[[#This Row],[Total]:[Other]],FiancialTable[[#Headers],[Total]:[Other]],LEFT(AN$4,LEN(AN$4)-4))/SUMIFS(ProductsCalcTable[#This Row],ProductsCalcTable[#Headers],"Volume")</f>
        <v>1.5996445331733767E-2</v>
      </c>
      <c r="AO5" s="85">
        <f>SUBTOTAL(9,AM5:AN5)</f>
        <v>1.7439733632341324E-2</v>
      </c>
      <c r="AP5" s="81">
        <f>SUMIFS(FiancialTable[[#This Row],[Total]:[Other]],FiancialTable[[#Headers],[Total]:[Other]],LEFT(AP$4,LEN(AP$4)-4))/SUMIFS(ProductsCalcTable[#This Row],ProductsCalcTable[#Headers],"Volume")</f>
        <v>6.3692550072095913E-3</v>
      </c>
      <c r="AQ5" s="81">
        <f>SUMIFS(FiancialTable[[#This Row],[Total]:[Other]],FiancialTable[[#Headers],[Total]:[Other]],LEFT(AQ$4,LEN(AQ$4)-4))/SUMIFS(ProductsCalcTable[#This Row],ProductsCalcTable[#Headers],"Volume")</f>
        <v>7.5059304536676647E-4</v>
      </c>
      <c r="AR5" s="85">
        <f>SUBTOTAL(9,AP5:AQ5)</f>
        <v>7.119848052576358E-3</v>
      </c>
      <c r="AS5" s="81">
        <f>SUMIFS(FiancialTable[[#This Row],[Total]:[Other]],FiancialTable[[#Headers],[Total]:[Other]],LEFT(AS$4,LEN(AS$4)-4))/SUMIFS(ProductsCalcTable[#This Row],ProductsCalcTable[#Headers],"Volume")</f>
        <v>1.577638049020809E-3</v>
      </c>
      <c r="AT5" s="81">
        <f>SUMIFS(FiancialTable[[#This Row],[Total]:[Other]],FiancialTable[[#Headers],[Total]:[Other]],LEFT(AT$4,LEN(AT$4)-4))/SUMIFS(ProductsCalcTable[#This Row],ProductsCalcTable[#Headers],"Volume")</f>
        <v>2.6432999989797628E-2</v>
      </c>
      <c r="AU5" s="81">
        <f>SUMIFS(FiancialTable[[#This Row],[Total]:[Other]],FiancialTable[[#Headers],[Total]:[Other]],LEFT(AU$4,LEN(AU$4)-4))/SUMIFS(ProductsCalcTable[#This Row],ProductsCalcTable[#Headers],"Volume")</f>
        <v>9.1312183840694672E-3</v>
      </c>
      <c r="AV5" s="81">
        <f>SUMIFS(FiancialTable[[#This Row],[Total]:[Other]],FiancialTable[[#Headers],[Total]:[Other]],LEFT(AV$4,LEN(AV$4)-4))/SUMIFS(ProductsCalcTable[#This Row],ProductsCalcTable[#Headers],"Volume")</f>
        <v>8.963806626215938E-3</v>
      </c>
      <c r="AW5" s="81">
        <f>SUMIFS(FiancialTable[[#This Row],[Total]:[Other]],FiancialTable[[#Headers],[Total]:[Other]],LEFT(AW$4,LEN(AW$4)-4))/SUMIFS(ProductsCalcTable[#This Row],ProductsCalcTable[#Headers],"Volume")</f>
        <v>8.9975055861670934E-3</v>
      </c>
    </row>
    <row r="6" spans="1:49" x14ac:dyDescent="0.3">
      <c r="A6" t="s">
        <v>7</v>
      </c>
      <c r="B6" s="3" t="s">
        <v>6</v>
      </c>
      <c r="C6" t="s">
        <v>12</v>
      </c>
      <c r="D6">
        <v>2023</v>
      </c>
      <c r="E6" s="20">
        <f>26/100</f>
        <v>0.26</v>
      </c>
      <c r="F6" s="7" cm="1">
        <f t="array" ref="F6">_xlfn.XLOOKUP(ProductsCalcTable[[#This Row],[Products]]&amp;ProductsCalcTable[[#This Row],[Year]],ProductRatesTable[Products]&amp;ProductRatesTable[Year],ProductRatesTable[Share of Retail Costs],"Not Found",0)</f>
        <v>0.6</v>
      </c>
      <c r="G6" s="4">
        <f>SUMIFS(VolumesTable[Volume],VolumesTable[Products],$A6,VolumesTable[Year],ProductsCalcTable[[#This Row],[Year]])</f>
        <v>6741278</v>
      </c>
      <c r="H6" s="18">
        <f>ProductsCalcTable[[#This Row],[Retail Price]]*ProductsCalcTable[[#This Row],[Volume]]</f>
        <v>1752732.28</v>
      </c>
      <c r="I6" s="18">
        <f t="shared" si="10"/>
        <v>1123818.2710409437</v>
      </c>
      <c r="J6" s="27">
        <f>ProductsCalcTable[[#This Row],[Actual Costs]]/ProductsCalcTable[[#This Row],[Volume]]</f>
        <v>0.16670700585867304</v>
      </c>
      <c r="K6" s="27">
        <f>SUMIFS(ProductsCalcTable[Cost Per Unit],ProductsCalcTable[Products],$A6,ProductsCalcTable[Year],$D6-1)</f>
        <v>0.17098737061025918</v>
      </c>
      <c r="M6" s="23">
        <f>INDEX(Costs!$F$5:$J$30,MATCH(M$4,Costs!$C$5:$C$30,0),MATCH($D6,Costs!$F$4:$J$4,0))</f>
        <v>131127.24</v>
      </c>
      <c r="N6" s="23">
        <f>INDEX(Costs!$F$5:$J$30,MATCH(N$4,Costs!$C$5:$C$30,0),MATCH($D6,Costs!$F$4:$J$4,0))</f>
        <v>76490.89</v>
      </c>
      <c r="O6" s="30">
        <v>0.1313716955923222</v>
      </c>
      <c r="P6" s="55">
        <f>(FiancialTable[[#This Row],[Prod''n FTEs]]/ProductsCalcTable[[#This Row],[Volume]])</f>
        <v>5.5539814919087778E-7</v>
      </c>
      <c r="Q6" s="51"/>
      <c r="R6" s="121" t="str">
        <f t="shared" ref="R6:R48" si="13">$A6</f>
        <v>8" Hex Bolts</v>
      </c>
      <c r="S6" s="122">
        <f t="shared" ref="S6:S48" si="14">D6</f>
        <v>2023</v>
      </c>
      <c r="T6" s="123">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0.19705754338848333</v>
      </c>
      <c r="U6" s="123">
        <f>SUMIFS(VolumesTable[Volume],VolumesTable[Products],FiancialTable[[#This Row],[Products]],VolumesTable[Year],FiancialTable[[#This Row],[Year]])/SUMIFS(ProductRatesTable[Production FTE Items per Hour],ProductRatesTable[Products],FiancialTable[[#This Row],[Products]],ProductRatesTable[Year],FiancialTable[[#This Row],[Year]])/2080</f>
        <v>3.7440933243811823</v>
      </c>
      <c r="V6" s="124">
        <f t="shared" ref="V6:V48" si="15">SUM(W6:AF6)</f>
        <v>1123818.2710409437</v>
      </c>
      <c r="W6" s="124">
        <f>FiancialTable[[#This Row],[Mngmt FTEs]]*M6</f>
        <v>25839.611785712066</v>
      </c>
      <c r="X6" s="124">
        <f>FiancialTable[[#This Row],[Prod''n FTEs]]*N6</f>
        <v>286389.03062497533</v>
      </c>
      <c r="Y6" s="124">
        <f>SUMIFS(INDEX(Costs!$AF$15:$AH$29,0,MATCH($B6,Costs!$AF$4:$AH$4,0)),Costs!$A$15:$A$29,Y$4,Costs!$E$15:$E$29,$B6)*$O6</f>
        <v>114030.63177413568</v>
      </c>
      <c r="Z6"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13438.0864122353</v>
      </c>
      <c r="AA6" s="124">
        <f>SUMIFS(INDEX(Costs!$O$6:$AI$30,MATCH(AA$4,Costs!$A$6:$A$30,0),0),Costs!$O$2:$AI$2,FiancialTable[[#This Row],[Year]],Costs!$O$4:$AI$4,ProductsCalcTable[[#This Row],[Department Name]])/SUMIFS(FiancialTable[Prod''n FTEs],ProductsCalcTable[Department Name],ProductsCalcTable[[#This Row],[Department Name]],FiancialTable[Year],FiancialTable[[#This Row],[Year]])*FiancialTable[[#This Row],[Prod''n FTEs]]</f>
        <v>28244.914552349277</v>
      </c>
      <c r="AB6" s="124">
        <f>SUMIFS(ProductRatesTable[Materials CPU],ProductRatesTable[Year],$D6,ProductRatesTable[Products],$A6)*ProductsCalcTable[[#This Row],[Volume]]</f>
        <v>473237.71541734406</v>
      </c>
      <c r="AC6" s="124">
        <f>SUMIFS(INDEX(Costs!$F$5:$I$30,0,MATCH(ProductsCalcTable[[#This Row],[Year]],Costs!$F$4:$I$4,0)),Costs!$A$5:$A$30,AC$4,Costs!$E$5:$E$30,$B6)/SUMIFS(ProductsCalcTable[Volume],ProductsCalcTable[Year],ProductsCalcTable[[#This Row],[Year]],ProductsCalcTable[Department Name],ProductsCalcTable[[#This Row],[Department Name]])*ProductsCalcTable[[#This Row],[Volume]]</f>
        <v>61556.081605723048</v>
      </c>
      <c r="AD6" s="124">
        <f>SUMIFS(INDEX(Costs!$F$5:$I$30,0,MATCH(ProductsCalcTable[[#This Row],[Year]],Costs!$F$4:$I$4,0)),Costs!$A$5:$A$30,AD$4,Costs!$E$5:$E$30,$B6)/SUMIFS(ProductsCalcTable[Volume],ProductsCalcTable[Year],ProductsCalcTable[[#This Row],[Year]],ProductsCalcTable[Department Name],ProductsCalcTable[[#This Row],[Department Name]])*ProductsCalcTable[[#This Row],[Volume]]</f>
        <v>60427.512405563728</v>
      </c>
      <c r="AE6" s="124">
        <f>INDEX(Costs!$AF$15:$AH$29,MATCH(AE$4,Costs!$A$15:$A$29,0),MATCH($B6,Costs!$AF$4:$AH$4,0))/SUMIFS(ProductsCalcTable[Volume],ProductsCalcTable[Year],ProductsCalcTable[[#This Row],[Year]],ProductsCalcTable[Department Name],ProductsCalcTable[[#This Row],[Department Name]])*ProductsCalcTable[[#This Row],[Volume]]</f>
        <v>60654.686462905331</v>
      </c>
      <c r="AG6" s="118">
        <f t="shared" si="11"/>
        <v>6.9147035073311255E-2</v>
      </c>
      <c r="AH6" s="118">
        <f t="shared" si="11"/>
        <v>6.9845489973041672E-2</v>
      </c>
      <c r="AI6" s="118">
        <f>AJ6*1.005</f>
        <v>7.0550999972769368E-2</v>
      </c>
      <c r="AJ6" s="118">
        <f>AB6/ProductsCalcTable[[#This Row],[Volume]]</f>
        <v>7.0199999972904853E-2</v>
      </c>
      <c r="AK6" s="80">
        <f>SUMIFS(ProductsCalcTable[#This Row],ProductsCalcTable[#Headers],"Cost Per Unit")-AL6</f>
        <v>0</v>
      </c>
      <c r="AL6" s="80">
        <f t="shared" ref="AL6:AL48" si="16">SUBTOTAL(9,AM6:AW6)</f>
        <v>0.16670700585867307</v>
      </c>
      <c r="AM6" s="81">
        <f>SUMIFS(FiancialTable[[#This Row],[Total]:[Other]],FiancialTable[[#Headers],[Total]:[Other]],LEFT(AM$4,LEN(AM$4)-4))/SUMIFS(ProductsCalcTable[#This Row],ProductsCalcTable[#Headers],"Volume")</f>
        <v>3.8330434949741081E-3</v>
      </c>
      <c r="AN6" s="81">
        <f>SUMIFS(FiancialTable[[#This Row],[Total]:[Other]],FiancialTable[[#Headers],[Total]:[Other]],LEFT(AN$4,LEN(AN$4)-4))/SUMIFS(ProductsCalcTable[#This Row],ProductsCalcTable[#Headers],"Volume")</f>
        <v>4.2482898735963025E-2</v>
      </c>
      <c r="AO6" s="85">
        <f t="shared" ref="AO6:AO48" si="17">SUBTOTAL(9,AM6:AN6)</f>
        <v>4.6315942230937129E-2</v>
      </c>
      <c r="AP6" s="81">
        <f>SUMIFS(FiancialTable[[#This Row],[Total]:[Other]],FiancialTable[[#Headers],[Total]:[Other]],LEFT(AP$4,LEN(AP$4)-4))/SUMIFS(ProductsCalcTable[#This Row],ProductsCalcTable[#Headers],"Volume")</f>
        <v>1.6915283982374806E-2</v>
      </c>
      <c r="AQ6" s="81">
        <f>SUMIFS(FiancialTable[[#This Row],[Total]:[Other]],FiancialTable[[#Headers],[Total]:[Other]],LEFT(AQ$4,LEN(AQ$4)-4))/SUMIFS(ProductsCalcTable[#This Row],ProductsCalcTable[#Headers],"Volume")</f>
        <v>1.993403389125222E-3</v>
      </c>
      <c r="AR6" s="85">
        <f t="shared" ref="AR6:AR48" si="18">SUBTOTAL(9,AP6:AQ6)</f>
        <v>1.8908687371500029E-2</v>
      </c>
      <c r="AS6" s="81">
        <f>SUMIFS(FiancialTable[[#This Row],[Total]:[Other]],FiancialTable[[#Headers],[Total]:[Other]],LEFT(AS$4,LEN(AS$4)-4))/SUMIFS(ProductsCalcTable[#This Row],ProductsCalcTable[#Headers],"Volume")</f>
        <v>4.1898456868785525E-3</v>
      </c>
      <c r="AT6" s="81">
        <f>SUMIFS(FiancialTable[[#This Row],[Total]:[Other]],FiancialTable[[#Headers],[Total]:[Other]],LEFT(AT$4,LEN(AT$4)-4))/SUMIFS(ProductsCalcTable[#This Row],ProductsCalcTable[#Headers],"Volume")</f>
        <v>7.0199999972904853E-2</v>
      </c>
      <c r="AU6" s="81">
        <f>SUMIFS(FiancialTable[[#This Row],[Total]:[Other]],FiancialTable[[#Headers],[Total]:[Other]],LEFT(AU$4,LEN(AU$4)-4))/SUMIFS(ProductsCalcTable[#This Row],ProductsCalcTable[#Headers],"Volume")</f>
        <v>9.1312183840694672E-3</v>
      </c>
      <c r="AV6" s="81">
        <f>SUMIFS(FiancialTable[[#This Row],[Total]:[Other]],FiancialTable[[#Headers],[Total]:[Other]],LEFT(AV$4,LEN(AV$4)-4))/SUMIFS(ProductsCalcTable[#This Row],ProductsCalcTable[#Headers],"Volume")</f>
        <v>8.963806626215938E-3</v>
      </c>
      <c r="AW6" s="81">
        <f>SUMIFS(FiancialTable[[#This Row],[Total]:[Other]],FiancialTable[[#Headers],[Total]:[Other]],LEFT(AW$4,LEN(AW$4)-4))/SUMIFS(ProductsCalcTable[#This Row],ProductsCalcTable[#Headers],"Volume")</f>
        <v>8.9975055861670934E-3</v>
      </c>
    </row>
    <row r="7" spans="1:49" x14ac:dyDescent="0.3">
      <c r="A7" t="s">
        <v>8</v>
      </c>
      <c r="B7" s="3" t="s">
        <v>6</v>
      </c>
      <c r="C7" t="s">
        <v>12</v>
      </c>
      <c r="D7">
        <v>2023</v>
      </c>
      <c r="E7" s="20">
        <v>72</v>
      </c>
      <c r="F7" s="7" cm="1">
        <f t="array" ref="F7">_xlfn.XLOOKUP(ProductsCalcTable[[#This Row],[Products]]&amp;ProductsCalcTable[[#This Row],[Year]],ProductRatesTable[Products]&amp;ProductRatesTable[Year],ProductRatesTable[Share of Retail Costs],"Not Found",0)</f>
        <v>0.5</v>
      </c>
      <c r="G7" s="4">
        <f>SUMIFS(VolumesTable[Volume],VolumesTable[Products],$A7,VolumesTable[Year],ProductsCalcTable[[#This Row],[Year]])</f>
        <v>175189</v>
      </c>
      <c r="H7" s="18">
        <f>ProductsCalcTable[[#This Row],[Retail Price]]*ProductsCalcTable[[#This Row],[Volume]]</f>
        <v>12613608</v>
      </c>
      <c r="I7" s="18">
        <f t="shared" si="10"/>
        <v>5649112.5379687743</v>
      </c>
      <c r="J7" s="27">
        <f>ProductsCalcTable[[#This Row],[Actual Costs]]/ProductsCalcTable[[#This Row],[Volume]]</f>
        <v>32.245817591108882</v>
      </c>
      <c r="K7" s="27">
        <f>SUMIFS(ProductsCalcTable[Cost Per Unit],ProductsCalcTable[Products],$A7,ProductsCalcTable[Year],$D7-1)</f>
        <v>33.803412886457075</v>
      </c>
      <c r="M7" s="23">
        <f>INDEX(Costs!$F$5:$J$30,MATCH(M$4,Costs!$C$5:$C$30,0),MATCH($D7,Costs!$F$4:$J$4,0))</f>
        <v>131127.24</v>
      </c>
      <c r="N7" s="23">
        <f>INDEX(Costs!$F$5:$J$30,MATCH(N$4,Costs!$C$5:$C$30,0),MATCH($D7,Costs!$F$4:$J$4,0))</f>
        <v>76490.89</v>
      </c>
      <c r="O7" s="30">
        <v>0.78785138751903405</v>
      </c>
      <c r="P7" s="55">
        <f>(FiancialTable[[#This Row],[Prod''n FTEs]]/ProductsCalcTable[[#This Row],[Volume]])</f>
        <v>1.2816880365943334E-4</v>
      </c>
      <c r="Q7" s="51"/>
      <c r="R7" s="121" t="str">
        <f t="shared" si="13"/>
        <v>1" Screw Pin Anchor Shackle</v>
      </c>
      <c r="S7" s="122">
        <f t="shared" si="14"/>
        <v>2023</v>
      </c>
      <c r="T7" s="123">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1.1817770812785511</v>
      </c>
      <c r="U7" s="123">
        <f>SUMIFS(VolumesTable[Volume],VolumesTable[Products],FiancialTable[[#This Row],[Products]],VolumesTable[Year],FiancialTable[[#This Row],[Year]])/SUMIFS(ProductRatesTable[Production FTE Items per Hour],ProductRatesTable[Products],FiancialTable[[#This Row],[Products]],ProductRatesTable[Year],FiancialTable[[#This Row],[Year]])/2080</f>
        <v>22.453764544292465</v>
      </c>
      <c r="V7" s="124">
        <f t="shared" si="15"/>
        <v>5649112.5379687743</v>
      </c>
      <c r="W7" s="124">
        <f>FiancialTable[[#This Row],[Mngmt FTEs]]*M7</f>
        <v>154963.16696331208</v>
      </c>
      <c r="X7" s="124">
        <f>FiancialTable[[#This Row],[Prod''n FTEs]]*N7</f>
        <v>1717508.433843375</v>
      </c>
      <c r="Y7" s="124">
        <f>SUMIFS(INDEX(Costs!$AF$15:$AH$29,0,MATCH($B7,Costs!$AF$4:$AH$4,0)),Costs!$A$15:$A$29,Y$4,Costs!$E$15:$E$29,$B7)*$O7</f>
        <v>683855.00436652161</v>
      </c>
      <c r="Z7"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80589.772231721203</v>
      </c>
      <c r="AA7" s="124">
        <f>SUMIFS(INDEX(Costs!$O$6:$AI$30,MATCH(AA$4,Costs!$A$6:$A$30,0),0),Costs!$O$2:$AI$2,FiancialTable[[#This Row],[Year]],Costs!$O$4:$AI$4,ProductsCalcTable[[#This Row],[Department Name]])/SUMIFS(FiancialTable[Prod''n FTEs],ProductsCalcTable[Department Name],ProductsCalcTable[[#This Row],[Department Name]],FiancialTable[Year],FiancialTable[[#This Row],[Year]])*FiancialTable[[#This Row],[Prod''n FTEs]]</f>
        <v>169388.04831659232</v>
      </c>
      <c r="AB7" s="124">
        <f>SUMIFS(ProductRatesTable[Materials CPU],ProductRatesTable[Year],$D7,ProductRatesTable[Products],$A7)*ProductsCalcTable[[#This Row],[Volume]]</f>
        <v>2838061.7989045908</v>
      </c>
      <c r="AC7" s="124">
        <f>SUMIFS(INDEX(Costs!$F$5:$I$30,0,MATCH(ProductsCalcTable[[#This Row],[Year]],Costs!$F$4:$I$4,0)),Costs!$A$5:$A$30,AC$4,Costs!$E$5:$E$30,$B7)/SUMIFS(ProductsCalcTable[Volume],ProductsCalcTable[Year],ProductsCalcTable[[#This Row],[Year]],ProductsCalcTable[Department Name],ProductsCalcTable[[#This Row],[Department Name]])*ProductsCalcTable[[#This Row],[Volume]]</f>
        <v>1599.6890174867458</v>
      </c>
      <c r="AD7" s="124">
        <f>SUMIFS(INDEX(Costs!$F$5:$I$30,0,MATCH(ProductsCalcTable[[#This Row],[Year]],Costs!$F$4:$I$4,0)),Costs!$A$5:$A$30,AD$4,Costs!$E$5:$E$30,$B7)/SUMIFS(ProductsCalcTable[Volume],ProductsCalcTable[Year],ProductsCalcTable[[#This Row],[Year]],ProductsCalcTable[Department Name],ProductsCalcTable[[#This Row],[Department Name]])*ProductsCalcTable[[#This Row],[Volume]]</f>
        <v>1570.3603190401438</v>
      </c>
      <c r="AE7" s="124">
        <f>INDEX(Costs!$AF$15:$AH$29,MATCH(AE$4,Costs!$A$15:$A$29,0),MATCH($B7,Costs!$AF$4:$AH$4,0))/SUMIFS(ProductsCalcTable[Volume],ProductsCalcTable[Year],ProductsCalcTable[[#This Row],[Year]],ProductsCalcTable[Department Name],ProductsCalcTable[[#This Row],[Department Name]])*ProductsCalcTable[[#This Row],[Volume]]</f>
        <v>1576.2640061350269</v>
      </c>
      <c r="AG7" s="118">
        <f t="shared" ref="AG7:AH7" si="19">AH7*0.99</f>
        <v>15.957008093841059</v>
      </c>
      <c r="AH7" s="118">
        <f t="shared" si="19"/>
        <v>16.118189993778849</v>
      </c>
      <c r="AI7" s="118">
        <f t="shared" ref="AI7:AI8" si="20">AJ7*1.005</f>
        <v>16.280999993716009</v>
      </c>
      <c r="AJ7" s="118">
        <f>AB7/ProductsCalcTable[[#This Row],[Volume]]</f>
        <v>16.199999993747273</v>
      </c>
      <c r="AK7" s="80">
        <f>SUMIFS(ProductsCalcTable[#This Row],ProductsCalcTable[#Headers],"Cost Per Unit")-AL7</f>
        <v>0</v>
      </c>
      <c r="AL7" s="80">
        <f t="shared" si="16"/>
        <v>32.245817591108889</v>
      </c>
      <c r="AM7" s="81">
        <f>SUMIFS(FiancialTable[[#This Row],[Total]:[Other]],FiancialTable[[#Headers],[Total]:[Other]],LEFT(AM$4,LEN(AM$4)-4))/SUMIFS(ProductsCalcTable[#This Row],ProductsCalcTable[#Headers],"Volume")</f>
        <v>0.88454849884017872</v>
      </c>
      <c r="AN7" s="81">
        <f>SUMIFS(FiancialTable[[#This Row],[Total]:[Other]],FiancialTable[[#Headers],[Total]:[Other]],LEFT(AN$4,LEN(AN$4)-4))/SUMIFS(ProductsCalcTable[#This Row],ProductsCalcTable[#Headers],"Volume")</f>
        <v>9.8037458621453109</v>
      </c>
      <c r="AO7" s="85">
        <f t="shared" si="17"/>
        <v>10.688294360985489</v>
      </c>
      <c r="AP7" s="81">
        <f>SUMIFS(FiancialTable[[#This Row],[Total]:[Other]],FiancialTable[[#Headers],[Total]:[Other]],LEFT(AP$4,LEN(AP$4)-4))/SUMIFS(ProductsCalcTable[#This Row],ProductsCalcTable[#Headers],"Volume")</f>
        <v>3.903527072855725</v>
      </c>
      <c r="AQ7" s="81">
        <f>SUMIFS(FiancialTable[[#This Row],[Total]:[Other]],FiancialTable[[#Headers],[Total]:[Other]],LEFT(AQ$4,LEN(AQ$4)-4))/SUMIFS(ProductsCalcTable[#This Row],ProductsCalcTable[#Headers],"Volume")</f>
        <v>0.4600161667212051</v>
      </c>
      <c r="AR7" s="85">
        <f t="shared" si="18"/>
        <v>4.3635432395769298</v>
      </c>
      <c r="AS7" s="81">
        <f>SUMIFS(FiancialTable[[#This Row],[Total]:[Other]],FiancialTable[[#Headers],[Total]:[Other]],LEFT(AS$4,LEN(AS$4)-4))/SUMIFS(ProductsCalcTable[#This Row],ProductsCalcTable[#Headers],"Volume")</f>
        <v>0.96688746620274291</v>
      </c>
      <c r="AT7" s="81">
        <f>SUMIFS(FiancialTable[[#This Row],[Total]:[Other]],FiancialTable[[#Headers],[Total]:[Other]],LEFT(AT$4,LEN(AT$4)-4))/SUMIFS(ProductsCalcTable[#This Row],ProductsCalcTable[#Headers],"Volume")</f>
        <v>16.199999993747273</v>
      </c>
      <c r="AU7" s="81">
        <f>SUMIFS(FiancialTable[[#This Row],[Total]:[Other]],FiancialTable[[#Headers],[Total]:[Other]],LEFT(AU$4,LEN(AU$4)-4))/SUMIFS(ProductsCalcTable[#This Row],ProductsCalcTable[#Headers],"Volume")</f>
        <v>9.1312183840694672E-3</v>
      </c>
      <c r="AV7" s="81">
        <f>SUMIFS(FiancialTable[[#This Row],[Total]:[Other]],FiancialTable[[#Headers],[Total]:[Other]],LEFT(AV$4,LEN(AV$4)-4))/SUMIFS(ProductsCalcTable[#This Row],ProductsCalcTable[#Headers],"Volume")</f>
        <v>8.963806626215938E-3</v>
      </c>
      <c r="AW7" s="81">
        <f>SUMIFS(FiancialTable[[#This Row],[Total]:[Other]],FiancialTable[[#Headers],[Total]:[Other]],LEFT(AW$4,LEN(AW$4)-4))/SUMIFS(ProductsCalcTable[#This Row],ProductsCalcTable[#Headers],"Volume")</f>
        <v>8.9975055861670934E-3</v>
      </c>
    </row>
    <row r="8" spans="1:49" x14ac:dyDescent="0.3">
      <c r="A8" t="s">
        <v>10</v>
      </c>
      <c r="B8" s="3" t="s">
        <v>6</v>
      </c>
      <c r="C8" t="s">
        <v>12</v>
      </c>
      <c r="D8">
        <v>2023</v>
      </c>
      <c r="E8" s="20">
        <v>0.06</v>
      </c>
      <c r="F8" s="7" cm="1">
        <f t="array" ref="F8">_xlfn.XLOOKUP(ProductsCalcTable[[#This Row],[Products]]&amp;ProductsCalcTable[[#This Row],[Year]],ProductRatesTable[Products]&amp;ProductRatesTable[Year],ProductRatesTable[Share of Retail Costs],"Not Found",0)</f>
        <v>0.6</v>
      </c>
      <c r="G8" s="4">
        <f>SUMIFS(VolumesTable[Volume],VolumesTable[Products],$A8,VolumesTable[Year],ProductsCalcTable[[#This Row],[Year]])</f>
        <v>6739945</v>
      </c>
      <c r="H8" s="18">
        <f>ProductsCalcTable[[#This Row],[Retail Price]]*ProductsCalcTable[[#This Row],[Volume]]</f>
        <v>404396.7</v>
      </c>
      <c r="I8" s="18">
        <f t="shared" si="10"/>
        <v>399754.60100888251</v>
      </c>
      <c r="J8" s="27">
        <f>ProductsCalcTable[[#This Row],[Actual Costs]]/ProductsCalcTable[[#This Row],[Volume]]</f>
        <v>5.9311255656964934E-2</v>
      </c>
      <c r="K8" s="27">
        <f>SUMIFS(ProductsCalcTable[Cost Per Unit],ProductsCalcTable[Products],$A8,ProductsCalcTable[Year],$D8-1)</f>
        <v>5.9923657668691413E-2</v>
      </c>
      <c r="M8" s="23">
        <f>INDEX(Costs!$F$5:$J$30,MATCH(M$4,Costs!$C$5:$C$30,0),MATCH($D8,Costs!$F$4:$J$4,0))</f>
        <v>131127.24</v>
      </c>
      <c r="N8" s="23">
        <f>INDEX(Costs!$F$5:$J$30,MATCH(N$4,Costs!$C$5:$C$30,0),MATCH($D8,Costs!$F$4:$J$4,0))</f>
        <v>76490.89</v>
      </c>
      <c r="O8" s="30">
        <v>3.0310550434399283E-2</v>
      </c>
      <c r="P8" s="55">
        <f>(FiancialTable[[#This Row],[Prod''n FTEs]]/ProductsCalcTable[[#This Row],[Volume]])</f>
        <v>1.2816880365943332E-7</v>
      </c>
      <c r="Q8" s="51"/>
      <c r="R8" s="121" t="str">
        <f t="shared" si="13"/>
        <v>Hex Nuts</v>
      </c>
      <c r="S8" s="122">
        <f t="shared" si="14"/>
        <v>2023</v>
      </c>
      <c r="T8" s="123">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4.5465825651598922E-2</v>
      </c>
      <c r="U8" s="123">
        <f>SUMIFS(VolumesTable[Volume],VolumesTable[Products],FiancialTable[[#This Row],[Products]],VolumesTable[Year],FiancialTable[[#This Row],[Year]])/SUMIFS(ProductRatesTable[Production FTE Items per Hour],ProductRatesTable[Products],FiancialTable[[#This Row],[Products]],ProductRatesTable[Year],FiancialTable[[#This Row],[Year]])/2080</f>
        <v>0.8638506873803794</v>
      </c>
      <c r="V8" s="124">
        <f t="shared" si="15"/>
        <v>399754.60100888251</v>
      </c>
      <c r="W8" s="124">
        <f>FiancialTable[[#This Row],[Mngmt FTEs]]*M8</f>
        <v>5961.808232015368</v>
      </c>
      <c r="X8" s="124">
        <f>FiancialTable[[#This Row],[Prod''n FTEs]]*N8</f>
        <v>66076.707904836992</v>
      </c>
      <c r="Y8" s="124">
        <f>SUMIFS(INDEX(Costs!$AF$15:$AH$29,0,MATCH($B8,Costs!$AF$4:$AH$4,0)),Costs!$A$15:$A$29,Y$4,Costs!$E$15:$E$29,$B8)*$O8</f>
        <v>26309.557777058577</v>
      </c>
      <c r="Z8"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3100.4836628117528</v>
      </c>
      <c r="AA8" s="124">
        <f>SUMIFS(INDEX(Costs!$O$6:$AI$30,MATCH(AA$4,Costs!$A$6:$A$30,0),0),Costs!$O$2:$AI$2,FiancialTable[[#This Row],[Year]],Costs!$O$4:$AI$4,ProductsCalcTable[[#This Row],[Department Name]])/SUMIFS(FiancialTable[Prod''n FTEs],ProductsCalcTable[Department Name],ProductsCalcTable[[#This Row],[Department Name]],FiancialTable[Year],FiancialTable[[#This Row],[Year]])*FiancialTable[[#This Row],[Prod''n FTEs]]</f>
        <v>6516.7683433958464</v>
      </c>
      <c r="AB8" s="124">
        <f>SUMIFS(ProductRatesTable[Materials CPU],ProductRatesTable[Year],$D8,ProductRatesTable[Products],$A8)*ProductsCalcTable[[#This Row],[Volume]]</f>
        <v>109187.10895785695</v>
      </c>
      <c r="AC8" s="124">
        <f>SUMIFS(INDEX(Costs!$F$5:$I$30,0,MATCH(ProductsCalcTable[[#This Row],[Year]],Costs!$F$4:$I$4,0)),Costs!$A$5:$A$30,AC$4,Costs!$E$5:$E$30,$B8)/SUMIFS(ProductsCalcTable[Volume],ProductsCalcTable[Year],ProductsCalcTable[[#This Row],[Year]],ProductsCalcTable[Department Name],ProductsCalcTable[[#This Row],[Department Name]])*ProductsCalcTable[[#This Row],[Volume]]</f>
        <v>61543.909691617082</v>
      </c>
      <c r="AD8" s="124">
        <f>SUMIFS(INDEX(Costs!$F$5:$I$30,0,MATCH(ProductsCalcTable[[#This Row],[Year]],Costs!$F$4:$I$4,0)),Costs!$A$5:$A$30,AD$4,Costs!$E$5:$E$30,$B8)/SUMIFS(ProductsCalcTable[Volume],ProductsCalcTable[Year],ProductsCalcTable[[#This Row],[Year]],ProductsCalcTable[Department Name],ProductsCalcTable[[#This Row],[Department Name]])*ProductsCalcTable[[#This Row],[Volume]]</f>
        <v>60415.56365133098</v>
      </c>
      <c r="AE8" s="124">
        <f>INDEX(Costs!$AF$15:$AH$29,MATCH(AE$4,Costs!$A$15:$A$29,0),MATCH($B8,Costs!$AF$4:$AH$4,0))/SUMIFS(ProductsCalcTable[Volume],ProductsCalcTable[Year],ProductsCalcTable[[#This Row],[Year]],ProductsCalcTable[Department Name],ProductsCalcTable[[#This Row],[Department Name]])*ProductsCalcTable[[#This Row],[Volume]]</f>
        <v>60642.692787958971</v>
      </c>
      <c r="AG8" s="118">
        <f t="shared" ref="AG8:AH8" si="21">AH8*0.99</f>
        <v>1.5957008093841058E-2</v>
      </c>
      <c r="AH8" s="118">
        <f t="shared" si="21"/>
        <v>1.6118189993778845E-2</v>
      </c>
      <c r="AI8" s="118">
        <f t="shared" si="20"/>
        <v>1.6280999993716006E-2</v>
      </c>
      <c r="AJ8" s="118">
        <f>AB8/ProductsCalcTable[[#This Row],[Volume]]</f>
        <v>1.6199999993747272E-2</v>
      </c>
      <c r="AK8" s="80">
        <f>SUMIFS(ProductsCalcTable[#This Row],ProductsCalcTable[#Headers],"Cost Per Unit")-AL8</f>
        <v>0</v>
      </c>
      <c r="AL8" s="80">
        <f t="shared" si="16"/>
        <v>5.9311255656964934E-2</v>
      </c>
      <c r="AM8" s="81">
        <f>SUMIFS(FiancialTable[[#This Row],[Total]:[Other]],FiancialTable[[#Headers],[Total]:[Other]],LEFT(AM$4,LEN(AM$4)-4))/SUMIFS(ProductsCalcTable[#This Row],ProductsCalcTable[#Headers],"Volume")</f>
        <v>8.8454849884017867E-4</v>
      </c>
      <c r="AN8" s="81">
        <f>SUMIFS(FiancialTable[[#This Row],[Total]:[Other]],FiancialTable[[#Headers],[Total]:[Other]],LEFT(AN$4,LEN(AN$4)-4))/SUMIFS(ProductsCalcTable[#This Row],ProductsCalcTable[#Headers],"Volume")</f>
        <v>9.8037458621453126E-3</v>
      </c>
      <c r="AO8" s="85">
        <f t="shared" si="17"/>
        <v>1.0688294360985491E-2</v>
      </c>
      <c r="AP8" s="81">
        <f>SUMIFS(FiancialTable[[#This Row],[Total]:[Other]],FiancialTable[[#Headers],[Total]:[Other]],LEFT(AP$4,LEN(AP$4)-4))/SUMIFS(ProductsCalcTable[#This Row],ProductsCalcTable[#Headers],"Volume")</f>
        <v>3.9035270728557244E-3</v>
      </c>
      <c r="AQ8" s="81">
        <f>SUMIFS(FiancialTable[[#This Row],[Total]:[Other]],FiancialTable[[#Headers],[Total]:[Other]],LEFT(AQ$4,LEN(AQ$4)-4))/SUMIFS(ProductsCalcTable[#This Row],ProductsCalcTable[#Headers],"Volume")</f>
        <v>4.6001616672120509E-4</v>
      </c>
      <c r="AR8" s="85">
        <f t="shared" si="18"/>
        <v>4.3635432395769296E-3</v>
      </c>
      <c r="AS8" s="81">
        <f>SUMIFS(FiancialTable[[#This Row],[Total]:[Other]],FiancialTable[[#Headers],[Total]:[Other]],LEFT(AS$4,LEN(AS$4)-4))/SUMIFS(ProductsCalcTable[#This Row],ProductsCalcTable[#Headers],"Volume")</f>
        <v>9.6688746620274301E-4</v>
      </c>
      <c r="AT8" s="81">
        <f>SUMIFS(FiancialTable[[#This Row],[Total]:[Other]],FiancialTable[[#Headers],[Total]:[Other]],LEFT(AT$4,LEN(AT$4)-4))/SUMIFS(ProductsCalcTable[#This Row],ProductsCalcTable[#Headers],"Volume")</f>
        <v>1.6199999993747272E-2</v>
      </c>
      <c r="AU8" s="81">
        <f>SUMIFS(FiancialTable[[#This Row],[Total]:[Other]],FiancialTable[[#Headers],[Total]:[Other]],LEFT(AU$4,LEN(AU$4)-4))/SUMIFS(ProductsCalcTable[#This Row],ProductsCalcTable[#Headers],"Volume")</f>
        <v>9.1312183840694672E-3</v>
      </c>
      <c r="AV8" s="81">
        <f>SUMIFS(FiancialTable[[#This Row],[Total]:[Other]],FiancialTable[[#Headers],[Total]:[Other]],LEFT(AV$4,LEN(AV$4)-4))/SUMIFS(ProductsCalcTable[#This Row],ProductsCalcTable[#Headers],"Volume")</f>
        <v>8.963806626215938E-3</v>
      </c>
      <c r="AW8" s="81">
        <f>SUMIFS(FiancialTable[[#This Row],[Total]:[Other]],FiancialTable[[#Headers],[Total]:[Other]],LEFT(AW$4,LEN(AW$4)-4))/SUMIFS(ProductsCalcTable[#This Row],ProductsCalcTable[#Headers],"Volume")</f>
        <v>8.9975055861670934E-3</v>
      </c>
    </row>
    <row r="9" spans="1:49" x14ac:dyDescent="0.3">
      <c r="A9" t="s">
        <v>16</v>
      </c>
      <c r="B9" s="3" t="s">
        <v>73</v>
      </c>
      <c r="C9" t="s">
        <v>11</v>
      </c>
      <c r="D9">
        <v>2023</v>
      </c>
      <c r="E9" s="20">
        <v>8.3000000000000007</v>
      </c>
      <c r="F9" s="7" cm="1">
        <f t="array" ref="F9">_xlfn.XLOOKUP(ProductsCalcTable[[#This Row],[Products]]&amp;ProductsCalcTable[[#This Row],[Year]],ProductRatesTable[Products]&amp;ProductRatesTable[Year],ProductRatesTable[Share of Retail Costs],"Not Found",0)</f>
        <v>0.5</v>
      </c>
      <c r="G9" s="4">
        <f>SUMIFS(VolumesTable[Volume],VolumesTable[Products],$A9,VolumesTable[Year],ProductsCalcTable[[#This Row],[Year]])</f>
        <v>293858</v>
      </c>
      <c r="H9" s="18">
        <f>ProductsCalcTable[[#This Row],[Retail Price]]*ProductsCalcTable[[#This Row],[Volume]]</f>
        <v>2439021.4000000004</v>
      </c>
      <c r="I9" s="18">
        <f t="shared" si="10"/>
        <v>1213015.2906954878</v>
      </c>
      <c r="J9" s="27">
        <f>ProductsCalcTable[[#This Row],[Actual Costs]]/ProductsCalcTable[[#This Row],[Volume]]</f>
        <v>4.1278960950373573</v>
      </c>
      <c r="K9" s="27">
        <f>SUMIFS(ProductsCalcTable[Cost Per Unit],ProductsCalcTable[Products],$A9,ProductsCalcTable[Year],$D9-1)</f>
        <v>4.1752821685045376</v>
      </c>
      <c r="M9" s="23">
        <f>INDEX(Costs!$F$5:$J$30,MATCH(M$4,Costs!$C$5:$C$30,0),MATCH($D9,Costs!$F$4:$J$4,0))</f>
        <v>131127.24</v>
      </c>
      <c r="N9" s="23">
        <f>INDEX(Costs!$F$5:$J$30,MATCH(N$4,Costs!$C$5:$C$30,0),MATCH($D9,Costs!$F$4:$J$4,0))</f>
        <v>76490.89</v>
      </c>
      <c r="O9" s="31">
        <v>0.21949447706705111</v>
      </c>
      <c r="P9" s="55">
        <f>(FiancialTable[[#This Row],[Prod''n FTEs]]/ProductsCalcTable[[#This Row],[Volume]])</f>
        <v>1.5401915609316729E-5</v>
      </c>
      <c r="Q9" s="51"/>
      <c r="R9" s="121" t="str">
        <f t="shared" si="13"/>
        <v>Spur Gears 8MM</v>
      </c>
      <c r="S9" s="122">
        <f t="shared" si="14"/>
        <v>2023</v>
      </c>
      <c r="T9" s="123">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0.21949447706705114</v>
      </c>
      <c r="U9" s="123">
        <f>SUMIFS(VolumesTable[Volume],VolumesTable[Products],FiancialTable[[#This Row],[Products]],VolumesTable[Year],FiancialTable[[#This Row],[Year]])/SUMIFS(ProductRatesTable[Production FTE Items per Hour],ProductRatesTable[Products],FiancialTable[[#This Row],[Products]],ProductRatesTable[Year],FiancialTable[[#This Row],[Year]])/2080</f>
        <v>4.5259761171225952</v>
      </c>
      <c r="V9" s="124">
        <f t="shared" si="15"/>
        <v>1213015.2906954878</v>
      </c>
      <c r="W9" s="124">
        <f>FiancialTable[[#This Row],[Mngmt FTEs]]*M9</f>
        <v>28781.704973045707</v>
      </c>
      <c r="X9" s="124">
        <f>FiancialTable[[#This Row],[Prod''n FTEs]]*N9</f>
        <v>346195.94131745154</v>
      </c>
      <c r="Y9" s="124">
        <f>SUMIFS(INDEX(Costs!$AF$15:$AH$29,0,MATCH($B9,Costs!$AF$4:$AH$4,0)),Costs!$A$15:$A$29,Y$4,Costs!$E$15:$E$29,$B9)*$O9</f>
        <v>136964.5536898399</v>
      </c>
      <c r="Z9"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16140.763926862501</v>
      </c>
      <c r="AA9" s="124">
        <f>SUMIFS(INDEX(Costs!$O$6:$AI$30,MATCH(AA$4,Costs!$A$6:$A$30,0),0),Costs!$O$2:$AI$2,FiancialTable[[#This Row],[Year]],Costs!$O$4:$AI$4,ProductsCalcTable[[#This Row],[Department Name]])/SUMIFS(FiancialTable[Prod''n FTEs],ProductsCalcTable[Department Name],ProductsCalcTable[[#This Row],[Department Name]],FiancialTable[Year],FiancialTable[[#This Row],[Year]])*FiancialTable[[#This Row],[Prod''n FTEs]]</f>
        <v>35119.116330728182</v>
      </c>
      <c r="AB9" s="124">
        <f>SUMIFS(ProductRatesTable[Materials CPU],ProductRatesTable[Year],$D9,ProductRatesTable[Products],$A9)*ProductsCalcTable[[#This Row],[Volume]]</f>
        <v>548779.81478818692</v>
      </c>
      <c r="AC9" s="124">
        <f>SUMIFS(INDEX(Costs!$F$5:$I$30,0,MATCH(ProductsCalcTable[[#This Row],[Year]],Costs!$F$4:$I$4,0)),Costs!$A$5:$A$30,AC$4,Costs!$E$5:$E$30,$B9)/SUMIFS(ProductsCalcTable[Volume],ProductsCalcTable[Year],ProductsCalcTable[[#This Row],[Year]],ProductsCalcTable[Department Name],ProductsCalcTable[[#This Row],[Department Name]])*ProductsCalcTable[[#This Row],[Volume]]</f>
        <v>33097.977301610452</v>
      </c>
      <c r="AD9" s="124">
        <f>SUMIFS(INDEX(Costs!$F$5:$I$30,0,MATCH(ProductsCalcTable[[#This Row],[Year]],Costs!$F$4:$I$4,0)),Costs!$A$5:$A$30,AD$4,Costs!$E$5:$E$30,$B9)/SUMIFS(ProductsCalcTable[Volume],ProductsCalcTable[Year],ProductsCalcTable[[#This Row],[Year]],ProductsCalcTable[Department Name],ProductsCalcTable[[#This Row],[Department Name]])*ProductsCalcTable[[#This Row],[Volume]]</f>
        <v>33837.131853188352</v>
      </c>
      <c r="AE9" s="124">
        <f>INDEX(Costs!$AF$15:$AH$29,MATCH(AE$4,Costs!$A$15:$A$29,0),MATCH($B9,Costs!$AF$4:$AH$4,0))/SUMIFS(ProductsCalcTable[Volume],ProductsCalcTable[Year],ProductsCalcTable[[#This Row],[Year]],ProductsCalcTable[Department Name],ProductsCalcTable[[#This Row],[Department Name]])*ProductsCalcTable[[#This Row],[Volume]]</f>
        <v>34098.286514574138</v>
      </c>
      <c r="AG9" s="118">
        <f t="shared" ref="AG9:AI9" si="22">AH9*0.99</f>
        <v>1.8394884330400108</v>
      </c>
      <c r="AH9" s="118">
        <f t="shared" ref="AH9:AH12" si="23">AI9*1.005</f>
        <v>1.8580691242828391</v>
      </c>
      <c r="AI9" s="118">
        <f t="shared" si="22"/>
        <v>1.8488249992864072</v>
      </c>
      <c r="AJ9" s="118">
        <f>AB9/ProductsCalcTable[[#This Row],[Volume]]</f>
        <v>1.8674999992791992</v>
      </c>
      <c r="AK9" s="80">
        <f>SUMIFS(ProductsCalcTable[#This Row],ProductsCalcTable[#Headers],"Cost Per Unit")-AL9</f>
        <v>0</v>
      </c>
      <c r="AL9" s="80">
        <f t="shared" si="16"/>
        <v>4.1278960950373573</v>
      </c>
      <c r="AM9" s="81">
        <f>SUMIFS(FiancialTable[[#This Row],[Total]:[Other]],FiancialTable[[#Headers],[Total]:[Other]],LEFT(AM$4,LEN(AM$4)-4))/SUMIFS(ProductsCalcTable[#This Row],ProductsCalcTable[#Headers],"Volume")</f>
        <v>9.7944262102939883E-2</v>
      </c>
      <c r="AN9" s="81">
        <f>SUMIFS(FiancialTable[[#This Row],[Total]:[Other]],FiancialTable[[#Headers],[Total]:[Other]],LEFT(AN$4,LEN(AN$4)-4))/SUMIFS(ProductsCalcTable[#This Row],ProductsCalcTable[#Headers],"Volume")</f>
        <v>1.1781062326615288</v>
      </c>
      <c r="AO9" s="85">
        <f t="shared" si="17"/>
        <v>1.2760504947644686</v>
      </c>
      <c r="AP9" s="81">
        <f>SUMIFS(FiancialTable[[#This Row],[Total]:[Other]],FiancialTable[[#Headers],[Total]:[Other]],LEFT(AP$4,LEN(AP$4)-4))/SUMIFS(ProductsCalcTable[#This Row],ProductsCalcTable[#Headers],"Volume")</f>
        <v>0.46609094763402698</v>
      </c>
      <c r="AQ9" s="81">
        <f>SUMIFS(FiancialTable[[#This Row],[Total]:[Other]],FiancialTable[[#Headers],[Total]:[Other]],LEFT(AQ$4,LEN(AQ$4)-4))/SUMIFS(ProductsCalcTable[#This Row],ProductsCalcTable[#Headers],"Volume")</f>
        <v>5.4927086983721729E-2</v>
      </c>
      <c r="AR9" s="85">
        <f t="shared" si="18"/>
        <v>0.52101803461774865</v>
      </c>
      <c r="AS9" s="81">
        <f>SUMIFS(FiancialTable[[#This Row],[Total]:[Other]],FiancialTable[[#Headers],[Total]:[Other]],LEFT(AS$4,LEN(AS$4)-4))/SUMIFS(ProductsCalcTable[#This Row],ProductsCalcTable[#Headers],"Volume")</f>
        <v>0.11951049939334026</v>
      </c>
      <c r="AT9" s="81">
        <f>SUMIFS(FiancialTable[[#This Row],[Total]:[Other]],FiancialTable[[#Headers],[Total]:[Other]],LEFT(AT$4,LEN(AT$4)-4))/SUMIFS(ProductsCalcTable[#This Row],ProductsCalcTable[#Headers],"Volume")</f>
        <v>1.8674999992791992</v>
      </c>
      <c r="AU9" s="81">
        <f>SUMIFS(FiancialTable[[#This Row],[Total]:[Other]],FiancialTable[[#Headers],[Total]:[Other]],LEFT(AU$4,LEN(AU$4)-4))/SUMIFS(ProductsCalcTable[#This Row],ProductsCalcTable[#Headers],"Volume")</f>
        <v>0.11263255484489261</v>
      </c>
      <c r="AV9" s="81">
        <f>SUMIFS(FiancialTable[[#This Row],[Total]:[Other]],FiancialTable[[#Headers],[Total]:[Other]],LEFT(AV$4,LEN(AV$4)-4))/SUMIFS(ProductsCalcTable[#This Row],ProductsCalcTable[#Headers],"Volume")</f>
        <v>0.11514790086772643</v>
      </c>
      <c r="AW9" s="81">
        <f>SUMIFS(FiancialTable[[#This Row],[Total]:[Other]],FiancialTable[[#Headers],[Total]:[Other]],LEFT(AW$4,LEN(AW$4)-4))/SUMIFS(ProductsCalcTable[#This Row],ProductsCalcTable[#Headers],"Volume")</f>
        <v>0.1160366112699812</v>
      </c>
    </row>
    <row r="10" spans="1:49" x14ac:dyDescent="0.3">
      <c r="A10" t="s">
        <v>15</v>
      </c>
      <c r="B10" s="3" t="s">
        <v>73</v>
      </c>
      <c r="C10" t="s">
        <v>11</v>
      </c>
      <c r="D10">
        <v>2023</v>
      </c>
      <c r="E10" s="20">
        <v>9</v>
      </c>
      <c r="F10" s="7" cm="1">
        <f t="array" ref="F10">_xlfn.XLOOKUP(ProductsCalcTable[[#This Row],[Products]]&amp;ProductsCalcTable[[#This Row],[Year]],ProductRatesTable[Products]&amp;ProductRatesTable[Year],ProductRatesTable[Share of Retail Costs],"Not Found",0)</f>
        <v>0.5</v>
      </c>
      <c r="G10" s="4">
        <f>SUMIFS(VolumesTable[Volume],VolumesTable[Products],$A10,VolumesTable[Year],ProductsCalcTable[[#This Row],[Year]])</f>
        <v>421561</v>
      </c>
      <c r="H10" s="18">
        <f>ProductsCalcTable[[#This Row],[Retail Price]]*ProductsCalcTable[[#This Row],[Volume]]</f>
        <v>3794049</v>
      </c>
      <c r="I10" s="18">
        <f t="shared" si="10"/>
        <v>1874696.6439612543</v>
      </c>
      <c r="J10" s="27">
        <f>ProductsCalcTable[[#This Row],[Actual Costs]]/ProductsCalcTable[[#This Row],[Volume]]</f>
        <v>4.4470352901745045</v>
      </c>
      <c r="K10" s="27">
        <f>SUMIFS(ProductsCalcTable[Cost Per Unit],ProductsCalcTable[Products],$A10,ProductsCalcTable[Year],$D10-1)</f>
        <v>4.4750635045088298</v>
      </c>
      <c r="M10" s="23">
        <f>INDEX(Costs!$F$5:$J$30,MATCH(M$4,Costs!$C$5:$C$30,0),MATCH($D10,Costs!$F$4:$J$4,0))</f>
        <v>131127.24</v>
      </c>
      <c r="N10" s="23">
        <f>INDEX(Costs!$F$5:$J$30,MATCH(N$4,Costs!$C$5:$C$30,0),MATCH($D10,Costs!$F$4:$J$4,0))</f>
        <v>76490.89</v>
      </c>
      <c r="O10" s="31">
        <v>0.34143726710301436</v>
      </c>
      <c r="P10" s="55">
        <f>(FiancialTable[[#This Row],[Prod''n FTEs]]/ProductsCalcTable[[#This Row],[Volume]])</f>
        <v>1.6700872347451869E-5</v>
      </c>
      <c r="Q10" s="51"/>
      <c r="R10" s="121" t="str">
        <f t="shared" si="13"/>
        <v>Helical Gears 8MM</v>
      </c>
      <c r="S10" s="122">
        <f t="shared" si="14"/>
        <v>2023</v>
      </c>
      <c r="T10" s="123">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0.34143726710301431</v>
      </c>
      <c r="U10" s="123">
        <f>SUMIFS(VolumesTable[Volume],VolumesTable[Products],FiancialTable[[#This Row],[Products]],VolumesTable[Year],FiancialTable[[#This Row],[Year]])/SUMIFS(ProductRatesTable[Production FTE Items per Hour],ProductRatesTable[Products],FiancialTable[[#This Row],[Products]],ProductRatesTable[Year],FiancialTable[[#This Row],[Year]])/2080</f>
        <v>7.040436447664157</v>
      </c>
      <c r="V10" s="124">
        <f t="shared" si="15"/>
        <v>1874696.6439612543</v>
      </c>
      <c r="W10" s="124">
        <f>FiancialTable[[#This Row],[Mngmt FTEs]]*M10</f>
        <v>44771.726468361056</v>
      </c>
      <c r="X10" s="124">
        <f>FiancialTable[[#This Row],[Prod''n FTEs]]*N10</f>
        <v>538529.24987026979</v>
      </c>
      <c r="Y10" s="124">
        <f>SUMIFS(INDEX(Costs!$AF$15:$AH$29,0,MATCH($B10,Costs!$AF$4:$AH$4,0)),Costs!$A$15:$A$29,Y$4,Costs!$E$15:$E$29,$B10)*$O10</f>
        <v>213056.85467228096</v>
      </c>
      <c r="Z10"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25107.958969096671</v>
      </c>
      <c r="AA10" s="124">
        <f>SUMIFS(INDEX(Costs!$O$6:$AI$30,MATCH(AA$4,Costs!$A$6:$A$30,0),0),Costs!$O$2:$AI$2,FiancialTable[[#This Row],[Year]],Costs!$O$4:$AI$4,ProductsCalcTable[[#This Row],[Department Name]])/SUMIFS(FiancialTable[Prod''n FTEs],ProductsCalcTable[Department Name],ProductsCalcTable[[#This Row],[Department Name]],FiancialTable[Year],FiancialTable[[#This Row],[Year]])*FiancialTable[[#This Row],[Prod''n FTEs]]</f>
        <v>54629.962736482295</v>
      </c>
      <c r="AB10" s="124">
        <f>SUMIFS(ProductRatesTable[Materials CPU],ProductRatesTable[Year],$D10,ProductRatesTable[Products],$A10)*ProductsCalcTable[[#This Row],[Volume]]</f>
        <v>853661.0246705116</v>
      </c>
      <c r="AC10" s="124">
        <f>SUMIFS(INDEX(Costs!$F$5:$I$30,0,MATCH(ProductsCalcTable[[#This Row],[Year]],Costs!$F$4:$I$4,0)),Costs!$A$5:$A$30,AC$4,Costs!$E$5:$E$30,$B10)/SUMIFS(ProductsCalcTable[Volume],ProductsCalcTable[Year],ProductsCalcTable[[#This Row],[Year]],ProductsCalcTable[Department Name],ProductsCalcTable[[#This Row],[Department Name]])*ProductsCalcTable[[#This Row],[Volume]]</f>
        <v>47481.492452967766</v>
      </c>
      <c r="AD10" s="124">
        <f>SUMIFS(INDEX(Costs!$F$5:$I$30,0,MATCH(ProductsCalcTable[[#This Row],[Year]],Costs!$F$4:$I$4,0)),Costs!$A$5:$A$30,AD$4,Costs!$E$5:$E$30,$B10)/SUMIFS(ProductsCalcTable[Volume],ProductsCalcTable[Year],ProductsCalcTable[[#This Row],[Year]],ProductsCalcTable[Department Name],ProductsCalcTable[[#This Row],[Department Name]])*ProductsCalcTable[[#This Row],[Volume]]</f>
        <v>48541.864237699621</v>
      </c>
      <c r="AE10" s="124">
        <f>INDEX(Costs!$AF$15:$AH$29,MATCH(AE$4,Costs!$A$15:$A$29,0),MATCH($B10,Costs!$AF$4:$AH$4,0))/SUMIFS(ProductsCalcTable[Volume],ProductsCalcTable[Year],ProductsCalcTable[[#This Row],[Year]],ProductsCalcTable[Department Name],ProductsCalcTable[[#This Row],[Department Name]])*ProductsCalcTable[[#This Row],[Volume]]</f>
        <v>48916.509883584542</v>
      </c>
      <c r="AG10" s="118">
        <f t="shared" ref="AG10:AI10" si="24">AH10*0.99</f>
        <v>1.994626011730132</v>
      </c>
      <c r="AH10" s="118">
        <f t="shared" si="23"/>
        <v>2.0147737492223556</v>
      </c>
      <c r="AI10" s="118">
        <f t="shared" si="24"/>
        <v>2.0047499992262248</v>
      </c>
      <c r="AJ10" s="118">
        <f>AB10/ProductsCalcTable[[#This Row],[Volume]]</f>
        <v>2.0249999992184087</v>
      </c>
      <c r="AK10" s="80">
        <f>SUMIFS(ProductsCalcTable[#This Row],ProductsCalcTable[#Headers],"Cost Per Unit")-AL10</f>
        <v>0</v>
      </c>
      <c r="AL10" s="80">
        <f t="shared" si="16"/>
        <v>4.4470352901745045</v>
      </c>
      <c r="AM10" s="81">
        <f>SUMIFS(FiancialTable[[#This Row],[Total]:[Other]],FiancialTable[[#Headers],[Total]:[Other]],LEFT(AM$4,LEN(AM$4)-4))/SUMIFS(ProductsCalcTable[#This Row],ProductsCalcTable[#Headers],"Volume")</f>
        <v>0.10620462155740464</v>
      </c>
      <c r="AN10" s="81">
        <f>SUMIFS(FiancialTable[[#This Row],[Total]:[Other]],FiancialTable[[#Headers],[Total]:[Other]],LEFT(AN$4,LEN(AN$4)-4))/SUMIFS(ProductsCalcTable[#This Row],ProductsCalcTable[#Headers],"Volume")</f>
        <v>1.2774645896329826</v>
      </c>
      <c r="AO10" s="85">
        <f t="shared" si="17"/>
        <v>1.3836692111903872</v>
      </c>
      <c r="AP10" s="81">
        <f>SUMIFS(FiancialTable[[#This Row],[Total]:[Other]],FiancialTable[[#Headers],[Total]:[Other]],LEFT(AP$4,LEN(AP$4)-4))/SUMIFS(ProductsCalcTable[#This Row],ProductsCalcTable[#Headers],"Volume")</f>
        <v>0.50539982273569173</v>
      </c>
      <c r="AQ10" s="81">
        <f>SUMIFS(FiancialTable[[#This Row],[Total]:[Other]],FiancialTable[[#Headers],[Total]:[Other]],LEFT(AQ$4,LEN(AQ$4)-4))/SUMIFS(ProductsCalcTable[#This Row],ProductsCalcTable[#Headers],"Volume")</f>
        <v>5.9559491910059686E-2</v>
      </c>
      <c r="AR10" s="85">
        <f t="shared" si="18"/>
        <v>0.56495931464575144</v>
      </c>
      <c r="AS10" s="81">
        <f>SUMIFS(FiancialTable[[#This Row],[Total]:[Other]],FiancialTable[[#Headers],[Total]:[Other]],LEFT(AS$4,LEN(AS$4)-4))/SUMIFS(ProductsCalcTable[#This Row],ProductsCalcTable[#Headers],"Volume")</f>
        <v>0.12958969813735685</v>
      </c>
      <c r="AT10" s="81">
        <f>SUMIFS(FiancialTable[[#This Row],[Total]:[Other]],FiancialTable[[#Headers],[Total]:[Other]],LEFT(AT$4,LEN(AT$4)-4))/SUMIFS(ProductsCalcTable[#This Row],ProductsCalcTable[#Headers],"Volume")</f>
        <v>2.0249999992184087</v>
      </c>
      <c r="AU10" s="81">
        <f>SUMIFS(FiancialTable[[#This Row],[Total]:[Other]],FiancialTable[[#Headers],[Total]:[Other]],LEFT(AU$4,LEN(AU$4)-4))/SUMIFS(ProductsCalcTable[#This Row],ProductsCalcTable[#Headers],"Volume")</f>
        <v>0.1126325548448926</v>
      </c>
      <c r="AV10" s="81">
        <f>SUMIFS(FiancialTable[[#This Row],[Total]:[Other]],FiancialTable[[#Headers],[Total]:[Other]],LEFT(AV$4,LEN(AV$4)-4))/SUMIFS(ProductsCalcTable[#This Row],ProductsCalcTable[#Headers],"Volume")</f>
        <v>0.11514790086772643</v>
      </c>
      <c r="AW10" s="81">
        <f>SUMIFS(FiancialTable[[#This Row],[Total]:[Other]],FiancialTable[[#Headers],[Total]:[Other]],LEFT(AW$4,LEN(AW$4)-4))/SUMIFS(ProductsCalcTable[#This Row],ProductsCalcTable[#Headers],"Volume")</f>
        <v>0.11603661126998119</v>
      </c>
    </row>
    <row r="11" spans="1:49" x14ac:dyDescent="0.3">
      <c r="A11" t="s">
        <v>13</v>
      </c>
      <c r="B11" s="3" t="s">
        <v>73</v>
      </c>
      <c r="C11" t="s">
        <v>11</v>
      </c>
      <c r="D11">
        <v>2023</v>
      </c>
      <c r="E11" s="20">
        <v>10.5</v>
      </c>
      <c r="F11" s="7" cm="1">
        <f t="array" ref="F11">_xlfn.XLOOKUP(ProductsCalcTable[[#This Row],[Products]]&amp;ProductsCalcTable[[#This Row],[Year]],ProductRatesTable[Products]&amp;ProductRatesTable[Year],ProductRatesTable[Share of Retail Costs],"Not Found",0)</f>
        <v>0.5</v>
      </c>
      <c r="G11" s="4">
        <f>SUMIFS(VolumesTable[Volume],VolumesTable[Products],$A11,VolumesTable[Year],ProductsCalcTable[[#This Row],[Year]])</f>
        <v>239840</v>
      </c>
      <c r="H11" s="18">
        <f>ProductsCalcTable[[#This Row],[Retail Price]]*ProductsCalcTable[[#This Row],[Volume]]</f>
        <v>2518320</v>
      </c>
      <c r="I11" s="18">
        <f t="shared" si="10"/>
        <v>1230596.2537705109</v>
      </c>
      <c r="J11" s="27">
        <f>ProductsCalcTable[[#This Row],[Actual Costs]]/ProductsCalcTable[[#This Row],[Volume]]</f>
        <v>5.1309049940398221</v>
      </c>
      <c r="K11" s="27">
        <f>SUMIFS(ProductsCalcTable[Cost Per Unit],ProductsCalcTable[Products],$A11,ProductsCalcTable[Year],$D11-1)</f>
        <v>5.1905089585453732</v>
      </c>
      <c r="M11" s="23">
        <f>INDEX(Costs!$F$5:$J$30,MATCH(M$4,Costs!$C$5:$C$30,0),MATCH($D11,Costs!$F$4:$J$4,0))</f>
        <v>131127.24</v>
      </c>
      <c r="N11" s="23">
        <f>INDEX(Costs!$F$5:$J$30,MATCH(N$4,Costs!$C$5:$C$30,0),MATCH($D11,Costs!$F$4:$J$4,0))</f>
        <v>76490.89</v>
      </c>
      <c r="O11" s="31">
        <v>0.22663078375921428</v>
      </c>
      <c r="P11" s="55">
        <f>(FiancialTable[[#This Row],[Prod''n FTEs]]/ProductsCalcTable[[#This Row],[Volume]])</f>
        <v>1.9484351072027181E-5</v>
      </c>
      <c r="Q11" s="51"/>
      <c r="R11" s="121" t="str">
        <f t="shared" si="13"/>
        <v>Bevel Gears</v>
      </c>
      <c r="S11" s="122">
        <f t="shared" si="14"/>
        <v>2023</v>
      </c>
      <c r="T11" s="123">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0.22663078375921428</v>
      </c>
      <c r="U11" s="123">
        <f>SUMIFS(VolumesTable[Volume],VolumesTable[Products],FiancialTable[[#This Row],[Products]],VolumesTable[Year],FiancialTable[[#This Row],[Year]])/SUMIFS(ProductRatesTable[Production FTE Items per Hour],ProductRatesTable[Products],FiancialTable[[#This Row],[Products]],ProductRatesTable[Year],FiancialTable[[#This Row],[Year]])/2080</f>
        <v>4.6731267611149994</v>
      </c>
      <c r="V11" s="124">
        <f t="shared" si="15"/>
        <v>1230596.2537705109</v>
      </c>
      <c r="W11" s="124">
        <f>FiancialTable[[#This Row],[Mngmt FTEs]]*M11</f>
        <v>29717.469173382589</v>
      </c>
      <c r="X11" s="124">
        <f>FiancialTable[[#This Row],[Prod''n FTEs]]*N11</f>
        <v>357451.62504050368</v>
      </c>
      <c r="Y11" s="124">
        <f>SUMIFS(INDEX(Costs!$AF$15:$AH$29,0,MATCH($B11,Costs!$AF$4:$AH$4,0)),Costs!$A$15:$A$29,Y$4,Costs!$E$15:$E$29,$B11)*$O11</f>
        <v>141417.60906574971</v>
      </c>
      <c r="Z11"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16665.539962993505</v>
      </c>
      <c r="AA11" s="124">
        <f>SUMIFS(INDEX(Costs!$O$6:$AI$30,MATCH(AA$4,Costs!$A$6:$A$30,0),0),Costs!$O$2:$AI$2,FiancialTable[[#This Row],[Year]],Costs!$O$4:$AI$4,ProductsCalcTable[[#This Row],[Department Name]])/SUMIFS(FiancialTable[Prod''n FTEs],ProductsCalcTable[Department Name],ProductsCalcTable[[#This Row],[Department Name]],FiancialTable[Year],FiancialTable[[#This Row],[Year]])*FiancialTable[[#This Row],[Prod''n FTEs]]</f>
        <v>36260.925401474284</v>
      </c>
      <c r="AB11" s="124">
        <f>SUMIFS(ProductRatesTable[Materials CPU],ProductRatesTable[Year],$D11,ProductRatesTable[Products],$A11)*ProductsCalcTable[[#This Row],[Volume]]</f>
        <v>566621.99978130031</v>
      </c>
      <c r="AC11" s="124">
        <f>SUMIFS(INDEX(Costs!$F$5:$I$30,0,MATCH(ProductsCalcTable[[#This Row],[Year]],Costs!$F$4:$I$4,0)),Costs!$A$5:$A$30,AC$4,Costs!$E$5:$E$30,$B11)/SUMIFS(ProductsCalcTable[Volume],ProductsCalcTable[Year],ProductsCalcTable[[#This Row],[Year]],ProductsCalcTable[Department Name],ProductsCalcTable[[#This Row],[Department Name]])*ProductsCalcTable[[#This Row],[Volume]]</f>
        <v>27013.79195399904</v>
      </c>
      <c r="AD11" s="124">
        <f>SUMIFS(INDEX(Costs!$F$5:$I$30,0,MATCH(ProductsCalcTable[[#This Row],[Year]],Costs!$F$4:$I$4,0)),Costs!$A$5:$A$30,AD$4,Costs!$E$5:$E$30,$B11)/SUMIFS(ProductsCalcTable[Volume],ProductsCalcTable[Year],ProductsCalcTable[[#This Row],[Year]],ProductsCalcTable[Department Name],ProductsCalcTable[[#This Row],[Department Name]])*ProductsCalcTable[[#This Row],[Volume]]</f>
        <v>27617.072544115508</v>
      </c>
      <c r="AE11" s="124">
        <f>INDEX(Costs!$AF$15:$AH$29,MATCH(AE$4,Costs!$A$15:$A$29,0),MATCH($B11,Costs!$AF$4:$AH$4,0))/SUMIFS(ProductsCalcTable[Volume],ProductsCalcTable[Year],ProductsCalcTable[[#This Row],[Year]],ProductsCalcTable[Department Name],ProductsCalcTable[[#This Row],[Department Name]])*ProductsCalcTable[[#This Row],[Volume]]</f>
        <v>27830.220846992292</v>
      </c>
      <c r="AG11" s="118">
        <f t="shared" ref="AG11:AI11" si="25">AH11*0.99</f>
        <v>2.3270636803518205</v>
      </c>
      <c r="AH11" s="118">
        <f t="shared" si="23"/>
        <v>2.350569374092748</v>
      </c>
      <c r="AI11" s="118">
        <f t="shared" si="25"/>
        <v>2.3388749990972619</v>
      </c>
      <c r="AJ11" s="118">
        <f>AB11/ProductsCalcTable[[#This Row],[Volume]]</f>
        <v>2.3624999990881435</v>
      </c>
      <c r="AK11" s="80">
        <f>SUMIFS(ProductsCalcTable[#This Row],ProductsCalcTable[#Headers],"Cost Per Unit")-AL11</f>
        <v>0</v>
      </c>
      <c r="AL11" s="80">
        <f t="shared" si="16"/>
        <v>5.1309049940398221</v>
      </c>
      <c r="AM11" s="81">
        <f>SUMIFS(FiancialTable[[#This Row],[Total]:[Other]],FiancialTable[[#Headers],[Total]:[Other]],LEFT(AM$4,LEN(AM$4)-4))/SUMIFS(ProductsCalcTable[#This Row],ProductsCalcTable[#Headers],"Volume")</f>
        <v>0.1239053918169721</v>
      </c>
      <c r="AN11" s="81">
        <f>SUMIFS(FiancialTable[[#This Row],[Total]:[Other]],FiancialTable[[#Headers],[Total]:[Other]],LEFT(AN$4,LEN(AN$4)-4))/SUMIFS(ProductsCalcTable[#This Row],ProductsCalcTable[#Headers],"Volume")</f>
        <v>1.4903753545718132</v>
      </c>
      <c r="AO11" s="85">
        <f t="shared" si="17"/>
        <v>1.6142807463887854</v>
      </c>
      <c r="AP11" s="81">
        <f>SUMIFS(FiancialTable[[#This Row],[Total]:[Other]],FiancialTable[[#Headers],[Total]:[Other]],LEFT(AP$4,LEN(AP$4)-4))/SUMIFS(ProductsCalcTable[#This Row],ProductsCalcTable[#Headers],"Volume")</f>
        <v>0.58963312652497379</v>
      </c>
      <c r="AQ11" s="81">
        <f>SUMIFS(FiancialTable[[#This Row],[Total]:[Other]],FiancialTable[[#Headers],[Total]:[Other]],LEFT(AQ$4,LEN(AQ$4)-4))/SUMIFS(ProductsCalcTable[#This Row],ProductsCalcTable[#Headers],"Volume")</f>
        <v>6.9486073895069653E-2</v>
      </c>
      <c r="AR11" s="85">
        <f t="shared" si="18"/>
        <v>0.65911920042004346</v>
      </c>
      <c r="AS11" s="81">
        <f>SUMIFS(FiancialTable[[#This Row],[Total]:[Other]],FiancialTable[[#Headers],[Total]:[Other]],LEFT(AS$4,LEN(AS$4)-4))/SUMIFS(ProductsCalcTable[#This Row],ProductsCalcTable[#Headers],"Volume")</f>
        <v>0.15118798116024967</v>
      </c>
      <c r="AT11" s="81">
        <f>SUMIFS(FiancialTable[[#This Row],[Total]:[Other]],FiancialTable[[#Headers],[Total]:[Other]],LEFT(AT$4,LEN(AT$4)-4))/SUMIFS(ProductsCalcTable[#This Row],ProductsCalcTable[#Headers],"Volume")</f>
        <v>2.3624999990881435</v>
      </c>
      <c r="AU11" s="81">
        <f>SUMIFS(FiancialTable[[#This Row],[Total]:[Other]],FiancialTable[[#Headers],[Total]:[Other]],LEFT(AU$4,LEN(AU$4)-4))/SUMIFS(ProductsCalcTable[#This Row],ProductsCalcTable[#Headers],"Volume")</f>
        <v>0.1126325548448926</v>
      </c>
      <c r="AV11" s="81">
        <f>SUMIFS(FiancialTable[[#This Row],[Total]:[Other]],FiancialTable[[#Headers],[Total]:[Other]],LEFT(AV$4,LEN(AV$4)-4))/SUMIFS(ProductsCalcTable[#This Row],ProductsCalcTable[#Headers],"Volume")</f>
        <v>0.11514790086772643</v>
      </c>
      <c r="AW11" s="81">
        <f>SUMIFS(FiancialTable[[#This Row],[Total]:[Other]],FiancialTable[[#Headers],[Total]:[Other]],LEFT(AW$4,LEN(AW$4)-4))/SUMIFS(ProductsCalcTable[#This Row],ProductsCalcTable[#Headers],"Volume")</f>
        <v>0.1160366112699812</v>
      </c>
    </row>
    <row r="12" spans="1:49" x14ac:dyDescent="0.3">
      <c r="A12" t="s">
        <v>14</v>
      </c>
      <c r="B12" s="3" t="s">
        <v>73</v>
      </c>
      <c r="C12" t="s">
        <v>11</v>
      </c>
      <c r="D12">
        <v>2023</v>
      </c>
      <c r="E12" s="20">
        <v>12</v>
      </c>
      <c r="F12" s="7" cm="1">
        <f t="array" ref="F12">_xlfn.XLOOKUP(ProductsCalcTable[[#This Row],[Products]]&amp;ProductsCalcTable[[#This Row],[Year]],ProductRatesTable[Products]&amp;ProductRatesTable[Year],ProductRatesTable[Share of Retail Costs],"Not Found",0)</f>
        <v>0.5</v>
      </c>
      <c r="G12" s="4">
        <f>SUMIFS(VolumesTable[Volume],VolumesTable[Products],$A12,VolumesTable[Year],ProductsCalcTable[[#This Row],[Year]])</f>
        <v>196717</v>
      </c>
      <c r="H12" s="18">
        <f>ProductsCalcTable[[#This Row],[Retail Price]]*ProductsCalcTable[[#This Row],[Volume]]</f>
        <v>2360604</v>
      </c>
      <c r="I12" s="18">
        <f t="shared" si="10"/>
        <v>1143865.0342478056</v>
      </c>
      <c r="J12" s="27">
        <f>ProductsCalcTable[[#This Row],[Actual Costs]]/ProductsCalcTable[[#This Row],[Volume]]</f>
        <v>5.8147746979051407</v>
      </c>
      <c r="K12" s="27">
        <f>SUMIFS(ProductsCalcTable[Cost Per Unit],ProductsCalcTable[Products],$A12,ProductsCalcTable[Year],$D12-1)</f>
        <v>5.878899544742227</v>
      </c>
      <c r="M12" s="23">
        <f>INDEX(Costs!$F$5:$J$30,MATCH(M$4,Costs!$C$5:$C$30,0),MATCH($D12,Costs!$F$4:$J$4,0))</f>
        <v>131127.24</v>
      </c>
      <c r="N12" s="23">
        <f>INDEX(Costs!$F$5:$J$30,MATCH(N$4,Costs!$C$5:$C$30,0),MATCH($D12,Costs!$F$4:$J$4,0))</f>
        <v>76490.89</v>
      </c>
      <c r="O12" s="31">
        <v>0.21243747207072025</v>
      </c>
      <c r="P12" s="55">
        <f>(FiancialTable[[#This Row],[Prod''n FTEs]]/ProductsCalcTable[[#This Row],[Volume]])</f>
        <v>2.2267829796602489E-5</v>
      </c>
      <c r="Q12" s="51"/>
      <c r="R12" s="121" t="str">
        <f t="shared" si="13"/>
        <v>Worm Gears 2mm Hole 6mmx8mm</v>
      </c>
      <c r="S12" s="122">
        <f t="shared" si="14"/>
        <v>2023</v>
      </c>
      <c r="T12" s="123">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0.21243747207072022</v>
      </c>
      <c r="U12" s="123">
        <f>SUMIFS(VolumesTable[Volume],VolumesTable[Products],FiancialTable[[#This Row],[Products]],VolumesTable[Year],FiancialTable[[#This Row],[Year]])/SUMIFS(ProductRatesTable[Production FTE Items per Hour],ProductRatesTable[Products],FiancialTable[[#This Row],[Products]],ProductRatesTable[Year],FiancialTable[[#This Row],[Year]])/2080</f>
        <v>4.3804606740982521</v>
      </c>
      <c r="V12" s="124">
        <f t="shared" si="15"/>
        <v>1143865.0342478056</v>
      </c>
      <c r="W12" s="124">
        <f>FiancialTable[[#This Row],[Mngmt FTEs]]*M12</f>
        <v>27856.339385210627</v>
      </c>
      <c r="X12" s="124">
        <f>FiancialTable[[#This Row],[Prod''n FTEs]]*N12</f>
        <v>335065.33557177527</v>
      </c>
      <c r="Y12" s="124">
        <f>SUMIFS(INDEX(Costs!$AF$15:$AH$29,0,MATCH($B12,Costs!$AF$4:$AH$4,0)),Costs!$A$15:$A$29,Y$4,Costs!$E$15:$E$29,$B12)*$O12</f>
        <v>132560.98257212943</v>
      </c>
      <c r="Z12"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15621.819426761616</v>
      </c>
      <c r="AA12" s="124">
        <f>SUMIFS(INDEX(Costs!$O$6:$AI$30,MATCH(AA$4,Costs!$A$6:$A$30,0),0),Costs!$O$2:$AI$2,FiancialTable[[#This Row],[Year]],Costs!$O$4:$AI$4,ProductsCalcTable[[#This Row],[Department Name]])/SUMIFS(FiancialTable[Prod''n FTEs],ProductsCalcTable[Department Name],ProductsCalcTable[[#This Row],[Department Name]],FiancialTable[Year],FiancialTable[[#This Row],[Year]])*FiancialTable[[#This Row],[Prod''n FTEs]]</f>
        <v>33989.995531315239</v>
      </c>
      <c r="AB12" s="124">
        <f>SUMIFS(ProductRatesTable[Materials CPU],ProductRatesTable[Year],$D12,ProductRatesTable[Products],$A12)*ProductsCalcTable[[#This Row],[Volume]]</f>
        <v>531135.89979499707</v>
      </c>
      <c r="AC12" s="124">
        <f>SUMIFS(INDEX(Costs!$F$5:$I$30,0,MATCH(ProductsCalcTable[[#This Row],[Year]],Costs!$F$4:$I$4,0)),Costs!$A$5:$A$30,AC$4,Costs!$E$5:$E$30,$B12)/SUMIFS(ProductsCalcTable[Volume],ProductsCalcTable[Year],ProductsCalcTable[[#This Row],[Year]],ProductsCalcTable[Department Name],ProductsCalcTable[[#This Row],[Department Name]])*ProductsCalcTable[[#This Row],[Volume]]</f>
        <v>22156.738291422738</v>
      </c>
      <c r="AD12" s="124">
        <f>SUMIFS(INDEX(Costs!$F$5:$I$30,0,MATCH(ProductsCalcTable[[#This Row],[Year]],Costs!$F$4:$I$4,0)),Costs!$A$5:$A$30,AD$4,Costs!$E$5:$E$30,$B12)/SUMIFS(ProductsCalcTable[Volume],ProductsCalcTable[Year],ProductsCalcTable[[#This Row],[Year]],ProductsCalcTable[Department Name],ProductsCalcTable[[#This Row],[Department Name]])*ProductsCalcTable[[#This Row],[Volume]]</f>
        <v>22651.54961499654</v>
      </c>
      <c r="AE12" s="124">
        <f>INDEX(Costs!$AF$15:$AH$29,MATCH(AE$4,Costs!$A$15:$A$29,0),MATCH($B12,Costs!$AF$4:$AH$4,0))/SUMIFS(ProductsCalcTable[Volume],ProductsCalcTable[Year],ProductsCalcTable[[#This Row],[Year]],ProductsCalcTable[Department Name],ProductsCalcTable[[#This Row],[Department Name]])*ProductsCalcTable[[#This Row],[Volume]]</f>
        <v>22826.374059196893</v>
      </c>
      <c r="AG12" s="118">
        <f t="shared" ref="AG12:AI12" si="26">AH12*0.99</f>
        <v>2.6595013489735102</v>
      </c>
      <c r="AH12" s="118">
        <f t="shared" si="23"/>
        <v>2.6863649989631417</v>
      </c>
      <c r="AI12" s="118">
        <f t="shared" si="26"/>
        <v>2.6729999989683004</v>
      </c>
      <c r="AJ12" s="118">
        <f>AB12/ProductsCalcTable[[#This Row],[Volume]]</f>
        <v>2.6999999989578791</v>
      </c>
      <c r="AK12" s="80">
        <f>SUMIFS(ProductsCalcTable[#This Row],ProductsCalcTable[#Headers],"Cost Per Unit")-AL12</f>
        <v>0</v>
      </c>
      <c r="AL12" s="80">
        <f t="shared" si="16"/>
        <v>5.8147746979051398</v>
      </c>
      <c r="AM12" s="81">
        <f>SUMIFS(FiancialTable[[#This Row],[Total]:[Other]],FiancialTable[[#Headers],[Total]:[Other]],LEFT(AM$4,LEN(AM$4)-4))/SUMIFS(ProductsCalcTable[#This Row],ProductsCalcTable[#Headers],"Volume")</f>
        <v>0.14160616207653953</v>
      </c>
      <c r="AN12" s="81">
        <f>SUMIFS(FiancialTable[[#This Row],[Total]:[Other]],FiancialTable[[#Headers],[Total]:[Other]],LEFT(AN$4,LEN(AN$4)-4))/SUMIFS(ProductsCalcTable[#This Row],ProductsCalcTable[#Headers],"Volume")</f>
        <v>1.7032861195106435</v>
      </c>
      <c r="AO12" s="85">
        <f t="shared" si="17"/>
        <v>1.8448922815871831</v>
      </c>
      <c r="AP12" s="81">
        <f>SUMIFS(FiancialTable[[#This Row],[Total]:[Other]],FiancialTable[[#Headers],[Total]:[Other]],LEFT(AP$4,LEN(AP$4)-4))/SUMIFS(ProductsCalcTable[#This Row],ProductsCalcTable[#Headers],"Volume")</f>
        <v>0.67386643031425564</v>
      </c>
      <c r="AQ12" s="81">
        <f>SUMIFS(FiancialTable[[#This Row],[Total]:[Other]],FiancialTable[[#Headers],[Total]:[Other]],LEFT(AQ$4,LEN(AQ$4)-4))/SUMIFS(ProductsCalcTable[#This Row],ProductsCalcTable[#Headers],"Volume")</f>
        <v>7.9412655880079591E-2</v>
      </c>
      <c r="AR12" s="85">
        <f t="shared" si="18"/>
        <v>0.75327908619433526</v>
      </c>
      <c r="AS12" s="81">
        <f>SUMIFS(FiancialTable[[#This Row],[Total]:[Other]],FiancialTable[[#Headers],[Total]:[Other]],LEFT(AS$4,LEN(AS$4)-4))/SUMIFS(ProductsCalcTable[#This Row],ProductsCalcTable[#Headers],"Volume")</f>
        <v>0.17278626418314247</v>
      </c>
      <c r="AT12" s="81">
        <f>SUMIFS(FiancialTable[[#This Row],[Total]:[Other]],FiancialTable[[#Headers],[Total]:[Other]],LEFT(AT$4,LEN(AT$4)-4))/SUMIFS(ProductsCalcTable[#This Row],ProductsCalcTable[#Headers],"Volume")</f>
        <v>2.6999999989578791</v>
      </c>
      <c r="AU12" s="81">
        <f>SUMIFS(FiancialTable[[#This Row],[Total]:[Other]],FiancialTable[[#Headers],[Total]:[Other]],LEFT(AU$4,LEN(AU$4)-4))/SUMIFS(ProductsCalcTable[#This Row],ProductsCalcTable[#Headers],"Volume")</f>
        <v>0.11263255484489261</v>
      </c>
      <c r="AV12" s="81">
        <f>SUMIFS(FiancialTable[[#This Row],[Total]:[Other]],FiancialTable[[#Headers],[Total]:[Other]],LEFT(AV$4,LEN(AV$4)-4))/SUMIFS(ProductsCalcTable[#This Row],ProductsCalcTable[#Headers],"Volume")</f>
        <v>0.11514790086772643</v>
      </c>
      <c r="AW12" s="81">
        <f>SUMIFS(FiancialTable[[#This Row],[Total]:[Other]],FiancialTable[[#Headers],[Total]:[Other]],LEFT(AW$4,LEN(AW$4)-4))/SUMIFS(ProductsCalcTable[#This Row],ProductsCalcTable[#Headers],"Volume")</f>
        <v>0.1160366112699812</v>
      </c>
    </row>
    <row r="13" spans="1:49" x14ac:dyDescent="0.3">
      <c r="A13" t="s">
        <v>17</v>
      </c>
      <c r="B13" s="3" t="s">
        <v>21</v>
      </c>
      <c r="C13" t="s">
        <v>12</v>
      </c>
      <c r="D13">
        <v>2023</v>
      </c>
      <c r="E13" s="20">
        <v>22</v>
      </c>
      <c r="F13" s="7" cm="1">
        <f t="array" ref="F13">_xlfn.XLOOKUP(ProductsCalcTable[[#This Row],[Products]]&amp;ProductsCalcTable[[#This Row],[Year]],ProductRatesTable[Products]&amp;ProductRatesTable[Year],ProductRatesTable[Share of Retail Costs],"Not Found",0)</f>
        <v>0.5</v>
      </c>
      <c r="G13" s="4">
        <f>SUMIFS(VolumesTable[Volume],VolumesTable[Products],$A13,VolumesTable[Year],ProductsCalcTable[[#This Row],[Year]])</f>
        <v>243190</v>
      </c>
      <c r="H13" s="18">
        <f>ProductsCalcTable[[#This Row],[Retail Price]]*ProductsCalcTable[[#This Row],[Volume]]</f>
        <v>5350180</v>
      </c>
      <c r="I13" s="18">
        <f t="shared" si="10"/>
        <v>2760652.9235335221</v>
      </c>
      <c r="J13" s="27">
        <f>ProductsCalcTable[[#This Row],[Actual Costs]]/ProductsCalcTable[[#This Row],[Volume]]</f>
        <v>11.351835698562942</v>
      </c>
      <c r="K13" s="27">
        <f>SUMIFS(ProductsCalcTable[Cost Per Unit],ProductsCalcTable[Products],$A13,ProductsCalcTable[Year],$D13-1)</f>
        <v>11.41188750430606</v>
      </c>
      <c r="M13" s="23">
        <f>INDEX(Costs!$F$5:$J$30,MATCH(M$4,Costs!$C$5:$C$30,0),MATCH($D13,Costs!$F$4:$J$4,0))</f>
        <v>131127.24</v>
      </c>
      <c r="N13" s="23">
        <f>INDEX(Costs!$F$5:$J$30,MATCH(N$4,Costs!$C$5:$C$30,0),MATCH($D13,Costs!$F$4:$J$4,0))</f>
        <v>76490.89</v>
      </c>
      <c r="O13" s="32">
        <v>0.14409526234757219</v>
      </c>
      <c r="P13" s="55">
        <f>(FiancialTable[[#This Row],[Prod''n FTEs]]/ProductsCalcTable[[#This Row],[Volume]])</f>
        <v>3.9035305248809791E-5</v>
      </c>
      <c r="Q13" s="51"/>
      <c r="R13" s="121" t="str">
        <f t="shared" si="13"/>
        <v>60-Tooth Saw blade</v>
      </c>
      <c r="S13" s="122">
        <f t="shared" si="14"/>
        <v>2023</v>
      </c>
      <c r="T13" s="123">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0.50433341821650257</v>
      </c>
      <c r="U13" s="123">
        <f>SUMIFS(VolumesTable[Volume],VolumesTable[Products],FiancialTable[[#This Row],[Products]],VolumesTable[Year],FiancialTable[[#This Row],[Year]])/SUMIFS(ProductRatesTable[Production FTE Items per Hour],ProductRatesTable[Products],FiancialTable[[#This Row],[Products]],ProductRatesTable[Year],FiancialTable[[#This Row],[Year]])/2080</f>
        <v>9.4929958834580539</v>
      </c>
      <c r="V13" s="124">
        <f t="shared" si="15"/>
        <v>2760652.9235335221</v>
      </c>
      <c r="W13" s="124">
        <f>FiancialTable[[#This Row],[Mngmt FTEs]]*M13</f>
        <v>66131.849170495698</v>
      </c>
      <c r="X13" s="124">
        <f>FiancialTable[[#This Row],[Prod''n FTEs]]*N13</f>
        <v>726127.70389204286</v>
      </c>
      <c r="Y13" s="124">
        <f>SUMIFS(INDEX(Costs!$AF$15:$AH$29,0,MATCH($B13,Costs!$AF$4:$AH$4,0)),Costs!$A$15:$A$29,Y$4,Costs!$E$15:$E$29,$B13)*$O13</f>
        <v>289343.28679392498</v>
      </c>
      <c r="Z13"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34098.031645027389</v>
      </c>
      <c r="AA13" s="124">
        <f>SUMIFS(INDEX(Costs!$O$6:$AI$30,MATCH(AA$4,Costs!$A$6:$A$30,0),0),Costs!$O$2:$AI$2,FiancialTable[[#This Row],[Year]],Costs!$O$4:$AI$4,ProductsCalcTable[[#This Row],[Department Name]])/SUMIFS(FiancialTable[Prod''n FTEs],ProductsCalcTable[Department Name],ProductsCalcTable[[#This Row],[Department Name]],FiancialTable[Year],FiancialTable[[#This Row],[Year]])*FiancialTable[[#This Row],[Prod''n FTEs]]</f>
        <v>72047.631173786081</v>
      </c>
      <c r="AB13" s="124">
        <f>SUMIFS(ProductRatesTable[Materials CPU],ProductRatesTable[Year],$D13,ProductRatesTable[Products],$A13)*ProductsCalcTable[[#This Row],[Volume]]</f>
        <v>1203790.499535372</v>
      </c>
      <c r="AC13" s="124">
        <f>SUMIFS(INDEX(Costs!$F$5:$I$30,0,MATCH(ProductsCalcTable[[#This Row],[Year]],Costs!$F$4:$I$4,0)),Costs!$A$5:$A$30,AC$4,Costs!$E$5:$E$30,$B13)/SUMIFS(ProductsCalcTable[Volume],ProductsCalcTable[Year],ProductsCalcTable[[#This Row],[Year]],ProductsCalcTable[Department Name],ProductsCalcTable[[#This Row],[Department Name]])*ProductsCalcTable[[#This Row],[Volume]]</f>
        <v>53404.941761776659</v>
      </c>
      <c r="AD13" s="124">
        <f>SUMIFS(INDEX(Costs!$F$5:$I$30,0,MATCH(ProductsCalcTable[[#This Row],[Year]],Costs!$F$4:$I$4,0)),Costs!$A$5:$A$30,AD$4,Costs!$E$5:$E$30,$B13)/SUMIFS(ProductsCalcTable[Volume],ProductsCalcTable[Year],ProductsCalcTable[[#This Row],[Year]],ProductsCalcTable[Department Name],ProductsCalcTable[[#This Row],[Department Name]])*ProductsCalcTable[[#This Row],[Volume]]</f>
        <v>157595.45422527025</v>
      </c>
      <c r="AE13" s="124">
        <f>INDEX(Costs!$AF$15:$AH$29,MATCH(AE$4,Costs!$A$15:$A$29,0),MATCH($B13,Costs!$AF$4:$AH$4,0))/SUMIFS(ProductsCalcTable[Volume],ProductsCalcTable[Year],ProductsCalcTable[[#This Row],[Year]],ProductsCalcTable[Department Name],ProductsCalcTable[[#This Row],[Department Name]])*ProductsCalcTable[[#This Row],[Volume]]</f>
        <v>158113.5253358263</v>
      </c>
      <c r="AG13" s="118">
        <f t="shared" ref="AG13:AI13" si="27">AH13*0.99</f>
        <v>4.80298004814619</v>
      </c>
      <c r="AH13" s="118">
        <f t="shared" si="27"/>
        <v>4.8514949981274649</v>
      </c>
      <c r="AI13" s="118">
        <f t="shared" si="27"/>
        <v>4.9004999981085504</v>
      </c>
      <c r="AJ13" s="118">
        <f>AB13/ProductsCalcTable[[#This Row],[Volume]]</f>
        <v>4.9499999980894449</v>
      </c>
      <c r="AK13" s="80">
        <f>SUMIFS(ProductsCalcTable[#This Row],ProductsCalcTable[#Headers],"Cost Per Unit")-AL13</f>
        <v>0</v>
      </c>
      <c r="AL13" s="80">
        <f t="shared" si="16"/>
        <v>11.351835698562944</v>
      </c>
      <c r="AM13" s="81">
        <f>SUMIFS(FiancialTable[[#This Row],[Total]:[Other]],FiancialTable[[#Headers],[Total]:[Other]],LEFT(AM$4,LEN(AM$4)-4))/SUMIFS(ProductsCalcTable[#This Row],ProductsCalcTable[#Headers],"Volume")</f>
        <v>0.27193490345201571</v>
      </c>
      <c r="AN13" s="81">
        <f>SUMIFS(FiancialTable[[#This Row],[Total]:[Other]],FiancialTable[[#Headers],[Total]:[Other]],LEFT(AN$4,LEN(AN$4)-4))/SUMIFS(ProductsCalcTable[#This Row],ProductsCalcTable[#Headers],"Volume")</f>
        <v>2.9858452399031328</v>
      </c>
      <c r="AO13" s="85">
        <f t="shared" si="17"/>
        <v>3.2577801433551485</v>
      </c>
      <c r="AP13" s="81">
        <f>SUMIFS(FiancialTable[[#This Row],[Total]:[Other]],FiancialTable[[#Headers],[Total]:[Other]],LEFT(AP$4,LEN(AP$4)-4))/SUMIFS(ProductsCalcTable[#This Row],ProductsCalcTable[#Headers],"Volume")</f>
        <v>1.1897828315059211</v>
      </c>
      <c r="AQ13" s="81">
        <f>SUMIFS(FiancialTable[[#This Row],[Total]:[Other]],FiancialTable[[#Headers],[Total]:[Other]],LEFT(AQ$4,LEN(AQ$4)-4))/SUMIFS(ProductsCalcTable[#This Row],ProductsCalcTable[#Headers],"Volume")</f>
        <v>0.14021148749959864</v>
      </c>
      <c r="AR13" s="85">
        <f t="shared" si="18"/>
        <v>1.3299943190055197</v>
      </c>
      <c r="AS13" s="81">
        <f>SUMIFS(FiancialTable[[#This Row],[Total]:[Other]],FiancialTable[[#Headers],[Total]:[Other]],LEFT(AS$4,LEN(AS$4)-4))/SUMIFS(ProductsCalcTable[#This Row],ProductsCalcTable[#Headers],"Volume")</f>
        <v>0.29626066521561778</v>
      </c>
      <c r="AT13" s="81">
        <f>SUMIFS(FiancialTable[[#This Row],[Total]:[Other]],FiancialTable[[#Headers],[Total]:[Other]],LEFT(AT$4,LEN(AT$4)-4))/SUMIFS(ProductsCalcTable[#This Row],ProductsCalcTable[#Headers],"Volume")</f>
        <v>4.9499999980894449</v>
      </c>
      <c r="AU13" s="81">
        <f>SUMIFS(FiancialTable[[#This Row],[Total]:[Other]],FiancialTable[[#Headers],[Total]:[Other]],LEFT(AU$4,LEN(AU$4)-4))/SUMIFS(ProductsCalcTable[#This Row],ProductsCalcTable[#Headers],"Volume")</f>
        <v>0.21960171784109814</v>
      </c>
      <c r="AV13" s="81">
        <f>SUMIFS(FiancialTable[[#This Row],[Total]:[Other]],FiancialTable[[#Headers],[Total]:[Other]],LEFT(AV$4,LEN(AV$4)-4))/SUMIFS(ProductsCalcTable[#This Row],ProductsCalcTable[#Headers],"Volume")</f>
        <v>0.64803427042752682</v>
      </c>
      <c r="AW13" s="81">
        <f>SUMIFS(FiancialTable[[#This Row],[Total]:[Other]],FiancialTable[[#Headers],[Total]:[Other]],LEFT(AW$4,LEN(AW$4)-4))/SUMIFS(ProductsCalcTable[#This Row],ProductsCalcTable[#Headers],"Volume")</f>
        <v>0.65016458462858795</v>
      </c>
    </row>
    <row r="14" spans="1:49" x14ac:dyDescent="0.3">
      <c r="A14" t="s">
        <v>19</v>
      </c>
      <c r="B14" s="3" t="s">
        <v>21</v>
      </c>
      <c r="C14" t="s">
        <v>12</v>
      </c>
      <c r="D14">
        <v>2023</v>
      </c>
      <c r="E14" s="20">
        <v>45</v>
      </c>
      <c r="F14" s="7" cm="1">
        <f t="array" ref="F14">_xlfn.XLOOKUP(ProductsCalcTable[[#This Row],[Products]]&amp;ProductsCalcTable[[#This Row],[Year]],ProductRatesTable[Products]&amp;ProductRatesTable[Year],ProductRatesTable[Share of Retail Costs],"Not Found",0)</f>
        <v>0.5</v>
      </c>
      <c r="G14" s="4">
        <f>SUMIFS(VolumesTable[Volume],VolumesTable[Products],$A14,VolumesTable[Year],ProductsCalcTable[[#This Row],[Year]])</f>
        <v>225629</v>
      </c>
      <c r="H14" s="18">
        <f>ProductsCalcTable[[#This Row],[Retail Price]]*ProductsCalcTable[[#This Row],[Volume]]</f>
        <v>10153305</v>
      </c>
      <c r="I14" s="18">
        <f t="shared" si="10"/>
        <v>4881003.3714439301</v>
      </c>
      <c r="J14" s="27">
        <f>ProductsCalcTable[[#This Row],[Actual Costs]]/ProductsCalcTable[[#This Row],[Volume]]</f>
        <v>21.632872420849846</v>
      </c>
      <c r="K14" s="27">
        <f>SUMIFS(ProductsCalcTable[Cost Per Unit],ProductsCalcTable[Products],$A14,ProductsCalcTable[Year],$D14-1)</f>
        <v>21.911962278812954</v>
      </c>
      <c r="M14" s="23">
        <f>INDEX(Costs!$F$5:$J$30,MATCH(M$4,Costs!$C$5:$C$30,0),MATCH($D14,Costs!$F$4:$J$4,0))</f>
        <v>131127.24</v>
      </c>
      <c r="N14" s="23">
        <f>INDEX(Costs!$F$5:$J$30,MATCH(N$4,Costs!$C$5:$C$30,0),MATCH($D14,Costs!$F$4:$J$4,0))</f>
        <v>76490.89</v>
      </c>
      <c r="O14" s="32">
        <v>0.27345680849427806</v>
      </c>
      <c r="P14" s="55">
        <f>(FiancialTable[[#This Row],[Prod''n FTEs]]/ProductsCalcTable[[#This Row],[Volume]])</f>
        <v>7.9844942554383681E-5</v>
      </c>
      <c r="Q14" s="51"/>
      <c r="R14" s="121" t="str">
        <f t="shared" si="13"/>
        <v>Metal Cutting Circular Saw Blade</v>
      </c>
      <c r="S14" s="122">
        <f t="shared" si="14"/>
        <v>2023</v>
      </c>
      <c r="T14" s="123">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0.95709882972997318</v>
      </c>
      <c r="U14" s="123">
        <f>SUMIFS(VolumesTable[Volume],VolumesTable[Products],FiancialTable[[#This Row],[Products]],VolumesTable[Year],FiancialTable[[#This Row],[Year]])/SUMIFS(ProductRatesTable[Production FTE Items per Hour],ProductRatesTable[Products],FiancialTable[[#This Row],[Products]],ProductRatesTable[Year],FiancialTable[[#This Row],[Year]])/2080</f>
        <v>18.015334543603036</v>
      </c>
      <c r="V14" s="124">
        <f t="shared" si="15"/>
        <v>4881003.3714439301</v>
      </c>
      <c r="W14" s="124">
        <f>FiancialTable[[#This Row],[Mngmt FTEs]]*M14</f>
        <v>125501.72794972132</v>
      </c>
      <c r="X14" s="124">
        <f>FiancialTable[[#This Row],[Prod''n FTEs]]*N14</f>
        <v>1378008.97288794</v>
      </c>
      <c r="Y14" s="124">
        <f>SUMIFS(INDEX(Costs!$AF$15:$AH$29,0,MATCH($B14,Costs!$AF$4:$AH$4,0)),Costs!$A$15:$A$29,Y$4,Costs!$E$15:$E$29,$B14)*$O14</f>
        <v>549101.27145651029</v>
      </c>
      <c r="Z14"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64709.545322141472</v>
      </c>
      <c r="AA14" s="124">
        <f>SUMIFS(INDEX(Costs!$O$6:$AI$30,MATCH(AA$4,Costs!$A$6:$A$30,0),0),Costs!$O$2:$AI$2,FiancialTable[[#This Row],[Year]],Costs!$O$4:$AI$4,ProductsCalcTable[[#This Row],[Department Name]])/SUMIFS(FiancialTable[Prod''n FTEs],ProductsCalcTable[Department Name],ProductsCalcTable[[#This Row],[Department Name]],FiancialTable[Year],FiancialTable[[#This Row],[Year]])*FiancialTable[[#This Row],[Prod''n FTEs]]</f>
        <v>136728.404247139</v>
      </c>
      <c r="AB14" s="124">
        <f>SUMIFS(ProductRatesTable[Materials CPU],ProductRatesTable[Year],$D14,ProductRatesTable[Products],$A14)*ProductsCalcTable[[#This Row],[Volume]]</f>
        <v>2284493.6241182522</v>
      </c>
      <c r="AC14" s="124">
        <f>SUMIFS(INDEX(Costs!$F$5:$I$30,0,MATCH(ProductsCalcTable[[#This Row],[Year]],Costs!$F$4:$I$4,0)),Costs!$A$5:$A$30,AC$4,Costs!$E$5:$E$30,$B14)/SUMIFS(ProductsCalcTable[Volume],ProductsCalcTable[Year],ProductsCalcTable[[#This Row],[Year]],ProductsCalcTable[Department Name],ProductsCalcTable[[#This Row],[Department Name]])*ProductsCalcTable[[#This Row],[Volume]]</f>
        <v>49548.515994769135</v>
      </c>
      <c r="AD14" s="124">
        <f>SUMIFS(INDEX(Costs!$F$5:$I$30,0,MATCH(ProductsCalcTable[[#This Row],[Year]],Costs!$F$4:$I$4,0)),Costs!$A$5:$A$30,AD$4,Costs!$E$5:$E$30,$B14)/SUMIFS(ProductsCalcTable[Volume],ProductsCalcTable[Year],ProductsCalcTable[[#This Row],[Year]],ProductsCalcTable[Department Name],ProductsCalcTable[[#This Row],[Department Name]])*ProductsCalcTable[[#This Row],[Volume]]</f>
        <v>146215.32440229243</v>
      </c>
      <c r="AE14" s="124">
        <f>INDEX(Costs!$AF$15:$AH$29,MATCH(AE$4,Costs!$A$15:$A$29,0),MATCH($B14,Costs!$AF$4:$AH$4,0))/SUMIFS(ProductsCalcTable[Volume],ProductsCalcTable[Year],ProductsCalcTable[[#This Row],[Year]],ProductsCalcTable[Department Name],ProductsCalcTable[[#This Row],[Department Name]])*ProductsCalcTable[[#This Row],[Volume]]</f>
        <v>146695.98506516367</v>
      </c>
      <c r="AG14" s="118">
        <f t="shared" ref="AG14:AH14" si="28">AH14*0.99</f>
        <v>9.9731300586506606</v>
      </c>
      <c r="AH14" s="118">
        <f t="shared" si="28"/>
        <v>10.073868746111778</v>
      </c>
      <c r="AI14" s="118">
        <f>AJ14*1.005</f>
        <v>10.175624996072504</v>
      </c>
      <c r="AJ14" s="118">
        <f>AB14/ProductsCalcTable[[#This Row],[Volume]]</f>
        <v>10.124999996092045</v>
      </c>
      <c r="AK14" s="80">
        <f>SUMIFS(ProductsCalcTable[#This Row],ProductsCalcTable[#Headers],"Cost Per Unit")-AL14</f>
        <v>0</v>
      </c>
      <c r="AL14" s="80">
        <f t="shared" si="16"/>
        <v>21.632872420849839</v>
      </c>
      <c r="AM14" s="81">
        <f>SUMIFS(FiancialTable[[#This Row],[Total]:[Other]],FiancialTable[[#Headers],[Total]:[Other]],LEFT(AM$4,LEN(AM$4)-4))/SUMIFS(ProductsCalcTable[#This Row],ProductsCalcTable[#Headers],"Volume")</f>
        <v>0.55623048433366862</v>
      </c>
      <c r="AN14" s="81">
        <f>SUMIFS(FiancialTable[[#This Row],[Total]:[Other]],FiancialTable[[#Headers],[Total]:[Other]],LEFT(AN$4,LEN(AN$4)-4))/SUMIFS(ProductsCalcTable[#This Row],ProductsCalcTable[#Headers],"Volume")</f>
        <v>6.1074107179836812</v>
      </c>
      <c r="AO14" s="85">
        <f t="shared" si="17"/>
        <v>6.6636412023173497</v>
      </c>
      <c r="AP14" s="81">
        <f>SUMIFS(FiancialTable[[#This Row],[Total]:[Other]],FiancialTable[[#Headers],[Total]:[Other]],LEFT(AP$4,LEN(AP$4)-4))/SUMIFS(ProductsCalcTable[#This Row],ProductsCalcTable[#Headers],"Volume")</f>
        <v>2.4336467008075657</v>
      </c>
      <c r="AQ14" s="81">
        <f>SUMIFS(FiancialTable[[#This Row],[Total]:[Other]],FiancialTable[[#Headers],[Total]:[Other]],LEFT(AQ$4,LEN(AQ$4)-4))/SUMIFS(ProductsCalcTable[#This Row],ProductsCalcTable[#Headers],"Volume")</f>
        <v>0.28679622443099723</v>
      </c>
      <c r="AR14" s="85">
        <f t="shared" si="18"/>
        <v>2.7204429252385629</v>
      </c>
      <c r="AS14" s="81">
        <f>SUMIFS(FiancialTable[[#This Row],[Total]:[Other]],FiancialTable[[#Headers],[Total]:[Other]],LEFT(AS$4,LEN(AS$4)-4))/SUMIFS(ProductsCalcTable[#This Row],ProductsCalcTable[#Headers],"Volume")</f>
        <v>0.60598772430467274</v>
      </c>
      <c r="AT14" s="81">
        <f>SUMIFS(FiancialTable[[#This Row],[Total]:[Other]],FiancialTable[[#Headers],[Total]:[Other]],LEFT(AT$4,LEN(AT$4)-4))/SUMIFS(ProductsCalcTable[#This Row],ProductsCalcTable[#Headers],"Volume")</f>
        <v>10.124999996092045</v>
      </c>
      <c r="AU14" s="81">
        <f>SUMIFS(FiancialTable[[#This Row],[Total]:[Other]],FiancialTable[[#Headers],[Total]:[Other]],LEFT(AU$4,LEN(AU$4)-4))/SUMIFS(ProductsCalcTable[#This Row],ProductsCalcTable[#Headers],"Volume")</f>
        <v>0.21960171784109817</v>
      </c>
      <c r="AV14" s="81">
        <f>SUMIFS(FiancialTable[[#This Row],[Total]:[Other]],FiancialTable[[#Headers],[Total]:[Other]],LEFT(AV$4,LEN(AV$4)-4))/SUMIFS(ProductsCalcTable[#This Row],ProductsCalcTable[#Headers],"Volume")</f>
        <v>0.6480342704275267</v>
      </c>
      <c r="AW14" s="81">
        <f>SUMIFS(FiancialTable[[#This Row],[Total]:[Other]],FiancialTable[[#Headers],[Total]:[Other]],LEFT(AW$4,LEN(AW$4)-4))/SUMIFS(ProductsCalcTable[#This Row],ProductsCalcTable[#Headers],"Volume")</f>
        <v>0.65016458462858795</v>
      </c>
    </row>
    <row r="15" spans="1:49" x14ac:dyDescent="0.3">
      <c r="A15" t="s">
        <v>18</v>
      </c>
      <c r="B15" s="3" t="s">
        <v>21</v>
      </c>
      <c r="C15" t="s">
        <v>12</v>
      </c>
      <c r="D15">
        <v>2023</v>
      </c>
      <c r="E15" s="20" cm="1">
        <f t="array" ref="E15">_xlfn.XLOOKUP(ProductsCalcTable[[#This Row],[Products]]&amp;ProductsCalcTable[[#This Row],[Year]],ProductRatesTable[Products]&amp;ProductRatesTable[Year],ProductRatesTable[Retail Price],"Not Found",0)</f>
        <v>115</v>
      </c>
      <c r="F15" s="7" cm="1">
        <f t="array" ref="F15">_xlfn.XLOOKUP(ProductsCalcTable[[#This Row],[Products]]&amp;ProductsCalcTable[[#This Row],[Year]],ProductRatesTable[Products]&amp;ProductRatesTable[Year],ProductRatesTable[Share of Retail Costs],"Not Found",0)</f>
        <v>0.5</v>
      </c>
      <c r="G15" s="4">
        <f>SUMIFS(VolumesTable[Volume],VolumesTable[Products],$A15,VolumesTable[Year],ProductsCalcTable[[#This Row],[Year]])</f>
        <v>188052</v>
      </c>
      <c r="H15" s="18">
        <f>ProductsCalcTable[[#This Row],[Retail Price]]*ProductsCalcTable[[#This Row],[Volume]]</f>
        <v>21625980</v>
      </c>
      <c r="I15" s="18">
        <f t="shared" si="10"/>
        <v>9952273.0218319464</v>
      </c>
      <c r="J15" s="27">
        <f>ProductsCalcTable[[#This Row],[Actual Costs]]/ProductsCalcTable[[#This Row],[Volume]]</f>
        <v>52.92298418433171</v>
      </c>
      <c r="K15" s="27">
        <f>SUMIFS(ProductsCalcTable[Cost Per Unit],ProductsCalcTable[Products],$A15,ProductsCalcTable[Year],$D15-1)</f>
        <v>53.714879198512293</v>
      </c>
      <c r="M15" s="23">
        <f>INDEX(Costs!$F$5:$J$30,MATCH(M$4,Costs!$C$5:$C$30,0),MATCH($D15,Costs!$F$4:$J$4,0))</f>
        <v>131127.24</v>
      </c>
      <c r="N15" s="23">
        <f>INDEX(Costs!$F$5:$J$30,MATCH(N$4,Costs!$C$5:$C$30,0),MATCH($D15,Costs!$F$4:$J$4,0))</f>
        <v>76490.89</v>
      </c>
      <c r="O15" s="32">
        <v>0.58244792915814969</v>
      </c>
      <c r="P15" s="55">
        <f>(FiancialTable[[#This Row],[Prod''n FTEs]]/ProductsCalcTable[[#This Row],[Volume]])</f>
        <v>2.0404818652786943E-4</v>
      </c>
      <c r="Q15" s="51"/>
      <c r="R15" s="121" t="str">
        <f t="shared" si="13"/>
        <v>Diamond Circular Saw Blade</v>
      </c>
      <c r="S15" s="122">
        <f t="shared" si="14"/>
        <v>2023</v>
      </c>
      <c r="T15" s="123">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2.0385677520535239</v>
      </c>
      <c r="U15" s="123">
        <f>SUMIFS(VolumesTable[Volume],VolumesTable[Products],FiancialTable[[#This Row],[Products]],VolumesTable[Year],FiancialTable[[#This Row],[Year]])/SUMIFS(ProductRatesTable[Production FTE Items per Hour],ProductRatesTable[Products],FiancialTable[[#This Row],[Products]],ProductRatesTable[Year],FiancialTable[[#This Row],[Year]])/2080</f>
        <v>38.371669572938899</v>
      </c>
      <c r="V15" s="124">
        <f t="shared" si="15"/>
        <v>9952273.0218319464</v>
      </c>
      <c r="W15" s="124">
        <f>FiancialTable[[#This Row],[Mngmt FTEs]]*M15</f>
        <v>267311.76287978288</v>
      </c>
      <c r="X15" s="124">
        <f>FiancialTable[[#This Row],[Prod''n FTEs]]*N15</f>
        <v>2935083.1564200162</v>
      </c>
      <c r="Y15" s="124">
        <f>SUMIFS(INDEX(Costs!$AF$15:$AH$29,0,MATCH($B15,Costs!$AF$4:$AH$4,0)),Costs!$A$15:$A$29,Y$4,Costs!$E$15:$E$29,$B15)*$O15</f>
        <v>1169555.4417495646</v>
      </c>
      <c r="Z15"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137827.76474711683</v>
      </c>
      <c r="AA15" s="124">
        <f>SUMIFS(INDEX(Costs!$O$6:$AI$30,MATCH(AA$4,Costs!$A$6:$A$30,0),0),Costs!$O$2:$AI$2,FiancialTable[[#This Row],[Year]],Costs!$O$4:$AI$4,ProductsCalcTable[[#This Row],[Department Name]])/SUMIFS(FiancialTable[Prod''n FTEs],ProductsCalcTable[Department Name],ProductsCalcTable[[#This Row],[Department Name]],FiancialTable[Year],FiancialTable[[#This Row],[Year]])*FiancialTable[[#This Row],[Prod''n FTEs]]</f>
        <v>291223.96457907482</v>
      </c>
      <c r="AB15" s="124">
        <f>SUMIFS(ProductRatesTable[Materials CPU],ProductRatesTable[Year],$D15,ProductRatesTable[Products],$A15)*ProductsCalcTable[[#This Row],[Volume]]</f>
        <v>4865845.4981219256</v>
      </c>
      <c r="AC15" s="124">
        <f>SUMIFS(INDEX(Costs!$F$5:$I$30,0,MATCH(ProductsCalcTable[[#This Row],[Year]],Costs!$F$4:$I$4,0)),Costs!$A$5:$A$30,AC$4,Costs!$E$5:$E$30,$B15)/SUMIFS(ProductsCalcTable[Volume],ProductsCalcTable[Year],ProductsCalcTable[[#This Row],[Year]],ProductsCalcTable[Department Name],ProductsCalcTable[[#This Row],[Department Name]])*ProductsCalcTable[[#This Row],[Volume]]</f>
        <v>41296.542243454191</v>
      </c>
      <c r="AD15" s="124">
        <f>SUMIFS(INDEX(Costs!$F$5:$I$30,0,MATCH(ProductsCalcTable[[#This Row],[Year]],Costs!$F$4:$I$4,0)),Costs!$A$5:$A$30,AD$4,Costs!$E$5:$E$30,$B15)/SUMIFS(ProductsCalcTable[Volume],ProductsCalcTable[Year],ProductsCalcTable[[#This Row],[Year]],ProductsCalcTable[Department Name],ProductsCalcTable[[#This Row],[Department Name]])*ProductsCalcTable[[#This Row],[Volume]]</f>
        <v>121864.14062243728</v>
      </c>
      <c r="AE15" s="124">
        <f>INDEX(Costs!$AF$15:$AH$29,MATCH(AE$4,Costs!$A$15:$A$29,0),MATCH($B15,Costs!$AF$4:$AH$4,0))/SUMIFS(ProductsCalcTable[Volume],ProductsCalcTable[Year],ProductsCalcTable[[#This Row],[Year]],ProductsCalcTable[Department Name],ProductsCalcTable[[#This Row],[Department Name]])*ProductsCalcTable[[#This Row],[Volume]]</f>
        <v>122264.75046857522</v>
      </c>
      <c r="AG15" s="118">
        <f t="shared" ref="AG15:AH15" si="29">AH15*0.99</f>
        <v>25.486887927662803</v>
      </c>
      <c r="AH15" s="118">
        <f t="shared" si="29"/>
        <v>25.744331240063438</v>
      </c>
      <c r="AI15" s="118">
        <f>AJ15*1.005</f>
        <v>26.004374989963068</v>
      </c>
      <c r="AJ15" s="118">
        <f>AB15/ProductsCalcTable[[#This Row],[Volume]]</f>
        <v>25.874999990013006</v>
      </c>
      <c r="AK15" s="80">
        <f>SUMIFS(ProductsCalcTable[#This Row],ProductsCalcTable[#Headers],"Cost Per Unit")-AL15</f>
        <v>0</v>
      </c>
      <c r="AL15" s="80">
        <f t="shared" si="16"/>
        <v>52.922984184331732</v>
      </c>
      <c r="AM15" s="81">
        <f>SUMIFS(FiancialTable[[#This Row],[Total]:[Other]],FiancialTable[[#Headers],[Total]:[Other]],LEFT(AM$4,LEN(AM$4)-4))/SUMIFS(ProductsCalcTable[#This Row],ProductsCalcTable[#Headers],"Volume")</f>
        <v>1.4214779044082642</v>
      </c>
      <c r="AN15" s="81">
        <f>SUMIFS(FiancialTable[[#This Row],[Total]:[Other]],FiancialTable[[#Headers],[Total]:[Other]],LEFT(AN$4,LEN(AN$4)-4))/SUMIFS(ProductsCalcTable[#This Row],ProductsCalcTable[#Headers],"Volume")</f>
        <v>15.607827390402742</v>
      </c>
      <c r="AO15" s="85">
        <f t="shared" si="17"/>
        <v>17.029305294811007</v>
      </c>
      <c r="AP15" s="81">
        <f>SUMIFS(FiancialTable[[#This Row],[Total]:[Other]],FiancialTable[[#Headers],[Total]:[Other]],LEFT(AP$4,LEN(AP$4)-4))/SUMIFS(ProductsCalcTable[#This Row],ProductsCalcTable[#Headers],"Volume")</f>
        <v>6.2193193465082244</v>
      </c>
      <c r="AQ15" s="81">
        <f>SUMIFS(FiancialTable[[#This Row],[Total]:[Other]],FiancialTable[[#Headers],[Total]:[Other]],LEFT(AQ$4,LEN(AQ$4)-4))/SUMIFS(ProductsCalcTable[#This Row],ProductsCalcTable[#Headers],"Volume")</f>
        <v>0.73292368465699287</v>
      </c>
      <c r="AR15" s="85">
        <f t="shared" si="18"/>
        <v>6.9522430311652172</v>
      </c>
      <c r="AS15" s="81">
        <f>SUMIFS(FiancialTable[[#This Row],[Total]:[Other]],FiancialTable[[#Headers],[Total]:[Other]],LEFT(AS$4,LEN(AS$4)-4))/SUMIFS(ProductsCalcTable[#This Row],ProductsCalcTable[#Headers],"Volume")</f>
        <v>1.5486352954452749</v>
      </c>
      <c r="AT15" s="81">
        <f>SUMIFS(FiancialTable[[#This Row],[Total]:[Other]],FiancialTable[[#Headers],[Total]:[Other]],LEFT(AT$4,LEN(AT$4)-4))/SUMIFS(ProductsCalcTable[#This Row],ProductsCalcTable[#Headers],"Volume")</f>
        <v>25.874999990013006</v>
      </c>
      <c r="AU15" s="81">
        <f>SUMIFS(FiancialTable[[#This Row],[Total]:[Other]],FiancialTable[[#Headers],[Total]:[Other]],LEFT(AU$4,LEN(AU$4)-4))/SUMIFS(ProductsCalcTable[#This Row],ProductsCalcTable[#Headers],"Volume")</f>
        <v>0.21960171784109817</v>
      </c>
      <c r="AV15" s="81">
        <f>SUMIFS(FiancialTable[[#This Row],[Total]:[Other]],FiancialTable[[#Headers],[Total]:[Other]],LEFT(AV$4,LEN(AV$4)-4))/SUMIFS(ProductsCalcTable[#This Row],ProductsCalcTable[#Headers],"Volume")</f>
        <v>0.64803427042752682</v>
      </c>
      <c r="AW15" s="81">
        <f>SUMIFS(FiancialTable[[#This Row],[Total]:[Other]],FiancialTable[[#Headers],[Total]:[Other]],LEFT(AW$4,LEN(AW$4)-4))/SUMIFS(ProductsCalcTable[#This Row],ProductsCalcTable[#Headers],"Volume")</f>
        <v>0.65016458462858795</v>
      </c>
    </row>
    <row r="16" spans="1:49" x14ac:dyDescent="0.3">
      <c r="A16" t="s">
        <v>9</v>
      </c>
      <c r="B16" s="3" t="s">
        <v>6</v>
      </c>
      <c r="C16" t="s">
        <v>12</v>
      </c>
      <c r="D16">
        <v>2022</v>
      </c>
      <c r="E16" s="20" cm="1">
        <f t="array" ref="E16">_xlfn.XLOOKUP(ProductsCalcTable[[#This Row],[Products]]&amp;ProductsCalcTable[[#This Row],[Year]],ProductRatesTable[Products]&amp;ProductRatesTable[Year],ProductRatesTable[Retail Price],"Not Found",0)</f>
        <v>9.5941999999999986E-2</v>
      </c>
      <c r="F16" s="7" cm="1">
        <f t="array" ref="F16">_xlfn.XLOOKUP(ProductsCalcTable[[#This Row],[Products]]&amp;ProductsCalcTable[[#This Row],[Year]],ProductRatesTable[Products]&amp;ProductRatesTable[Year],ProductRatesTable[Share of Retail Costs],"Not Found",0)</f>
        <v>0.6</v>
      </c>
      <c r="G16" s="4">
        <f>SUMIFS(VolumesTable[Volume],VolumesTable[Products],$A16,VolumesTable[Year],ProductsCalcTable[[#This Row],[Year]])</f>
        <v>6854314</v>
      </c>
      <c r="H16" s="18">
        <f>ProductsCalcTable[[#This Row],[Retail Price]]*ProductsCalcTable[[#This Row],[Volume]]</f>
        <v>657616.59378799994</v>
      </c>
      <c r="I16" s="18">
        <f t="shared" si="10"/>
        <v>557212.08771766722</v>
      </c>
      <c r="J16" s="27">
        <f>ProductsCalcTable[[#This Row],[Actual Costs]]/ProductsCalcTable[[#This Row],[Volume]]</f>
        <v>8.129363313639662E-2</v>
      </c>
      <c r="K16" s="27">
        <f>SUMIFS(ProductsCalcTable[Cost Per Unit],ProductsCalcTable[Products],$A16,ProductsCalcTable[Year],$D16-1)</f>
        <v>7.8328039302959854E-2</v>
      </c>
      <c r="M16" s="23">
        <f>INDEX(Costs!$F$5:$J$30,MATCH(M$4,Costs!$C$5:$C$30,0),MATCH($D16,Costs!$F$4:$J$4,0))</f>
        <v>127308</v>
      </c>
      <c r="N16" s="23">
        <f>INDEX(Costs!$F$5:$J$30,MATCH(N$4,Costs!$C$5:$C$30,0),MATCH($D16,Costs!$F$4:$J$4,0))</f>
        <v>74263</v>
      </c>
      <c r="O16" s="30"/>
      <c r="P16" s="55">
        <f t="shared" ref="P16:P48" si="30">(SUMIFS($U:$U,$D:$D,($D16+1),$A:$A,$A16)/SUMIFS($G:$G,$D:$D,($D16+1),$A:$A,$A16)*$G16)</f>
        <v>1.433434219258495</v>
      </c>
      <c r="Q16" s="51"/>
      <c r="R16" s="121" t="str">
        <f t="shared" si="13"/>
        <v>6 x 1/2" Screws</v>
      </c>
      <c r="S16" s="122">
        <f t="shared" si="14"/>
        <v>2022</v>
      </c>
      <c r="T16"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0.10220498309682874</v>
      </c>
      <c r="U16"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1.533074746452431</v>
      </c>
      <c r="V16" s="124">
        <f t="shared" si="15"/>
        <v>557212.08771766722</v>
      </c>
      <c r="W16" s="124">
        <f>FiancialTable[[#This Row],[Mngmt FTEs]]*M16</f>
        <v>13011.511988091073</v>
      </c>
      <c r="X16" s="124">
        <f>FiancialTable[[#This Row],[Prod''n FTEs]]*N16</f>
        <v>113850.72989579689</v>
      </c>
      <c r="Y16" s="124">
        <f>SUMIFS(INDEX(Costs!$AA$15:$AC$29,0,MATCH($B16,Costs!$AA$4:$AC$4,0)),Costs!$A$15:$A$29,Y$4,Costs!$E$15:$E$29,$B16)*SUMIFS(Y:Y,$D:$D,($D16+1),$A:$A,$A16)/SUMIFS(Y:Y,$D:$D,($D16+1),$B:$B,$B16)</f>
        <v>51374.761050420922</v>
      </c>
      <c r="Z16"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4978.3847966748244</v>
      </c>
      <c r="AA16" s="124">
        <f>SUMIFS(INDEX(Costs!$O$5:$AI$30,MATCH(AA$4,Costs!$A$5:$A$30,0),0),Costs!$O$2:$AI$2,$D16,Costs!$O$4:$AI$4,$B16)*SUMIFS(AA:AA,$D:$D,($D16+1),$A:$A,$A16)/SUMIFS(AA:AA,$D:$D,($D16+1),$B:$B,$B16)</f>
        <v>10850.268787662575</v>
      </c>
      <c r="AB16" s="124">
        <f>SUMIFS(ProductRatesTable[Materials CPU],ProductRatesTable[Year],$D16,ProductRatesTable[Products],$A16)*ProductsCalcTable[[#This Row],[Volume]]</f>
        <v>182085.98230153008</v>
      </c>
      <c r="AC16" s="124">
        <f>SUMIFS(INDEX(Costs!$F$5:$I$30,0,MATCH(ProductsCalcTable[[#This Row],[Year]],Costs!$F$4:$I$4,0)),Costs!$A$5:$A$30,AC$4,Costs!$E$5:$E$30,$B16)/SUMIFS(ProductsCalcTable[Volume],ProductsCalcTable[Year],ProductsCalcTable[[#This Row],[Year]],ProductsCalcTable[Department Name],ProductsCalcTable[[#This Row],[Department Name]])*ProductsCalcTable[[#This Row],[Volume]]</f>
        <v>59482.61412507698</v>
      </c>
      <c r="AD16" s="124">
        <f>SUMIFS(INDEX(Costs!$F$5:$I$30,0,MATCH(ProductsCalcTable[[#This Row],[Year]],Costs!$F$4:$I$4,0)),Costs!$A$5:$A$30,AD$4,Costs!$E$5:$E$30,$B16)/SUMIFS(ProductsCalcTable[Volume],ProductsCalcTable[Year],ProductsCalcTable[[#This Row],[Year]],ProductsCalcTable[Department Name],ProductsCalcTable[[#This Row],[Department Name]])*ProductsCalcTable[[#This Row],[Volume]]</f>
        <v>61153.523681448212</v>
      </c>
      <c r="AE16" s="124">
        <f>INDEX(Costs!$AF$15:$AH$29,MATCH(AE$4,Costs!$A$15:$A$29,0),MATCH($B16,Costs!$AF$4:$AH$4,0))/SUMIFS(ProductsCalcTable[Volume],ProductsCalcTable[Year],ProductsCalcTable[[#This Row],[Year]],ProductsCalcTable[Department Name],ProductsCalcTable[[#This Row],[Department Name]])*ProductsCalcTable[[#This Row],[Volume]]</f>
        <v>60424.31109096569</v>
      </c>
      <c r="AK16" s="80">
        <f>SUMIFS(ProductsCalcTable[#This Row],ProductsCalcTable[#Headers],"Cost Per Unit")-AL16</f>
        <v>0</v>
      </c>
      <c r="AL16" s="80">
        <f t="shared" si="16"/>
        <v>8.1293633136396606E-2</v>
      </c>
      <c r="AM16" s="81">
        <f>SUMIFS(FiancialTable[[#This Row],[Total]:[Other]],FiancialTable[[#Headers],[Total]:[Other]],LEFT(AM$4,LEN(AM$4)-4))/SUMIFS(ProductsCalcTable[#This Row],ProductsCalcTable[#Headers],"Volume")</f>
        <v>1.898295290833054E-3</v>
      </c>
      <c r="AN16" s="81">
        <f>SUMIFS(FiancialTable[[#This Row],[Total]:[Other]],FiancialTable[[#Headers],[Total]:[Other]],LEFT(AN$4,LEN(AN$4)-4))/SUMIFS(ProductsCalcTable[#This Row],ProductsCalcTable[#Headers],"Volume")</f>
        <v>1.6610083794789222E-2</v>
      </c>
      <c r="AO16" s="85">
        <f t="shared" si="17"/>
        <v>1.8508379085622275E-2</v>
      </c>
      <c r="AP16" s="81">
        <f>SUMIFS(FiancialTable[[#This Row],[Total]:[Other]],FiancialTable[[#Headers],[Total]:[Other]],LEFT(AP$4,LEN(AP$4)-4))/SUMIFS(ProductsCalcTable[#This Row],ProductsCalcTable[#Headers],"Volume")</f>
        <v>7.4952447539492536E-3</v>
      </c>
      <c r="AQ16" s="81">
        <f>SUMIFS(FiancialTable[[#This Row],[Total]:[Other]],FiancialTable[[#Headers],[Total]:[Other]],LEFT(AQ$4,LEN(AQ$4)-4))/SUMIFS(ProductsCalcTable[#This Row],ProductsCalcTable[#Headers],"Volume")</f>
        <v>7.2631408433795485E-4</v>
      </c>
      <c r="AR16" s="85">
        <f t="shared" si="18"/>
        <v>8.2215588382872091E-3</v>
      </c>
      <c r="AS16" s="81">
        <f>SUMIFS(FiancialTable[[#This Row],[Total]:[Other]],FiancialTable[[#Headers],[Total]:[Other]],LEFT(AS$4,LEN(AS$4)-4))/SUMIFS(ProductsCalcTable[#This Row],ProductsCalcTable[#Headers],"Volume")</f>
        <v>1.5829839116886933E-3</v>
      </c>
      <c r="AT16" s="81">
        <f>SUMIFS(FiancialTable[[#This Row],[Total]:[Other]],FiancialTable[[#Headers],[Total]:[Other]],LEFT(AT$4,LEN(AT$4)-4))/SUMIFS(ProductsCalcTable[#This Row],ProductsCalcTable[#Headers],"Volume")</f>
        <v>2.6565164989746613E-2</v>
      </c>
      <c r="AU16" s="81">
        <f>SUMIFS(FiancialTable[[#This Row],[Total]:[Other]],FiancialTable[[#Headers],[Total]:[Other]],LEFT(AU$4,LEN(AU$4)-4))/SUMIFS(ProductsCalcTable[#This Row],ProductsCalcTable[#Headers],"Volume")</f>
        <v>8.6781279826218909E-3</v>
      </c>
      <c r="AV16" s="81">
        <f>SUMIFS(FiancialTable[[#This Row],[Total]:[Other]],FiancialTable[[#Headers],[Total]:[Other]],LEFT(AV$4,LEN(AV$4)-4))/SUMIFS(ProductsCalcTable[#This Row],ProductsCalcTable[#Headers],"Volume")</f>
        <v>8.9219028602203244E-3</v>
      </c>
      <c r="AW16" s="81">
        <f>SUMIFS(FiancialTable[[#This Row],[Total]:[Other]],FiancialTable[[#Headers],[Total]:[Other]],LEFT(AW$4,LEN(AW$4)-4))/SUMIFS(ProductsCalcTable[#This Row],ProductsCalcTable[#Headers],"Volume")</f>
        <v>8.8155154682096112E-3</v>
      </c>
    </row>
    <row r="17" spans="1:49" x14ac:dyDescent="0.3">
      <c r="A17" t="s">
        <v>7</v>
      </c>
      <c r="B17" s="3" t="s">
        <v>6</v>
      </c>
      <c r="C17" t="s">
        <v>12</v>
      </c>
      <c r="D17">
        <v>2022</v>
      </c>
      <c r="E17" s="20" cm="1">
        <f t="array" ref="E17">_xlfn.XLOOKUP(ProductsCalcTable[[#This Row],[Products]]&amp;ProductsCalcTable[[#This Row],[Year]],ProductRatesTable[Products]&amp;ProductRatesTable[Year],ProductRatesTable[Retail Price],"Not Found",0)</f>
        <v>0.25480000000000003</v>
      </c>
      <c r="F17" s="7" cm="1">
        <f t="array" ref="F17">_xlfn.XLOOKUP(ProductsCalcTable[[#This Row],[Products]]&amp;ProductsCalcTable[[#This Row],[Year]],ProductRatesTable[Products]&amp;ProductRatesTable[Year],ProductRatesTable[Share of Retail Costs],"Not Found",0)</f>
        <v>0.6</v>
      </c>
      <c r="G17" s="4">
        <f>SUMIFS(VolumesTable[Volume],VolumesTable[Products],$A17,VolumesTable[Year],ProductsCalcTable[[#This Row],[Year]])</f>
        <v>7061738</v>
      </c>
      <c r="H17" s="18">
        <f>ProductsCalcTable[[#This Row],[Retail Price]]*ProductsCalcTable[[#This Row],[Volume]]</f>
        <v>1799330.8424000002</v>
      </c>
      <c r="I17" s="18">
        <f t="shared" si="10"/>
        <v>1207468.0125585503</v>
      </c>
      <c r="J17" s="27">
        <f>ProductsCalcTable[[#This Row],[Actual Costs]]/ProductsCalcTable[[#This Row],[Volume]]</f>
        <v>0.17098737061025918</v>
      </c>
      <c r="K17" s="27">
        <f>SUMIFS(ProductsCalcTable[Cost Per Unit],ProductsCalcTable[Products],$A17,ProductsCalcTable[Year],$D17-1)</f>
        <v>0.16547522613347312</v>
      </c>
      <c r="M17" s="23">
        <f>INDEX(Costs!$F$5:$J$30,MATCH(M$4,Costs!$C$5:$C$30,0),MATCH($D17,Costs!$F$4:$J$4,0))</f>
        <v>127308</v>
      </c>
      <c r="N17" s="23">
        <f>INDEX(Costs!$F$5:$J$30,MATCH(N$4,Costs!$C$5:$C$30,0),MATCH($D17,Costs!$F$4:$J$4,0))</f>
        <v>74263</v>
      </c>
      <c r="O17" s="30"/>
      <c r="P17" s="55">
        <f t="shared" si="30"/>
        <v>3.922076215270891</v>
      </c>
      <c r="Q17" s="51"/>
      <c r="R17" s="121" t="str">
        <f t="shared" si="13"/>
        <v>8" Hex Bolts</v>
      </c>
      <c r="S17" s="122">
        <f t="shared" si="14"/>
        <v>2022</v>
      </c>
      <c r="T17"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0.27964710755516575</v>
      </c>
      <c r="U17"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4.1947066133274866</v>
      </c>
      <c r="V17" s="124">
        <f t="shared" si="15"/>
        <v>1207468.0125585503</v>
      </c>
      <c r="W17" s="124">
        <f>FiancialTable[[#This Row],[Mngmt FTEs]]*M17</f>
        <v>35601.31396863304</v>
      </c>
      <c r="X17" s="124">
        <f>FiancialTable[[#This Row],[Prod''n FTEs]]*N17</f>
        <v>311511.49722553912</v>
      </c>
      <c r="Y17" s="124">
        <f>SUMIFS(INDEX(Costs!$AA$15:$AC$29,0,MATCH($B17,Costs!$AA$4:$AC$4,0)),Costs!$A$15:$A$29,Y$4,Costs!$E$15:$E$29,$B17)*SUMIFS(Y:Y,$D:$D,($D17+1),$A:$A,$A17)/SUMIFS(Y:Y,$D:$D,($D17+1),$B:$B,$B17)</f>
        <v>133736.38611298398</v>
      </c>
      <c r="Z17"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13621.556077826153</v>
      </c>
      <c r="AA17" s="124">
        <f>SUMIFS(INDEX(Costs!$O$5:$AI$30,MATCH(AA$4,Costs!$A$5:$A$30,0),0),Costs!$O$2:$AI$2,$D17,Costs!$O$4:$AI$4,$B17)*SUMIFS(AA:AA,$D:$D,($D17+1),$A:$A,$A17)/SUMIFS(AA:AA,$D:$D,($D17+1),$B:$B,$B17)</f>
        <v>28244.914552349277</v>
      </c>
      <c r="AB17" s="124">
        <f>SUMIFS(ProductRatesTable[Materials CPU],ProductRatesTable[Year],$D17,ProductRatesTable[Products],$A17)*ProductsCalcTable[[#This Row],[Volume]]</f>
        <v>498212.67744570441</v>
      </c>
      <c r="AC17" s="124">
        <f>SUMIFS(INDEX(Costs!$F$5:$I$30,0,MATCH(ProductsCalcTable[[#This Row],[Year]],Costs!$F$4:$I$4,0)),Costs!$A$5:$A$30,AC$4,Costs!$E$5:$E$30,$B17)/SUMIFS(ProductsCalcTable[Volume],ProductsCalcTable[Year],ProductsCalcTable[[#This Row],[Year]],ProductsCalcTable[Department Name],ProductsCalcTable[[#This Row],[Department Name]])*ProductsCalcTable[[#This Row],[Volume]]</f>
        <v>61282.666143744347</v>
      </c>
      <c r="AD17" s="124">
        <f>SUMIFS(INDEX(Costs!$F$5:$I$30,0,MATCH(ProductsCalcTable[[#This Row],[Year]],Costs!$F$4:$I$4,0)),Costs!$A$5:$A$30,AD$4,Costs!$E$5:$E$30,$B17)/SUMIFS(ProductsCalcTable[Volume],ProductsCalcTable[Year],ProductsCalcTable[[#This Row],[Year]],ProductsCalcTable[Department Name],ProductsCalcTable[[#This Row],[Department Name]])*ProductsCalcTable[[#This Row],[Volume]]</f>
        <v>63004.140460326555</v>
      </c>
      <c r="AE17" s="124">
        <f>INDEX(Costs!$AF$15:$AH$29,MATCH(AE$4,Costs!$A$15:$A$29,0),MATCH($B17,Costs!$AF$4:$AH$4,0))/SUMIFS(ProductsCalcTable[Volume],ProductsCalcTable[Year],ProductsCalcTable[[#This Row],[Year]],ProductsCalcTable[Department Name],ProductsCalcTable[[#This Row],[Department Name]])*ProductsCalcTable[[#This Row],[Volume]]</f>
        <v>62252.860571443605</v>
      </c>
      <c r="AK17" s="80">
        <f>SUMIFS(ProductsCalcTable[#This Row],ProductsCalcTable[#Headers],"Cost Per Unit")-AL17</f>
        <v>0</v>
      </c>
      <c r="AL17" s="80">
        <f t="shared" si="16"/>
        <v>0.17098737061025915</v>
      </c>
      <c r="AM17" s="81">
        <f>SUMIFS(FiancialTable[[#This Row],[Total]:[Other]],FiancialTable[[#Headers],[Total]:[Other]],LEFT(AM$4,LEN(AM$4)-4))/SUMIFS(ProductsCalcTable[#This Row],ProductsCalcTable[#Headers],"Volume")</f>
        <v>5.0414379531827777E-3</v>
      </c>
      <c r="AN17" s="81">
        <f>SUMIFS(FiancialTable[[#This Row],[Total]:[Other]],FiancialTable[[#Headers],[Total]:[Other]],LEFT(AN$4,LEN(AN$4)-4))/SUMIFS(ProductsCalcTable[#This Row],ProductsCalcTable[#Headers],"Volume")</f>
        <v>4.4112582090349302E-2</v>
      </c>
      <c r="AO17" s="85">
        <f t="shared" si="17"/>
        <v>4.915402004353208E-2</v>
      </c>
      <c r="AP17" s="81">
        <f>SUMIFS(FiancialTable[[#This Row],[Total]:[Other]],FiancialTable[[#Headers],[Total]:[Other]],LEFT(AP$4,LEN(AP$4)-4))/SUMIFS(ProductsCalcTable[#This Row],ProductsCalcTable[#Headers],"Volume")</f>
        <v>1.8938168778420267E-2</v>
      </c>
      <c r="AQ17" s="81">
        <f>SUMIFS(FiancialTable[[#This Row],[Total]:[Other]],FiancialTable[[#Headers],[Total]:[Other]],LEFT(AQ$4,LEN(AQ$4)-4))/SUMIFS(ProductsCalcTable[#This Row],ProductsCalcTable[#Headers],"Volume")</f>
        <v>1.9289240237780208E-3</v>
      </c>
      <c r="AR17" s="85">
        <f t="shared" si="18"/>
        <v>2.0867092802198287E-2</v>
      </c>
      <c r="AS17" s="81">
        <f>SUMIFS(FiancialTable[[#This Row],[Total]:[Other]],FiancialTable[[#Headers],[Total]:[Other]],LEFT(AS$4,LEN(AS$4)-4))/SUMIFS(ProductsCalcTable[#This Row],ProductsCalcTable[#Headers],"Volume")</f>
        <v>3.9997114807076217E-3</v>
      </c>
      <c r="AT17" s="81">
        <f>SUMIFS(FiancialTable[[#This Row],[Total]:[Other]],FiancialTable[[#Headers],[Total]:[Other]],LEFT(AT$4,LEN(AT$4)-4))/SUMIFS(ProductsCalcTable[#This Row],ProductsCalcTable[#Headers],"Volume")</f>
        <v>7.0550999972769368E-2</v>
      </c>
      <c r="AU17" s="81">
        <f>SUMIFS(FiancialTable[[#This Row],[Total]:[Other]],FiancialTable[[#Headers],[Total]:[Other]],LEFT(AU$4,LEN(AU$4)-4))/SUMIFS(ProductsCalcTable[#This Row],ProductsCalcTable[#Headers],"Volume")</f>
        <v>8.6781279826218909E-3</v>
      </c>
      <c r="AV17" s="81">
        <f>SUMIFS(FiancialTable[[#This Row],[Total]:[Other]],FiancialTable[[#Headers],[Total]:[Other]],LEFT(AV$4,LEN(AV$4)-4))/SUMIFS(ProductsCalcTable[#This Row],ProductsCalcTable[#Headers],"Volume")</f>
        <v>8.9219028602203244E-3</v>
      </c>
      <c r="AW17" s="81">
        <f>SUMIFS(FiancialTable[[#This Row],[Total]:[Other]],FiancialTable[[#Headers],[Total]:[Other]],LEFT(AW$4,LEN(AW$4)-4))/SUMIFS(ProductsCalcTable[#This Row],ProductsCalcTable[#Headers],"Volume")</f>
        <v>8.8155154682096112E-3</v>
      </c>
    </row>
    <row r="18" spans="1:49" x14ac:dyDescent="0.3">
      <c r="A18" t="s">
        <v>8</v>
      </c>
      <c r="B18" s="3" t="s">
        <v>6</v>
      </c>
      <c r="C18" t="s">
        <v>12</v>
      </c>
      <c r="D18">
        <v>2022</v>
      </c>
      <c r="E18" s="20" cm="1">
        <f t="array" ref="E18">_xlfn.XLOOKUP(ProductsCalcTable[[#This Row],[Products]]&amp;ProductsCalcTable[[#This Row],[Year]],ProductRatesTable[Products]&amp;ProductRatesTable[Year],ProductRatesTable[Retail Price],"Not Found",0)</f>
        <v>70.56</v>
      </c>
      <c r="F18" s="7" cm="1">
        <f t="array" ref="F18">_xlfn.XLOOKUP(ProductsCalcTable[[#This Row],[Products]]&amp;ProductsCalcTable[[#This Row],[Year]],ProductRatesTable[Products]&amp;ProductRatesTable[Year],ProductRatesTable[Share of Retail Costs],"Not Found",0)</f>
        <v>0.5</v>
      </c>
      <c r="G18" s="4">
        <f>SUMIFS(VolumesTable[Volume],VolumesTable[Products],$A18,VolumesTable[Year],ProductsCalcTable[[#This Row],[Year]])</f>
        <v>170197</v>
      </c>
      <c r="H18" s="18">
        <f>ProductsCalcTable[[#This Row],[Retail Price]]*ProductsCalcTable[[#This Row],[Volume]]</f>
        <v>12009100.32</v>
      </c>
      <c r="I18" s="18">
        <f t="shared" si="10"/>
        <v>5753239.4630363351</v>
      </c>
      <c r="J18" s="27">
        <f>ProductsCalcTable[[#This Row],[Actual Costs]]/ProductsCalcTable[[#This Row],[Volume]]</f>
        <v>33.803412886457075</v>
      </c>
      <c r="K18" s="27">
        <f>SUMIFS(ProductsCalcTable[Cost Per Unit],ProductsCalcTable[Products],$A18,ProductsCalcTable[Year],$D18-1)</f>
        <v>32.861310520442395</v>
      </c>
      <c r="M18" s="23">
        <f>INDEX(Costs!$F$5:$J$30,MATCH(M$4,Costs!$C$5:$C$30,0),MATCH($D18,Costs!$F$4:$J$4,0))</f>
        <v>127308</v>
      </c>
      <c r="N18" s="23">
        <f>INDEX(Costs!$F$5:$J$30,MATCH(N$4,Costs!$C$5:$C$30,0),MATCH($D18,Costs!$F$4:$J$4,0))</f>
        <v>74263</v>
      </c>
      <c r="O18" s="30"/>
      <c r="P18" s="55">
        <f t="shared" si="30"/>
        <v>21.813945876424576</v>
      </c>
      <c r="Q18" s="51"/>
      <c r="R18" s="121" t="str">
        <f t="shared" si="13"/>
        <v>1" Screw Pin Anchor Shackle</v>
      </c>
      <c r="S18" s="122">
        <f t="shared" si="14"/>
        <v>2022</v>
      </c>
      <c r="T18"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1.5553514347720898</v>
      </c>
      <c r="U18"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23.330271521581349</v>
      </c>
      <c r="V18" s="124">
        <f t="shared" si="15"/>
        <v>5753239.4630363351</v>
      </c>
      <c r="W18" s="124">
        <f>FiancialTable[[#This Row],[Mngmt FTEs]]*M18</f>
        <v>198008.68045796521</v>
      </c>
      <c r="X18" s="124">
        <f>FiancialTable[[#This Row],[Prod''n FTEs]]*N18</f>
        <v>1732575.9540071958</v>
      </c>
      <c r="Y18" s="124">
        <f>SUMIFS(INDEX(Costs!$AA$15:$AC$29,0,MATCH($B18,Costs!$AA$4:$AC$4,0)),Costs!$A$15:$A$29,Y$4,Costs!$E$15:$E$29,$B18)*SUMIFS(Y:Y,$D:$D,($D18+1),$A:$A,$A18)/SUMIFS(Y:Y,$D:$D,($D18+1),$B:$B,$B18)</f>
        <v>802032.7124943767</v>
      </c>
      <c r="Z18"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75760.865094218723</v>
      </c>
      <c r="AA18" s="124">
        <f>SUMIFS(INDEX(Costs!$O$5:$AI$30,MATCH(AA$4,Costs!$A$5:$A$30,0),0),Costs!$O$2:$AI$2,$D18,Costs!$O$4:$AI$4,$B18)*SUMIFS(AA:AA,$D:$D,($D18+1),$A:$A,$A18)/SUMIFS(AA:AA,$D:$D,($D18+1),$B:$B,$B18)</f>
        <v>169388.04831659235</v>
      </c>
      <c r="AB18" s="124">
        <f>SUMIFS(ProductRatesTable[Materials CPU],ProductRatesTable[Year],$D18,ProductRatesTable[Products],$A18)*ProductsCalcTable[[#This Row],[Volume]]</f>
        <v>2770977.3559304834</v>
      </c>
      <c r="AC18" s="124">
        <f>SUMIFS(INDEX(Costs!$F$5:$I$30,0,MATCH(ProductsCalcTable[[#This Row],[Year]],Costs!$F$4:$I$4,0)),Costs!$A$5:$A$30,AC$4,Costs!$E$5:$E$30,$B18)/SUMIFS(ProductsCalcTable[Volume],ProductsCalcTable[Year],ProductsCalcTable[[#This Row],[Year]],ProductsCalcTable[Department Name],ProductsCalcTable[[#This Row],[Department Name]])*ProductsCalcTable[[#This Row],[Volume]]</f>
        <v>1476.9913482582979</v>
      </c>
      <c r="AD18" s="124">
        <f>SUMIFS(INDEX(Costs!$F$5:$I$30,0,MATCH(ProductsCalcTable[[#This Row],[Year]],Costs!$F$4:$I$4,0)),Costs!$A$5:$A$30,AD$4,Costs!$E$5:$E$30,$B18)/SUMIFS(ProductsCalcTable[Volume],ProductsCalcTable[Year],ProductsCalcTable[[#This Row],[Year]],ProductsCalcTable[Department Name],ProductsCalcTable[[#This Row],[Department Name]])*ProductsCalcTable[[#This Row],[Volume]]</f>
        <v>1518.4811011009185</v>
      </c>
      <c r="AE18" s="124">
        <f>INDEX(Costs!$AF$15:$AH$29,MATCH(AE$4,Costs!$A$15:$A$29,0),MATCH($B18,Costs!$AF$4:$AH$4,0))/SUMIFS(ProductsCalcTable[Volume],ProductsCalcTable[Year],ProductsCalcTable[[#This Row],[Year]],ProductsCalcTable[Department Name],ProductsCalcTable[[#This Row],[Department Name]])*ProductsCalcTable[[#This Row],[Volume]]</f>
        <v>1500.3742861428711</v>
      </c>
      <c r="AK18" s="80">
        <f>SUMIFS(ProductsCalcTable[#This Row],ProductsCalcTable[#Headers],"Cost Per Unit")-AL18</f>
        <v>0</v>
      </c>
      <c r="AL18" s="80">
        <f t="shared" si="16"/>
        <v>33.803412886457075</v>
      </c>
      <c r="AM18" s="81">
        <f>SUMIFS(FiancialTable[[#This Row],[Total]:[Other]],FiancialTable[[#Headers],[Total]:[Other]],LEFT(AM$4,LEN(AM$4)-4))/SUMIFS(ProductsCalcTable[#This Row],ProductsCalcTable[#Headers],"Volume")</f>
        <v>1.1634087584267949</v>
      </c>
      <c r="AN18" s="81">
        <f>SUMIFS(FiancialTable[[#This Row],[Total]:[Other]],FiancialTable[[#Headers],[Total]:[Other]],LEFT(AN$4,LEN(AN$4)-4))/SUMIFS(ProductsCalcTable[#This Row],ProductsCalcTable[#Headers],"Volume")</f>
        <v>10.179826636234456</v>
      </c>
      <c r="AO18" s="85">
        <f t="shared" si="17"/>
        <v>11.343235394661251</v>
      </c>
      <c r="AP18" s="81">
        <f>SUMIFS(FiancialTable[[#This Row],[Total]:[Other]],FiancialTable[[#Headers],[Total]:[Other]],LEFT(AP$4,LEN(AP$4)-4))/SUMIFS(ProductsCalcTable[#This Row],ProductsCalcTable[#Headers],"Volume")</f>
        <v>4.7123786699787695</v>
      </c>
      <c r="AQ18" s="81">
        <f>SUMIFS(FiancialTable[[#This Row],[Total]:[Other]],FiancialTable[[#Headers],[Total]:[Other]],LEFT(AQ$4,LEN(AQ$4)-4))/SUMIFS(ProductsCalcTable[#This Row],ProductsCalcTable[#Headers],"Volume")</f>
        <v>0.44513631317954327</v>
      </c>
      <c r="AR18" s="85">
        <f t="shared" si="18"/>
        <v>5.1575149831583129</v>
      </c>
      <c r="AS18" s="81">
        <f>SUMIFS(FiancialTable[[#This Row],[Total]:[Other]],FiancialTable[[#Headers],[Total]:[Other]],LEFT(AS$4,LEN(AS$4)-4))/SUMIFS(ProductsCalcTable[#This Row],ProductsCalcTable[#Headers],"Volume")</f>
        <v>0.99524696861044759</v>
      </c>
      <c r="AT18" s="81">
        <f>SUMIFS(FiancialTable[[#This Row],[Total]:[Other]],FiancialTable[[#Headers],[Total]:[Other]],LEFT(AT$4,LEN(AT$4)-4))/SUMIFS(ProductsCalcTable[#This Row],ProductsCalcTable[#Headers],"Volume")</f>
        <v>16.280999993716009</v>
      </c>
      <c r="AU18" s="81">
        <f>SUMIFS(FiancialTable[[#This Row],[Total]:[Other]],FiancialTable[[#Headers],[Total]:[Other]],LEFT(AU$4,LEN(AU$4)-4))/SUMIFS(ProductsCalcTable[#This Row],ProductsCalcTable[#Headers],"Volume")</f>
        <v>8.6781279826218909E-3</v>
      </c>
      <c r="AV18" s="81">
        <f>SUMIFS(FiancialTable[[#This Row],[Total]:[Other]],FiancialTable[[#Headers],[Total]:[Other]],LEFT(AV$4,LEN(AV$4)-4))/SUMIFS(ProductsCalcTable[#This Row],ProductsCalcTable[#Headers],"Volume")</f>
        <v>8.9219028602203244E-3</v>
      </c>
      <c r="AW18" s="81">
        <f>SUMIFS(FiancialTable[[#This Row],[Total]:[Other]],FiancialTable[[#Headers],[Total]:[Other]],LEFT(AW$4,LEN(AW$4)-4))/SUMIFS(ProductsCalcTable[#This Row],ProductsCalcTable[#Headers],"Volume")</f>
        <v>8.8155154682096112E-3</v>
      </c>
    </row>
    <row r="19" spans="1:49" x14ac:dyDescent="0.3">
      <c r="A19" t="s">
        <v>10</v>
      </c>
      <c r="B19" s="3" t="s">
        <v>6</v>
      </c>
      <c r="C19" t="s">
        <v>12</v>
      </c>
      <c r="D19">
        <v>2022</v>
      </c>
      <c r="E19" s="20" cm="1">
        <f t="array" ref="E19">_xlfn.XLOOKUP(ProductsCalcTable[[#This Row],[Products]]&amp;ProductsCalcTable[[#This Row],[Year]],ProductRatesTable[Products]&amp;ProductRatesTable[Year],ProductRatesTable[Retail Price],"Not Found",0)</f>
        <v>5.8799999999999998E-2</v>
      </c>
      <c r="F19" s="7" cm="1">
        <f t="array" ref="F19">_xlfn.XLOOKUP(ProductsCalcTable[[#This Row],[Products]]&amp;ProductsCalcTable[[#This Row],[Year]],ProductRatesTable[Products]&amp;ProductRatesTable[Year],ProductRatesTable[Share of Retail Costs],"Not Found",0)</f>
        <v>0.6</v>
      </c>
      <c r="G19" s="4">
        <f>SUMIFS(VolumesTable[Volume],VolumesTable[Products],$A19,VolumesTable[Year],ProductsCalcTable[[#This Row],[Year]])</f>
        <v>6871612</v>
      </c>
      <c r="H19" s="18">
        <f>ProductsCalcTable[[#This Row],[Retail Price]]*ProductsCalcTable[[#This Row],[Volume]]</f>
        <v>404050.7856</v>
      </c>
      <c r="I19" s="18">
        <f t="shared" si="10"/>
        <v>411772.12512007193</v>
      </c>
      <c r="J19" s="27">
        <f>ProductsCalcTable[[#This Row],[Actual Costs]]/ProductsCalcTable[[#This Row],[Volume]]</f>
        <v>5.9923657668691413E-2</v>
      </c>
      <c r="K19" s="27">
        <f>SUMIFS(ProductsCalcTable[Cost Per Unit],ProductsCalcTable[Products],$A19,ProductsCalcTable[Year],$D19-1)</f>
        <v>5.7596262504779762E-2</v>
      </c>
      <c r="M19" s="23">
        <f>INDEX(Costs!$F$5:$J$30,MATCH(M$4,Costs!$C$5:$C$30,0),MATCH($D19,Costs!$F$4:$J$4,0))</f>
        <v>127308</v>
      </c>
      <c r="N19" s="23">
        <f>INDEX(Costs!$F$5:$J$30,MATCH(N$4,Costs!$C$5:$C$30,0),MATCH($D19,Costs!$F$4:$J$4,0))</f>
        <v>74263</v>
      </c>
      <c r="O19" s="30"/>
      <c r="P19" s="55">
        <f t="shared" si="30"/>
        <v>0.88072628925180596</v>
      </c>
      <c r="Q19" s="51"/>
      <c r="R19" s="121" t="str">
        <f t="shared" si="13"/>
        <v>Hex Nuts</v>
      </c>
      <c r="S19" s="122">
        <f t="shared" si="14"/>
        <v>2022</v>
      </c>
      <c r="T19"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6.2796474575915612E-2</v>
      </c>
      <c r="U19"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0.94194711863873415</v>
      </c>
      <c r="V19" s="124">
        <f t="shared" si="15"/>
        <v>411772.12512007193</v>
      </c>
      <c r="W19" s="124">
        <f>FiancialTable[[#This Row],[Mngmt FTEs]]*M19</f>
        <v>7994.4935853106645</v>
      </c>
      <c r="X19" s="124">
        <f>FiancialTable[[#This Row],[Prod''n FTEs]]*N19</f>
        <v>69951.81887146832</v>
      </c>
      <c r="Y19" s="124">
        <f>SUMIFS(INDEX(Costs!$AA$15:$AC$29,0,MATCH($B19,Costs!$AA$4:$AC$4,0)),Costs!$A$15:$A$29,Y$4,Costs!$E$15:$E$29,$B19)*SUMIFS(Y:Y,$D:$D,($D19+1),$A:$A,$A19)/SUMIFS(Y:Y,$D:$D,($D19+1),$B:$B,$B19)</f>
        <v>30856.140342218467</v>
      </c>
      <c r="Z19"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3058.8040312803073</v>
      </c>
      <c r="AA19" s="124">
        <f>SUMIFS(INDEX(Costs!$O$5:$AI$30,MATCH(AA$4,Costs!$A$5:$A$30,0),0),Costs!$O$2:$AI$2,$D19,Costs!$O$4:$AI$4,$B19)*SUMIFS(AA:AA,$D:$D,($D19+1),$A:$A,$A19)/SUMIFS(AA:AA,$D:$D,($D19+1),$B:$B,$B19)</f>
        <v>6516.7683433958464</v>
      </c>
      <c r="AB19" s="124">
        <f>SUMIFS(ProductRatesTable[Materials CPU],ProductRatesTable[Year],$D19,ProductRatesTable[Products],$A19)*ProductsCalcTable[[#This Row],[Volume]]</f>
        <v>111876.71492881884</v>
      </c>
      <c r="AC19" s="124">
        <f>SUMIFS(INDEX(Costs!$F$5:$I$30,0,MATCH(ProductsCalcTable[[#This Row],[Year]],Costs!$F$4:$I$4,0)),Costs!$A$5:$A$30,AC$4,Costs!$E$5:$E$30,$B19)/SUMIFS(ProductsCalcTable[Volume],ProductsCalcTable[Year],ProductsCalcTable[[#This Row],[Year]],ProductsCalcTable[Department Name],ProductsCalcTable[[#This Row],[Department Name]])*ProductsCalcTable[[#This Row],[Volume]]</f>
        <v>59632.728382920373</v>
      </c>
      <c r="AD19" s="124">
        <f>SUMIFS(INDEX(Costs!$F$5:$I$30,0,MATCH(ProductsCalcTable[[#This Row],[Year]],Costs!$F$4:$I$4,0)),Costs!$A$5:$A$30,AD$4,Costs!$E$5:$E$30,$B19)/SUMIFS(ProductsCalcTable[Volume],ProductsCalcTable[Year],ProductsCalcTable[[#This Row],[Year]],ProductsCalcTable[Department Name],ProductsCalcTable[[#This Row],[Department Name]])*ProductsCalcTable[[#This Row],[Volume]]</f>
        <v>61307.854757124303</v>
      </c>
      <c r="AE19" s="124">
        <f>INDEX(Costs!$AF$15:$AH$29,MATCH(AE$4,Costs!$A$15:$A$29,0),MATCH($B19,Costs!$AF$4:$AH$4,0))/SUMIFS(ProductsCalcTable[Volume],ProductsCalcTable[Year],ProductsCalcTable[[#This Row],[Year]],ProductsCalcTable[Department Name],ProductsCalcTable[[#This Row],[Department Name]])*ProductsCalcTable[[#This Row],[Volume]]</f>
        <v>60576.801877534781</v>
      </c>
      <c r="AK19" s="80">
        <f>SUMIFS(ProductsCalcTable[#This Row],ProductsCalcTable[#Headers],"Cost Per Unit")-AL19</f>
        <v>0</v>
      </c>
      <c r="AL19" s="80">
        <f t="shared" si="16"/>
        <v>5.9923657668691406E-2</v>
      </c>
      <c r="AM19" s="81">
        <f>SUMIFS(FiancialTable[[#This Row],[Total]:[Other]],FiancialTable[[#Headers],[Total]:[Other]],LEFT(AM$4,LEN(AM$4)-4))/SUMIFS(ProductsCalcTable[#This Row],ProductsCalcTable[#Headers],"Volume")</f>
        <v>1.1634087584267948E-3</v>
      </c>
      <c r="AN19" s="81">
        <f>SUMIFS(FiancialTable[[#This Row],[Total]:[Other]],FiancialTable[[#Headers],[Total]:[Other]],LEFT(AN$4,LEN(AN$4)-4))/SUMIFS(ProductsCalcTable[#This Row],ProductsCalcTable[#Headers],"Volume")</f>
        <v>1.0179826636234455E-2</v>
      </c>
      <c r="AO19" s="85">
        <f t="shared" si="17"/>
        <v>1.134323539466125E-2</v>
      </c>
      <c r="AP19" s="81">
        <f>SUMIFS(FiancialTable[[#This Row],[Total]:[Other]],FiancialTable[[#Headers],[Total]:[Other]],LEFT(AP$4,LEN(AP$4)-4))/SUMIFS(ProductsCalcTable[#This Row],ProductsCalcTable[#Headers],"Volume")</f>
        <v>4.4903787265955161E-3</v>
      </c>
      <c r="AQ19" s="81">
        <f>SUMIFS(FiancialTable[[#This Row],[Total]:[Other]],FiancialTable[[#Headers],[Total]:[Other]],LEFT(AQ$4,LEN(AQ$4)-4))/SUMIFS(ProductsCalcTable[#This Row],ProductsCalcTable[#Headers],"Volume")</f>
        <v>4.4513631317954323E-4</v>
      </c>
      <c r="AR19" s="85">
        <f t="shared" si="18"/>
        <v>4.9355150397750597E-3</v>
      </c>
      <c r="AS19" s="81">
        <f>SUMIFS(FiancialTable[[#This Row],[Total]:[Other]],FiancialTable[[#Headers],[Total]:[Other]],LEFT(AS$4,LEN(AS$4)-4))/SUMIFS(ProductsCalcTable[#This Row],ProductsCalcTable[#Headers],"Volume")</f>
        <v>9.4836092948726535E-4</v>
      </c>
      <c r="AT19" s="81">
        <f>SUMIFS(FiancialTable[[#This Row],[Total]:[Other]],FiancialTable[[#Headers],[Total]:[Other]],LEFT(AT$4,LEN(AT$4)-4))/SUMIFS(ProductsCalcTable[#This Row],ProductsCalcTable[#Headers],"Volume")</f>
        <v>1.6280999993716006E-2</v>
      </c>
      <c r="AU19" s="81">
        <f>SUMIFS(FiancialTable[[#This Row],[Total]:[Other]],FiancialTable[[#Headers],[Total]:[Other]],LEFT(AU$4,LEN(AU$4)-4))/SUMIFS(ProductsCalcTable[#This Row],ProductsCalcTable[#Headers],"Volume")</f>
        <v>8.6781279826218909E-3</v>
      </c>
      <c r="AV19" s="81">
        <f>SUMIFS(FiancialTable[[#This Row],[Total]:[Other]],FiancialTable[[#Headers],[Total]:[Other]],LEFT(AV$4,LEN(AV$4)-4))/SUMIFS(ProductsCalcTable[#This Row],ProductsCalcTable[#Headers],"Volume")</f>
        <v>8.9219028602203244E-3</v>
      </c>
      <c r="AW19" s="81">
        <f>SUMIFS(FiancialTable[[#This Row],[Total]:[Other]],FiancialTable[[#Headers],[Total]:[Other]],LEFT(AW$4,LEN(AW$4)-4))/SUMIFS(ProductsCalcTable[#This Row],ProductsCalcTable[#Headers],"Volume")</f>
        <v>8.8155154682096112E-3</v>
      </c>
    </row>
    <row r="20" spans="1:49" x14ac:dyDescent="0.3">
      <c r="A20" t="s">
        <v>16</v>
      </c>
      <c r="B20" s="3" t="s">
        <v>73</v>
      </c>
      <c r="C20" t="s">
        <v>11</v>
      </c>
      <c r="D20">
        <v>2022</v>
      </c>
      <c r="E20" s="20" cm="1">
        <f t="array" ref="E20">_xlfn.XLOOKUP(ProductsCalcTable[[#This Row],[Products]]&amp;ProductsCalcTable[[#This Row],[Year]],ProductRatesTable[Products]&amp;ProductRatesTable[Year],ProductRatesTable[Retail Price],"Not Found",0)</f>
        <v>8.1340000000000003</v>
      </c>
      <c r="F20" s="7" cm="1">
        <f t="array" ref="F20">_xlfn.XLOOKUP(ProductsCalcTable[[#This Row],[Products]]&amp;ProductsCalcTable[[#This Row],[Year]],ProductRatesTable[Products]&amp;ProductRatesTable[Year],ProductRatesTable[Share of Retail Costs],"Not Found",0)</f>
        <v>0.5</v>
      </c>
      <c r="G20" s="4">
        <f>SUMIFS(VolumesTable[Volume],VolumesTable[Products],$A20,VolumesTable[Year],ProductsCalcTable[[#This Row],[Year]])</f>
        <v>291878</v>
      </c>
      <c r="H20" s="18">
        <f>ProductsCalcTable[[#This Row],[Retail Price]]*ProductsCalcTable[[#This Row],[Volume]]</f>
        <v>2374135.6520000002</v>
      </c>
      <c r="I20" s="18">
        <f t="shared" si="10"/>
        <v>1218673.0087787674</v>
      </c>
      <c r="J20" s="27">
        <f>ProductsCalcTable[[#This Row],[Actual Costs]]/ProductsCalcTable[[#This Row],[Volume]]</f>
        <v>4.1752821685045376</v>
      </c>
      <c r="K20" s="27">
        <f>SUMIFS(ProductsCalcTable[Cost Per Unit],ProductsCalcTable[Products],$A20,ProductsCalcTable[Year],$D20-1)</f>
        <v>4.0759333585263642</v>
      </c>
      <c r="M20" s="23">
        <f>INDEX(Costs!$F$5:$J$30,MATCH(M$4,Costs!$C$5:$C$30,0),MATCH($D20,Costs!$F$4:$J$4,0))</f>
        <v>127308</v>
      </c>
      <c r="N20" s="23">
        <f>INDEX(Costs!$F$5:$J$30,MATCH(N$4,Costs!$C$5:$C$30,0),MATCH($D20,Costs!$F$4:$J$4,0))</f>
        <v>74263</v>
      </c>
      <c r="O20" s="31"/>
      <c r="P20" s="55">
        <f t="shared" si="30"/>
        <v>4.4954803242161478</v>
      </c>
      <c r="Q20" s="51"/>
      <c r="R20" s="121" t="str">
        <f t="shared" si="13"/>
        <v>Spur Gears 8MM</v>
      </c>
      <c r="S20" s="122">
        <f t="shared" si="14"/>
        <v>2022</v>
      </c>
      <c r="T20"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0.27050570533064672</v>
      </c>
      <c r="U20"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4.5444958495548651</v>
      </c>
      <c r="V20" s="124">
        <f t="shared" si="15"/>
        <v>1218673.0087787674</v>
      </c>
      <c r="W20" s="124">
        <f>FiancialTable[[#This Row],[Mngmt FTEs]]*M20</f>
        <v>34437.54033423397</v>
      </c>
      <c r="X20" s="124">
        <f>FiancialTable[[#This Row],[Prod''n FTEs]]*N20</f>
        <v>337487.89527549292</v>
      </c>
      <c r="Y20" s="124">
        <f>SUMIFS(INDEX(Costs!$AA$15:$AC$29,0,MATCH($B20,Costs!$AA$4:$AC$4,0)),Costs!$A$15:$A$29,Y$4,Costs!$E$15:$E$29,$B20)*SUMIFS(Y:Y,$D:$D,($D20+1),$A:$A,$A20)/SUMIFS(Y:Y,$D:$D,($D20+1),$B:$B,$B20)</f>
        <v>158914.00139654501</v>
      </c>
      <c r="Z20"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15155.757323389988</v>
      </c>
      <c r="AA20" s="124">
        <f>SUMIFS(INDEX(Costs!$O$5:$AI$30,MATCH(AA$4,Costs!$A$5:$A$30,0),0),Costs!$O$2:$AI$2,$D20,Costs!$O$4:$AI$4,$B20)*SUMIFS(AA:AA,$D:$D,($D20+1),$A:$A,$A20)/SUMIFS(AA:AA,$D:$D,($D20+1),$B:$B,$B20)</f>
        <v>35119.116330728182</v>
      </c>
      <c r="AB20" s="124">
        <f>SUMIFS(ProductRatesTable[Materials CPU],ProductRatesTable[Year],$D20,ProductRatesTable[Products],$A20)*ProductsCalcTable[[#This Row],[Volume]]</f>
        <v>539631.34314171807</v>
      </c>
      <c r="AC20" s="124">
        <f>SUMIFS(INDEX(Costs!$F$5:$I$30,0,MATCH(ProductsCalcTable[[#This Row],[Year]],Costs!$F$4:$I$4,0)),Costs!$A$5:$A$30,AC$4,Costs!$E$5:$E$30,$B20)/SUMIFS(ProductsCalcTable[Volume],ProductsCalcTable[Year],ProductsCalcTable[[#This Row],[Year]],ProductsCalcTable[Department Name],ProductsCalcTable[[#This Row],[Department Name]])*ProductsCalcTable[[#This Row],[Volume]]</f>
        <v>31639.593199609662</v>
      </c>
      <c r="AD20" s="124">
        <f>SUMIFS(INDEX(Costs!$F$5:$I$30,0,MATCH(ProductsCalcTable[[#This Row],[Year]],Costs!$F$4:$I$4,0)),Costs!$A$5:$A$30,AD$4,Costs!$E$5:$E$30,$B20)/SUMIFS(ProductsCalcTable[Volume],ProductsCalcTable[Year],ProductsCalcTable[[#This Row],[Year]],ProductsCalcTable[Department Name],ProductsCalcTable[[#This Row],[Department Name]])*ProductsCalcTable[[#This Row],[Volume]]</f>
        <v>32683.950789306415</v>
      </c>
      <c r="AE20" s="124">
        <f>INDEX(Costs!$AF$15:$AH$29,MATCH(AE$4,Costs!$A$15:$A$29,0),MATCH($B20,Costs!$AF$4:$AH$4,0))/SUMIFS(ProductsCalcTable[Volume],ProductsCalcTable[Year],ProductsCalcTable[[#This Row],[Year]],ProductsCalcTable[Department Name],ProductsCalcTable[[#This Row],[Department Name]])*ProductsCalcTable[[#This Row],[Volume]]</f>
        <v>33603.810987743389</v>
      </c>
      <c r="AK20" s="80">
        <f>SUMIFS(ProductsCalcTable[#This Row],ProductsCalcTable[#Headers],"Cost Per Unit")-AL20</f>
        <v>0</v>
      </c>
      <c r="AL20" s="80">
        <f t="shared" si="16"/>
        <v>4.1752821685045385</v>
      </c>
      <c r="AM20" s="81">
        <f>SUMIFS(FiancialTable[[#This Row],[Total]:[Other]],FiancialTable[[#Headers],[Total]:[Other]],LEFT(AM$4,LEN(AM$4)-4))/SUMIFS(ProductsCalcTable[#This Row],ProductsCalcTable[#Headers],"Volume")</f>
        <v>0.11798607751949092</v>
      </c>
      <c r="AN20" s="81">
        <f>SUMIFS(FiancialTable[[#This Row],[Total]:[Other]],FiancialTable[[#Headers],[Total]:[Other]],LEFT(AN$4,LEN(AN$4)-4))/SUMIFS(ProductsCalcTable[#This Row],ProductsCalcTable[#Headers],"Volume")</f>
        <v>1.1562635596910111</v>
      </c>
      <c r="AO20" s="85">
        <f t="shared" si="17"/>
        <v>1.2742496372105021</v>
      </c>
      <c r="AP20" s="81">
        <f>SUMIFS(FiancialTable[[#This Row],[Total]:[Other]],FiancialTable[[#Headers],[Total]:[Other]],LEFT(AP$4,LEN(AP$4)-4))/SUMIFS(ProductsCalcTable[#This Row],ProductsCalcTable[#Headers],"Volume")</f>
        <v>0.54445350933110759</v>
      </c>
      <c r="AQ20" s="81">
        <f>SUMIFS(FiancialTable[[#This Row],[Total]:[Other]],FiancialTable[[#Headers],[Total]:[Other]],LEFT(AQ$4,LEN(AQ$4)-4))/SUMIFS(ProductsCalcTable[#This Row],ProductsCalcTable[#Headers],"Volume")</f>
        <v>5.1924973185337668E-2</v>
      </c>
      <c r="AR20" s="85">
        <f t="shared" si="18"/>
        <v>0.59637848251644521</v>
      </c>
      <c r="AS20" s="81">
        <f>SUMIFS(FiancialTable[[#This Row],[Total]:[Other]],FiancialTable[[#Headers],[Total]:[Other]],LEFT(AS$4,LEN(AS$4)-4))/SUMIFS(ProductsCalcTable[#This Row],ProductsCalcTable[#Headers],"Volume")</f>
        <v>0.12032121753173648</v>
      </c>
      <c r="AT20" s="81">
        <f>SUMIFS(FiancialTable[[#This Row],[Total]:[Other]],FiancialTable[[#Headers],[Total]:[Other]],LEFT(AT$4,LEN(AT$4)-4))/SUMIFS(ProductsCalcTable[#This Row],ProductsCalcTable[#Headers],"Volume")</f>
        <v>1.8488249992864076</v>
      </c>
      <c r="AU20" s="81">
        <f>SUMIFS(FiancialTable[[#This Row],[Total]:[Other]],FiancialTable[[#Headers],[Total]:[Other]],LEFT(AU$4,LEN(AU$4)-4))/SUMIFS(ProductsCalcTable[#This Row],ProductsCalcTable[#Headers],"Volume")</f>
        <v>0.10840006166826435</v>
      </c>
      <c r="AV20" s="81">
        <f>SUMIFS(FiancialTable[[#This Row],[Total]:[Other]],FiancialTable[[#Headers],[Total]:[Other]],LEFT(AV$4,LEN(AV$4)-4))/SUMIFS(ProductsCalcTable[#This Row],ProductsCalcTable[#Headers],"Volume")</f>
        <v>0.11197812369999251</v>
      </c>
      <c r="AW20" s="81">
        <f>SUMIFS(FiancialTable[[#This Row],[Total]:[Other]],FiancialTable[[#Headers],[Total]:[Other]],LEFT(AW$4,LEN(AW$4)-4))/SUMIFS(ProductsCalcTable[#This Row],ProductsCalcTable[#Headers],"Volume")</f>
        <v>0.11512964659119011</v>
      </c>
    </row>
    <row r="21" spans="1:49" x14ac:dyDescent="0.3">
      <c r="A21" t="s">
        <v>15</v>
      </c>
      <c r="B21" s="3" t="s">
        <v>73</v>
      </c>
      <c r="C21" t="s">
        <v>11</v>
      </c>
      <c r="D21">
        <v>2022</v>
      </c>
      <c r="E21" s="20" cm="1">
        <f t="array" ref="E21">_xlfn.XLOOKUP(ProductsCalcTable[[#This Row],[Products]]&amp;ProductsCalcTable[[#This Row],[Year]],ProductRatesTable[Products]&amp;ProductRatesTable[Year],ProductRatesTable[Retail Price],"Not Found",0)</f>
        <v>8.82</v>
      </c>
      <c r="F21" s="7" cm="1">
        <f t="array" ref="F21">_xlfn.XLOOKUP(ProductsCalcTable[[#This Row],[Products]]&amp;ProductsCalcTable[[#This Row],[Year]],ProductRatesTable[Products]&amp;ProductRatesTable[Year],ProductRatesTable[Share of Retail Costs],"Not Found",0)</f>
        <v>0.5</v>
      </c>
      <c r="G21" s="4">
        <f>SUMIFS(VolumesTable[Volume],VolumesTable[Products],$A21,VolumesTable[Year],ProductsCalcTable[[#This Row],[Year]])</f>
        <v>433176</v>
      </c>
      <c r="H21" s="18">
        <f>ProductsCalcTable[[#This Row],[Retail Price]]*ProductsCalcTable[[#This Row],[Volume]]</f>
        <v>3820612.3200000003</v>
      </c>
      <c r="I21" s="18">
        <f t="shared" si="10"/>
        <v>1938490.1086291168</v>
      </c>
      <c r="J21" s="27">
        <f>ProductsCalcTable[[#This Row],[Actual Costs]]/ProductsCalcTable[[#This Row],[Volume]]</f>
        <v>4.4750635045088298</v>
      </c>
      <c r="K21" s="27">
        <f>SUMIFS(ProductsCalcTable[Cost Per Unit],ProductsCalcTable[Products],$A21,ProductsCalcTable[Year],$D21-1)</f>
        <v>4.3537923832446381</v>
      </c>
      <c r="M21" s="23">
        <f>INDEX(Costs!$F$5:$J$30,MATCH(M$4,Costs!$C$5:$C$30,0),MATCH($D21,Costs!$F$4:$J$4,0))</f>
        <v>127308</v>
      </c>
      <c r="N21" s="23">
        <f>INDEX(Costs!$F$5:$J$30,MATCH(N$4,Costs!$C$5:$C$30,0),MATCH($D21,Costs!$F$4:$J$4,0))</f>
        <v>74263</v>
      </c>
      <c r="O21" s="31"/>
      <c r="P21" s="55">
        <f t="shared" si="30"/>
        <v>7.2344170799798109</v>
      </c>
      <c r="Q21" s="51"/>
      <c r="R21" s="121" t="str">
        <f t="shared" si="13"/>
        <v>Helical Gears 8MM</v>
      </c>
      <c r="S21" s="122">
        <f t="shared" si="14"/>
        <v>2022</v>
      </c>
      <c r="T21"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0.43531523969404523</v>
      </c>
      <c r="U21"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7.3132960268599598</v>
      </c>
      <c r="V21" s="124">
        <f t="shared" si="15"/>
        <v>1938490.1086291168</v>
      </c>
      <c r="W21" s="124">
        <f>FiancialTable[[#This Row],[Mngmt FTEs]]*M21</f>
        <v>55419.112534969507</v>
      </c>
      <c r="X21" s="124">
        <f>FiancialTable[[#This Row],[Prod''n FTEs]]*N21</f>
        <v>543107.3028427012</v>
      </c>
      <c r="Y21" s="124">
        <f>SUMIFS(INDEX(Costs!$AA$15:$AC$29,0,MATCH($B21,Costs!$AA$4:$AC$4,0)),Costs!$A$15:$A$29,Y$4,Costs!$E$15:$E$29,$B21)*SUMIFS(Y:Y,$D:$D,($D21+1),$A:$A,$A21)/SUMIFS(Y:Y,$D:$D,($D21+1),$B:$B,$B21)</f>
        <v>247200.5813825824</v>
      </c>
      <c r="Z21"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24389.62285069716</v>
      </c>
      <c r="AA21" s="124">
        <f>SUMIFS(INDEX(Costs!$O$5:$AI$30,MATCH(AA$4,Costs!$A$5:$A$30,0),0),Costs!$O$2:$AI$2,$D21,Costs!$O$4:$AI$4,$B21)*SUMIFS(AA:AA,$D:$D,($D21+1),$A:$A,$A21)/SUMIFS(AA:AA,$D:$D,($D21+1),$B:$B,$B21)</f>
        <v>54629.962736482295</v>
      </c>
      <c r="AB21" s="124">
        <f>SUMIFS(ProductRatesTable[Materials CPU],ProductRatesTable[Year],$D21,ProductRatesTable[Products],$A21)*ProductsCalcTable[[#This Row],[Volume]]</f>
        <v>868409.58566481911</v>
      </c>
      <c r="AC21" s="124">
        <f>SUMIFS(INDEX(Costs!$F$5:$I$30,0,MATCH(ProductsCalcTable[[#This Row],[Year]],Costs!$F$4:$I$4,0)),Costs!$A$5:$A$30,AC$4,Costs!$E$5:$E$30,$B21)/SUMIFS(ProductsCalcTable[Volume],ProductsCalcTable[Year],ProductsCalcTable[[#This Row],[Year]],ProductsCalcTable[Department Name],ProductsCalcTable[[#This Row],[Department Name]])*ProductsCalcTable[[#This Row],[Volume]]</f>
        <v>46956.305113212082</v>
      </c>
      <c r="AD21" s="124">
        <f>SUMIFS(INDEX(Costs!$F$5:$I$30,0,MATCH(ProductsCalcTable[[#This Row],[Year]],Costs!$F$4:$I$4,0)),Costs!$A$5:$A$30,AD$4,Costs!$E$5:$E$30,$B21)/SUMIFS(ProductsCalcTable[Volume],ProductsCalcTable[Year],ProductsCalcTable[[#This Row],[Year]],ProductsCalcTable[Department Name],ProductsCalcTable[[#This Row],[Department Name]])*ProductsCalcTable[[#This Row],[Volume]]</f>
        <v>48506.235711867957</v>
      </c>
      <c r="AE21" s="124">
        <f>INDEX(Costs!$AF$15:$AH$29,MATCH(AE$4,Costs!$A$15:$A$29,0),MATCH($B21,Costs!$AF$4:$AH$4,0))/SUMIFS(ProductsCalcTable[Volume],ProductsCalcTable[Year],ProductsCalcTable[[#This Row],[Year]],ProductsCalcTable[Department Name],ProductsCalcTable[[#This Row],[Department Name]])*ProductsCalcTable[[#This Row],[Volume]]</f>
        <v>49871.39979178537</v>
      </c>
      <c r="AK21" s="80">
        <f>SUMIFS(ProductsCalcTable[#This Row],ProductsCalcTable[#Headers],"Cost Per Unit")-AL21</f>
        <v>0</v>
      </c>
      <c r="AL21" s="80">
        <f t="shared" si="16"/>
        <v>4.4750635045088298</v>
      </c>
      <c r="AM21" s="81">
        <f>SUMIFS(FiancialTable[[#This Row],[Total]:[Other]],FiancialTable[[#Headers],[Total]:[Other]],LEFT(AM$4,LEN(AM$4)-4))/SUMIFS(ProductsCalcTable[#This Row],ProductsCalcTable[#Headers],"Volume")</f>
        <v>0.12793671056330339</v>
      </c>
      <c r="AN21" s="81">
        <f>SUMIFS(FiancialTable[[#This Row],[Total]:[Other]],FiancialTable[[#Headers],[Total]:[Other]],LEFT(AN$4,LEN(AN$4)-4))/SUMIFS(ProductsCalcTable[#This Row],ProductsCalcTable[#Headers],"Volume")</f>
        <v>1.2537797635203733</v>
      </c>
      <c r="AO21" s="85">
        <f t="shared" si="17"/>
        <v>1.3817164740836767</v>
      </c>
      <c r="AP21" s="81">
        <f>SUMIFS(FiancialTable[[#This Row],[Total]:[Other]],FiancialTable[[#Headers],[Total]:[Other]],LEFT(AP$4,LEN(AP$4)-4))/SUMIFS(ProductsCalcTable[#This Row],ProductsCalcTable[#Headers],"Volume")</f>
        <v>0.57067007724939145</v>
      </c>
      <c r="AQ21" s="81">
        <f>SUMIFS(FiancialTable[[#This Row],[Total]:[Other]],FiancialTable[[#Headers],[Total]:[Other]],LEFT(AQ$4,LEN(AQ$4)-4))/SUMIFS(ProductsCalcTable[#This Row],ProductsCalcTable[#Headers],"Volume")</f>
        <v>5.6304187791329993E-2</v>
      </c>
      <c r="AR21" s="85">
        <f t="shared" si="18"/>
        <v>0.6269742650407214</v>
      </c>
      <c r="AS21" s="81">
        <f>SUMIFS(FiancialTable[[#This Row],[Total]:[Other]],FiancialTable[[#Headers],[Total]:[Other]],LEFT(AS$4,LEN(AS$4)-4))/SUMIFS(ProductsCalcTable[#This Row],ProductsCalcTable[#Headers],"Volume")</f>
        <v>0.12611493419876055</v>
      </c>
      <c r="AT21" s="81">
        <f>SUMIFS(FiancialTable[[#This Row],[Total]:[Other]],FiancialTable[[#Headers],[Total]:[Other]],LEFT(AT$4,LEN(AT$4)-4))/SUMIFS(ProductsCalcTable[#This Row],ProductsCalcTable[#Headers],"Volume")</f>
        <v>2.0047499992262248</v>
      </c>
      <c r="AU21" s="81">
        <f>SUMIFS(FiancialTable[[#This Row],[Total]:[Other]],FiancialTable[[#Headers],[Total]:[Other]],LEFT(AU$4,LEN(AU$4)-4))/SUMIFS(ProductsCalcTable[#This Row],ProductsCalcTable[#Headers],"Volume")</f>
        <v>0.10840006166826435</v>
      </c>
      <c r="AV21" s="81">
        <f>SUMIFS(FiancialTable[[#This Row],[Total]:[Other]],FiancialTable[[#Headers],[Total]:[Other]],LEFT(AV$4,LEN(AV$4)-4))/SUMIFS(ProductsCalcTable[#This Row],ProductsCalcTable[#Headers],"Volume")</f>
        <v>0.11197812369999252</v>
      </c>
      <c r="AW21" s="81">
        <f>SUMIFS(FiancialTable[[#This Row],[Total]:[Other]],FiancialTable[[#Headers],[Total]:[Other]],LEFT(AW$4,LEN(AW$4)-4))/SUMIFS(ProductsCalcTable[#This Row],ProductsCalcTable[#Headers],"Volume")</f>
        <v>0.11512964659119011</v>
      </c>
    </row>
    <row r="22" spans="1:49" x14ac:dyDescent="0.3">
      <c r="A22" t="s">
        <v>13</v>
      </c>
      <c r="B22" s="3" t="s">
        <v>73</v>
      </c>
      <c r="C22" t="s">
        <v>11</v>
      </c>
      <c r="D22">
        <v>2022</v>
      </c>
      <c r="E22" s="20" cm="1">
        <f t="array" ref="E22">_xlfn.XLOOKUP(ProductsCalcTable[[#This Row],[Products]]&amp;ProductsCalcTable[[#This Row],[Year]],ProductRatesTable[Products]&amp;ProductRatesTable[Year],ProductRatesTable[Retail Price],"Not Found",0)</f>
        <v>10.29</v>
      </c>
      <c r="F22" s="7" cm="1">
        <f t="array" ref="F22">_xlfn.XLOOKUP(ProductsCalcTable[[#This Row],[Products]]&amp;ProductsCalcTable[[#This Row],[Year]],ProductRatesTable[Products]&amp;ProductRatesTable[Year],ProductRatesTable[Share of Retail Costs],"Not Found",0)</f>
        <v>0.5</v>
      </c>
      <c r="G22" s="4">
        <f>SUMIFS(VolumesTable[Volume],VolumesTable[Products],$A22,VolumesTable[Year],ProductsCalcTable[[#This Row],[Year]])</f>
        <v>238947</v>
      </c>
      <c r="H22" s="18">
        <f>ProductsCalcTable[[#This Row],[Retail Price]]*ProductsCalcTable[[#This Row],[Volume]]</f>
        <v>2458764.63</v>
      </c>
      <c r="I22" s="18">
        <f t="shared" si="10"/>
        <v>1240256.5441175413</v>
      </c>
      <c r="J22" s="27">
        <f>ProductsCalcTable[[#This Row],[Actual Costs]]/ProductsCalcTable[[#This Row],[Volume]]</f>
        <v>5.1905089585453732</v>
      </c>
      <c r="K22" s="27">
        <f>SUMIFS(ProductsCalcTable[Cost Per Unit],ProductsCalcTable[Products],$A22,ProductsCalcTable[Year],$D22-1)</f>
        <v>5.0450964037407671</v>
      </c>
      <c r="M22" s="23">
        <f>INDEX(Costs!$F$5:$J$30,MATCH(M$4,Costs!$C$5:$C$30,0),MATCH($D22,Costs!$F$4:$J$4,0))</f>
        <v>127308</v>
      </c>
      <c r="N22" s="23">
        <f>INDEX(Costs!$F$5:$J$30,MATCH(N$4,Costs!$C$5:$C$30,0),MATCH($D22,Costs!$F$4:$J$4,0))</f>
        <v>74263</v>
      </c>
      <c r="O22" s="31"/>
      <c r="P22" s="55">
        <f t="shared" si="30"/>
        <v>4.6557272356076789</v>
      </c>
      <c r="Q22" s="51"/>
      <c r="R22" s="121" t="str">
        <f t="shared" si="13"/>
        <v>Bevel Gears</v>
      </c>
      <c r="S22" s="122">
        <f t="shared" si="14"/>
        <v>2022</v>
      </c>
      <c r="T22"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0.28014821306436305</v>
      </c>
      <c r="U22"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4.7064899794812991</v>
      </c>
      <c r="V22" s="124">
        <f t="shared" si="15"/>
        <v>1240256.5441175413</v>
      </c>
      <c r="W22" s="124">
        <f>FiancialTable[[#This Row],[Mngmt FTEs]]*M22</f>
        <v>35665.108708797932</v>
      </c>
      <c r="X22" s="124">
        <f>FiancialTable[[#This Row],[Prod''n FTEs]]*N22</f>
        <v>349518.06534621969</v>
      </c>
      <c r="Y22" s="124">
        <f>SUMIFS(INDEX(Costs!$AA$15:$AC$29,0,MATCH($B22,Costs!$AA$4:$AC$4,0)),Costs!$A$15:$A$29,Y$4,Costs!$E$15:$E$29,$B22)*SUMIFS(Y:Y,$D:$D,($D22+1),$A:$A,$A22)/SUMIFS(Y:Y,$D:$D,($D22+1),$B:$B,$B22)</f>
        <v>164080.68744167115</v>
      </c>
      <c r="Z22"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15696.002886870747</v>
      </c>
      <c r="AA22" s="124">
        <f>SUMIFS(INDEX(Costs!$O$5:$AI$30,MATCH(AA$4,Costs!$A$5:$A$30,0),0),Costs!$O$2:$AI$2,$D22,Costs!$O$4:$AI$4,$B22)*SUMIFS(AA:AA,$D:$D,($D22+1),$A:$A,$A22)/SUMIFS(AA:AA,$D:$D,($D22+1),$B:$B,$B22)</f>
        <v>36260.925401474284</v>
      </c>
      <c r="AB22" s="124">
        <f>SUMIFS(ProductRatesTable[Materials CPU],ProductRatesTable[Year],$D22,ProductRatesTable[Products],$A22)*ProductsCalcTable[[#This Row],[Volume]]</f>
        <v>558867.16440929344</v>
      </c>
      <c r="AC22" s="124">
        <f>SUMIFS(INDEX(Costs!$F$5:$I$30,0,MATCH(ProductsCalcTable[[#This Row],[Year]],Costs!$F$4:$I$4,0)),Costs!$A$5:$A$30,AC$4,Costs!$E$5:$E$30,$B22)/SUMIFS(ProductsCalcTable[Volume],ProductsCalcTable[Year],ProductsCalcTable[[#This Row],[Year]],ProductsCalcTable[Department Name],ProductsCalcTable[[#This Row],[Department Name]])*ProductsCalcTable[[#This Row],[Volume]]</f>
        <v>25901.869535446764</v>
      </c>
      <c r="AD22" s="124">
        <f>SUMIFS(INDEX(Costs!$F$5:$I$30,0,MATCH(ProductsCalcTable[[#This Row],[Year]],Costs!$F$4:$I$4,0)),Costs!$A$5:$A$30,AD$4,Costs!$E$5:$E$30,$B22)/SUMIFS(ProductsCalcTable[Volume],ProductsCalcTable[Year],ProductsCalcTable[[#This Row],[Year]],ProductsCalcTable[Department Name],ProductsCalcTable[[#This Row],[Department Name]])*ProductsCalcTable[[#This Row],[Volume]]</f>
        <v>26756.836723742108</v>
      </c>
      <c r="AE22" s="124">
        <f>INDEX(Costs!$AF$15:$AH$29,MATCH(AE$4,Costs!$A$15:$A$29,0),MATCH($B22,Costs!$AF$4:$AH$4,0))/SUMIFS(ProductsCalcTable[Volume],ProductsCalcTable[Year],ProductsCalcTable[[#This Row],[Year]],ProductsCalcTable[Department Name],ProductsCalcTable[[#This Row],[Department Name]])*ProductsCalcTable[[#This Row],[Volume]]</f>
        <v>27509.883664025103</v>
      </c>
      <c r="AK22" s="80">
        <f>SUMIFS(ProductsCalcTable[#This Row],ProductsCalcTable[#Headers],"Cost Per Unit")-AL22</f>
        <v>0</v>
      </c>
      <c r="AL22" s="80">
        <f t="shared" si="16"/>
        <v>5.1905089585453732</v>
      </c>
      <c r="AM22" s="81">
        <f>SUMIFS(FiancialTable[[#This Row],[Total]:[Other]],FiancialTable[[#Headers],[Total]:[Other]],LEFT(AM$4,LEN(AM$4)-4))/SUMIFS(ProductsCalcTable[#This Row],ProductsCalcTable[#Headers],"Volume")</f>
        <v>0.1492594956571873</v>
      </c>
      <c r="AN22" s="81">
        <f>SUMIFS(FiancialTable[[#This Row],[Total]:[Other]],FiancialTable[[#Headers],[Total]:[Other]],LEFT(AN$4,LEN(AN$4)-4))/SUMIFS(ProductsCalcTable[#This Row],ProductsCalcTable[#Headers],"Volume")</f>
        <v>1.4627430574404352</v>
      </c>
      <c r="AO22" s="85">
        <f t="shared" si="17"/>
        <v>1.6120025530976225</v>
      </c>
      <c r="AP22" s="81">
        <f>SUMIFS(FiancialTable[[#This Row],[Total]:[Other]],FiancialTable[[#Headers],[Total]:[Other]],LEFT(AP$4,LEN(AP$4)-4))/SUMIFS(ProductsCalcTable[#This Row],ProductsCalcTable[#Headers],"Volume")</f>
        <v>0.68668234981678422</v>
      </c>
      <c r="AQ22" s="81">
        <f>SUMIFS(FiancialTable[[#This Row],[Total]:[Other]],FiancialTable[[#Headers],[Total]:[Other]],LEFT(AQ$4,LEN(AQ$4)-4))/SUMIFS(ProductsCalcTable[#This Row],ProductsCalcTable[#Headers],"Volume")</f>
        <v>6.568821908988498E-2</v>
      </c>
      <c r="AR22" s="85">
        <f t="shared" si="18"/>
        <v>0.7523705689066692</v>
      </c>
      <c r="AS22" s="81">
        <f>SUMIFS(FiancialTable[[#This Row],[Total]:[Other]],FiancialTable[[#Headers],[Total]:[Other]],LEFT(AS$4,LEN(AS$4)-4))/SUMIFS(ProductsCalcTable[#This Row],ProductsCalcTable[#Headers],"Volume")</f>
        <v>0.15175300548437221</v>
      </c>
      <c r="AT22" s="81">
        <f>SUMIFS(FiancialTable[[#This Row],[Total]:[Other]],FiancialTable[[#Headers],[Total]:[Other]],LEFT(AT$4,LEN(AT$4)-4))/SUMIFS(ProductsCalcTable[#This Row],ProductsCalcTable[#Headers],"Volume")</f>
        <v>2.3388749990972619</v>
      </c>
      <c r="AU22" s="81">
        <f>SUMIFS(FiancialTable[[#This Row],[Total]:[Other]],FiancialTable[[#Headers],[Total]:[Other]],LEFT(AU$4,LEN(AU$4)-4))/SUMIFS(ProductsCalcTable[#This Row],ProductsCalcTable[#Headers],"Volume")</f>
        <v>0.10840006166826435</v>
      </c>
      <c r="AV22" s="81">
        <f>SUMIFS(FiancialTable[[#This Row],[Total]:[Other]],FiancialTable[[#Headers],[Total]:[Other]],LEFT(AV$4,LEN(AV$4)-4))/SUMIFS(ProductsCalcTable[#This Row],ProductsCalcTable[#Headers],"Volume")</f>
        <v>0.11197812369999251</v>
      </c>
      <c r="AW22" s="81">
        <f>SUMIFS(FiancialTable[[#This Row],[Total]:[Other]],FiancialTable[[#Headers],[Total]:[Other]],LEFT(AW$4,LEN(AW$4)-4))/SUMIFS(ProductsCalcTable[#This Row],ProductsCalcTable[#Headers],"Volume")</f>
        <v>0.11512964659119011</v>
      </c>
    </row>
    <row r="23" spans="1:49" x14ac:dyDescent="0.3">
      <c r="A23" t="s">
        <v>14</v>
      </c>
      <c r="B23" s="3" t="s">
        <v>73</v>
      </c>
      <c r="C23" t="s">
        <v>11</v>
      </c>
      <c r="D23">
        <v>2022</v>
      </c>
      <c r="E23" s="20" cm="1">
        <f t="array" ref="E23">_xlfn.XLOOKUP(ProductsCalcTable[[#This Row],[Products]]&amp;ProductsCalcTable[[#This Row],[Year]],ProductRatesTable[Products]&amp;ProductRatesTable[Year],ProductRatesTable[Retail Price],"Not Found",0)</f>
        <v>11.76</v>
      </c>
      <c r="F23" s="7" cm="1">
        <f t="array" ref="F23">_xlfn.XLOOKUP(ProductsCalcTable[[#This Row],[Products]]&amp;ProductsCalcTable[[#This Row],[Year]],ProductRatesTable[Products]&amp;ProductRatesTable[Year],ProductRatesTable[Share of Retail Costs],"Not Found",0)</f>
        <v>0.5</v>
      </c>
      <c r="G23" s="4">
        <f>SUMIFS(VolumesTable[Volume],VolumesTable[Products],$A23,VolumesTable[Year],ProductsCalcTable[[#This Row],[Year]])</f>
        <v>197050</v>
      </c>
      <c r="H23" s="18">
        <f>ProductsCalcTable[[#This Row],[Retail Price]]*ProductsCalcTable[[#This Row],[Volume]]</f>
        <v>2317308</v>
      </c>
      <c r="I23" s="18">
        <f t="shared" si="10"/>
        <v>1158437.1552914558</v>
      </c>
      <c r="J23" s="27">
        <f>ProductsCalcTable[[#This Row],[Actual Costs]]/ProductsCalcTable[[#This Row],[Volume]]</f>
        <v>5.878899544742227</v>
      </c>
      <c r="K23" s="27">
        <f>SUMIFS(ProductsCalcTable[Cost Per Unit],ProductsCalcTable[Products],$A23,ProductsCalcTable[Year],$D23-1)</f>
        <v>5.7123094521022031</v>
      </c>
      <c r="M23" s="23">
        <f>INDEX(Costs!$F$5:$J$30,MATCH(M$4,Costs!$C$5:$C$30,0),MATCH($D23,Costs!$F$4:$J$4,0))</f>
        <v>127308</v>
      </c>
      <c r="N23" s="23">
        <f>INDEX(Costs!$F$5:$J$30,MATCH(N$4,Costs!$C$5:$C$30,0),MATCH($D23,Costs!$F$4:$J$4,0))</f>
        <v>74263</v>
      </c>
      <c r="O23" s="31"/>
      <c r="P23" s="55">
        <f t="shared" si="30"/>
        <v>4.3878758614205209</v>
      </c>
      <c r="Q23" s="51"/>
      <c r="R23" s="121" t="str">
        <f t="shared" si="13"/>
        <v>Worm Gears 2mm Hole 6mmx8mm</v>
      </c>
      <c r="S23" s="122">
        <f t="shared" si="14"/>
        <v>2022</v>
      </c>
      <c r="T23"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0.26403084191094489</v>
      </c>
      <c r="U23"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4.4357181441038742</v>
      </c>
      <c r="V23" s="124">
        <f t="shared" si="15"/>
        <v>1158437.1552914558</v>
      </c>
      <c r="W23" s="124">
        <f>FiancialTable[[#This Row],[Mngmt FTEs]]*M23</f>
        <v>33613.238421998569</v>
      </c>
      <c r="X23" s="124">
        <f>FiancialTable[[#This Row],[Prod''n FTEs]]*N23</f>
        <v>329409.73653558601</v>
      </c>
      <c r="Y23" s="124">
        <f>SUMIFS(INDEX(Costs!$AA$15:$AC$29,0,MATCH($B23,Costs!$AA$4:$AC$4,0)),Costs!$A$15:$A$29,Y$4,Costs!$E$15:$E$29,$B23)*SUMIFS(Y:Y,$D:$D,($D23+1),$A:$A,$A23)/SUMIFS(Y:Y,$D:$D,($D23+1),$B:$B,$B23)</f>
        <v>153804.72977920147</v>
      </c>
      <c r="Z23"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14792.986939042097</v>
      </c>
      <c r="AA23" s="124">
        <f>SUMIFS(INDEX(Costs!$O$5:$AI$30,MATCH(AA$4,Costs!$A$5:$A$30,0),0),Costs!$O$2:$AI$2,$D23,Costs!$O$4:$AI$4,$B23)*SUMIFS(AA:AA,$D:$D,($D23+1),$A:$A,$A23)/SUMIFS(AA:AA,$D:$D,($D23+1),$B:$B,$B23)</f>
        <v>33989.995531315239</v>
      </c>
      <c r="AB23" s="124">
        <f>SUMIFS(ProductRatesTable[Materials CPU],ProductRatesTable[Year],$D23,ProductRatesTable[Products],$A23)*ProductsCalcTable[[#This Row],[Volume]]</f>
        <v>526714.64979670348</v>
      </c>
      <c r="AC23" s="124">
        <f>SUMIFS(INDEX(Costs!$F$5:$I$30,0,MATCH(ProductsCalcTable[[#This Row],[Year]],Costs!$F$4:$I$4,0)),Costs!$A$5:$A$30,AC$4,Costs!$E$5:$E$30,$B23)/SUMIFS(ProductsCalcTable[Volume],ProductsCalcTable[Year],ProductsCalcTable[[#This Row],[Year]],ProductsCalcTable[Department Name],ProductsCalcTable[[#This Row],[Department Name]])*ProductsCalcTable[[#This Row],[Volume]]</f>
        <v>21360.232151731492</v>
      </c>
      <c r="AD23" s="124">
        <f>SUMIFS(INDEX(Costs!$F$5:$I$30,0,MATCH(ProductsCalcTable[[#This Row],[Year]],Costs!$F$4:$I$4,0)),Costs!$A$5:$A$30,AD$4,Costs!$E$5:$E$30,$B23)/SUMIFS(ProductsCalcTable[Volume],ProductsCalcTable[Year],ProductsCalcTable[[#This Row],[Year]],ProductsCalcTable[Department Name],ProductsCalcTable[[#This Row],[Department Name]])*ProductsCalcTable[[#This Row],[Volume]]</f>
        <v>22065.289275083524</v>
      </c>
      <c r="AE23" s="124">
        <f>INDEX(Costs!$AF$15:$AH$29,MATCH(AE$4,Costs!$A$15:$A$29,0),MATCH($B23,Costs!$AF$4:$AH$4,0))/SUMIFS(ProductsCalcTable[Volume],ProductsCalcTable[Year],ProductsCalcTable[[#This Row],[Year]],ProductsCalcTable[Department Name],ProductsCalcTable[[#This Row],[Department Name]])*ProductsCalcTable[[#This Row],[Volume]]</f>
        <v>22686.296860794013</v>
      </c>
      <c r="AK23" s="80">
        <f>SUMIFS(ProductsCalcTable[#This Row],ProductsCalcTable[#Headers],"Cost Per Unit")-AL23</f>
        <v>0</v>
      </c>
      <c r="AL23" s="80">
        <f t="shared" si="16"/>
        <v>5.878899544742227</v>
      </c>
      <c r="AM23" s="81">
        <f>SUMIFS(FiancialTable[[#This Row],[Total]:[Other]],FiancialTable[[#Headers],[Total]:[Other]],LEFT(AM$4,LEN(AM$4)-4))/SUMIFS(ProductsCalcTable[#This Row],ProductsCalcTable[#Headers],"Volume")</f>
        <v>0.17058228075107115</v>
      </c>
      <c r="AN23" s="81">
        <f>SUMIFS(FiancialTable[[#This Row],[Total]:[Other]],FiancialTable[[#Headers],[Total]:[Other]],LEFT(AN$4,LEN(AN$4)-4))/SUMIFS(ProductsCalcTable[#This Row],ProductsCalcTable[#Headers],"Volume")</f>
        <v>1.6717063513604973</v>
      </c>
      <c r="AO23" s="85">
        <f t="shared" si="17"/>
        <v>1.8422886321115683</v>
      </c>
      <c r="AP23" s="81">
        <f>SUMIFS(FiancialTable[[#This Row],[Total]:[Other]],FiancialTable[[#Headers],[Total]:[Other]],LEFT(AP$4,LEN(AP$4)-4))/SUMIFS(ProductsCalcTable[#This Row],ProductsCalcTable[#Headers],"Volume")</f>
        <v>0.78053656320325537</v>
      </c>
      <c r="AQ23" s="81">
        <f>SUMIFS(FiancialTable[[#This Row],[Total]:[Other]],FiancialTable[[#Headers],[Total]:[Other]],LEFT(AQ$4,LEN(AQ$4)-4))/SUMIFS(ProductsCalcTable[#This Row],ProductsCalcTable[#Headers],"Volume")</f>
        <v>7.5072250388439982E-2</v>
      </c>
      <c r="AR23" s="85">
        <f t="shared" si="18"/>
        <v>0.85560881359169538</v>
      </c>
      <c r="AS23" s="81">
        <f>SUMIFS(FiancialTable[[#This Row],[Total]:[Other]],FiancialTable[[#Headers],[Total]:[Other]],LEFT(AS$4,LEN(AS$4)-4))/SUMIFS(ProductsCalcTable[#This Row],ProductsCalcTable[#Headers],"Volume")</f>
        <v>0.17249426811121663</v>
      </c>
      <c r="AT23" s="81">
        <f>SUMIFS(FiancialTable[[#This Row],[Total]:[Other]],FiancialTable[[#Headers],[Total]:[Other]],LEFT(AT$4,LEN(AT$4)-4))/SUMIFS(ProductsCalcTable[#This Row],ProductsCalcTable[#Headers],"Volume")</f>
        <v>2.6729999989683</v>
      </c>
      <c r="AU23" s="81">
        <f>SUMIFS(FiancialTable[[#This Row],[Total]:[Other]],FiancialTable[[#Headers],[Total]:[Other]],LEFT(AU$4,LEN(AU$4)-4))/SUMIFS(ProductsCalcTable[#This Row],ProductsCalcTable[#Headers],"Volume")</f>
        <v>0.10840006166826437</v>
      </c>
      <c r="AV23" s="81">
        <f>SUMIFS(FiancialTable[[#This Row],[Total]:[Other]],FiancialTable[[#Headers],[Total]:[Other]],LEFT(AV$4,LEN(AV$4)-4))/SUMIFS(ProductsCalcTable[#This Row],ProductsCalcTable[#Headers],"Volume")</f>
        <v>0.11197812369999251</v>
      </c>
      <c r="AW23" s="81">
        <f>SUMIFS(FiancialTable[[#This Row],[Total]:[Other]],FiancialTable[[#Headers],[Total]:[Other]],LEFT(AW$4,LEN(AW$4)-4))/SUMIFS(ProductsCalcTable[#This Row],ProductsCalcTable[#Headers],"Volume")</f>
        <v>0.11512964659119011</v>
      </c>
    </row>
    <row r="24" spans="1:49" x14ac:dyDescent="0.3">
      <c r="A24" t="s">
        <v>17</v>
      </c>
      <c r="B24" s="3" t="s">
        <v>21</v>
      </c>
      <c r="C24" t="s">
        <v>12</v>
      </c>
      <c r="D24">
        <v>2022</v>
      </c>
      <c r="E24" s="20" cm="1">
        <f t="array" ref="E24">_xlfn.XLOOKUP(ProductsCalcTable[[#This Row],[Products]]&amp;ProductsCalcTable[[#This Row],[Year]],ProductRatesTable[Products]&amp;ProductRatesTable[Year],ProductRatesTable[Retail Price],"Not Found",0)</f>
        <v>21.56</v>
      </c>
      <c r="F24" s="7" cm="1">
        <f t="array" ref="F24">_xlfn.XLOOKUP(ProductsCalcTable[[#This Row],[Products]]&amp;ProductsCalcTable[[#This Row],[Year]],ProductRatesTable[Products]&amp;ProductRatesTable[Year],ProductRatesTable[Share of Retail Costs],"Not Found",0)</f>
        <v>0.5</v>
      </c>
      <c r="G24" s="4">
        <f>SUMIFS(VolumesTable[Volume],VolumesTable[Products],$A24,VolumesTable[Year],ProductsCalcTable[[#This Row],[Year]])</f>
        <v>242370</v>
      </c>
      <c r="H24" s="18">
        <f>ProductsCalcTable[[#This Row],[Retail Price]]*ProductsCalcTable[[#This Row],[Volume]]</f>
        <v>5225497.1999999993</v>
      </c>
      <c r="I24" s="18">
        <f t="shared" si="10"/>
        <v>2765899.1744186599</v>
      </c>
      <c r="J24" s="27">
        <f>ProductsCalcTable[[#This Row],[Actual Costs]]/ProductsCalcTable[[#This Row],[Volume]]</f>
        <v>11.41188750430606</v>
      </c>
      <c r="K24" s="27">
        <f>SUMIFS(ProductsCalcTable[Cost Per Unit],ProductsCalcTable[Products],$A24,ProductsCalcTable[Year],$D24-1)</f>
        <v>11.152259603746156</v>
      </c>
      <c r="M24" s="23">
        <f>INDEX(Costs!$F$5:$J$30,MATCH(M$4,Costs!$C$5:$C$30,0),MATCH($D24,Costs!$F$4:$J$4,0))</f>
        <v>127308</v>
      </c>
      <c r="N24" s="23">
        <f>INDEX(Costs!$F$5:$J$30,MATCH(N$4,Costs!$C$5:$C$30,0),MATCH($D24,Costs!$F$4:$J$4,0))</f>
        <v>74263</v>
      </c>
      <c r="O24" s="32"/>
      <c r="P24" s="55">
        <f t="shared" si="30"/>
        <v>9.4609869331540288</v>
      </c>
      <c r="Q24" s="51"/>
      <c r="R24" s="121" t="str">
        <f t="shared" si="13"/>
        <v>60-Tooth Saw blade</v>
      </c>
      <c r="S24" s="122">
        <f t="shared" si="14"/>
        <v>2022</v>
      </c>
      <c r="T24"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0.54543739752858811</v>
      </c>
      <c r="U24"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10.036048114526022</v>
      </c>
      <c r="V24" s="124">
        <f t="shared" si="15"/>
        <v>2765899.1744186599</v>
      </c>
      <c r="W24" s="124">
        <f>FiancialTable[[#This Row],[Mngmt FTEs]]*M24</f>
        <v>69438.544204569494</v>
      </c>
      <c r="X24" s="124">
        <f>FiancialTable[[#This Row],[Prod''n FTEs]]*N24</f>
        <v>745307.04112904589</v>
      </c>
      <c r="Y24" s="124">
        <f>SUMIFS(INDEX(Costs!$AA$15:$AC$29,0,MATCH($B24,Costs!$AA$4:$AC$4,0)),Costs!$A$15:$A$29,Y$4,Costs!$E$15:$E$29,$B24)*SUMIFS(Y:Y,$D:$D,($D24+1),$A:$A,$A24)/SUMIFS(Y:Y,$D:$D,($D24+1),$B:$B,$B24)</f>
        <v>289343.28679392498</v>
      </c>
      <c r="Z24"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32779.626900686206</v>
      </c>
      <c r="AA24" s="124">
        <f>SUMIFS(INDEX(Costs!$O$5:$AI$30,MATCH(AA$4,Costs!$A$5:$A$30,0),0),Costs!$O$2:$AI$2,$D24,Costs!$O$4:$AI$4,$B24)*SUMIFS(AA:AA,$D:$D,($D24+1),$A:$A,$A24)/SUMIFS(AA:AA,$D:$D,($D24+1),$B:$B,$B24)</f>
        <v>72047.631173786111</v>
      </c>
      <c r="AB24" s="124">
        <f>SUMIFS(ProductRatesTable[Materials CPU],ProductRatesTable[Year],$D24,ProductRatesTable[Products],$A24)*ProductsCalcTable[[#This Row],[Volume]]</f>
        <v>1187734.1845415693</v>
      </c>
      <c r="AC24" s="124">
        <f>SUMIFS(INDEX(Costs!$F$5:$I$30,0,MATCH(ProductsCalcTable[[#This Row],[Year]],Costs!$F$4:$I$4,0)),Costs!$A$5:$A$30,AC$4,Costs!$E$5:$E$30,$B24)/SUMIFS(ProductsCalcTable[Volume],ProductsCalcTable[Year],ProductsCalcTable[[#This Row],[Year]],ProductsCalcTable[Department Name],ProductsCalcTable[[#This Row],[Department Name]])*ProductsCalcTable[[#This Row],[Volume]]</f>
        <v>52078.15378449225</v>
      </c>
      <c r="AD24" s="124">
        <f>SUMIFS(INDEX(Costs!$F$5:$I$30,0,MATCH(ProductsCalcTable[[#This Row],[Year]],Costs!$F$4:$I$4,0)),Costs!$A$5:$A$30,AD$4,Costs!$E$5:$E$30,$B24)/SUMIFS(ProductsCalcTable[Volume],ProductsCalcTable[Year],ProductsCalcTable[[#This Row],[Year]],ProductsCalcTable[Department Name],ProductsCalcTable[[#This Row],[Department Name]])*ProductsCalcTable[[#This Row],[Volume]]</f>
        <v>158217.28840408509</v>
      </c>
      <c r="AE24" s="124">
        <f>INDEX(Costs!$AF$15:$AH$29,MATCH(AE$4,Costs!$A$15:$A$29,0),MATCH($B24,Costs!$AF$4:$AH$4,0))/SUMIFS(ProductsCalcTable[Volume],ProductsCalcTable[Year],ProductsCalcTable[[#This Row],[Year]],ProductsCalcTable[Department Name],ProductsCalcTable[[#This Row],[Department Name]])*ProductsCalcTable[[#This Row],[Volume]]</f>
        <v>158953.41748650026</v>
      </c>
      <c r="AK24" s="80">
        <f>SUMIFS(ProductsCalcTable[#This Row],ProductsCalcTable[#Headers],"Cost Per Unit")-AL24</f>
        <v>0</v>
      </c>
      <c r="AL24" s="80">
        <f t="shared" si="16"/>
        <v>11.41188750430606</v>
      </c>
      <c r="AM24" s="81">
        <f>SUMIFS(FiancialTable[[#This Row],[Total]:[Other]],FiancialTable[[#Headers],[Total]:[Other]],LEFT(AM$4,LEN(AM$4)-4))/SUMIFS(ProductsCalcTable[#This Row],ProductsCalcTable[#Headers],"Volume")</f>
        <v>0.28649809879345423</v>
      </c>
      <c r="AN24" s="81">
        <f>SUMIFS(FiancialTable[[#This Row],[Total]:[Other]],FiancialTable[[#Headers],[Total]:[Other]],LEFT(AN$4,LEN(AN$4)-4))/SUMIFS(ProductsCalcTable[#This Row],ProductsCalcTable[#Headers],"Volume")</f>
        <v>3.0750795937164082</v>
      </c>
      <c r="AO24" s="85">
        <f t="shared" si="17"/>
        <v>3.3615776925098624</v>
      </c>
      <c r="AP24" s="81">
        <f>SUMIFS(FiancialTable[[#This Row],[Total]:[Other]],FiancialTable[[#Headers],[Total]:[Other]],LEFT(AP$4,LEN(AP$4)-4))/SUMIFS(ProductsCalcTable[#This Row],ProductsCalcTable[#Headers],"Volume")</f>
        <v>1.1938081726035605</v>
      </c>
      <c r="AQ24" s="81">
        <f>SUMIFS(FiancialTable[[#This Row],[Total]:[Other]],FiancialTable[[#Headers],[Total]:[Other]],LEFT(AQ$4,LEN(AQ$4)-4))/SUMIFS(ProductsCalcTable[#This Row],ProductsCalcTable[#Headers],"Volume")</f>
        <v>0.13524622230757191</v>
      </c>
      <c r="AR24" s="85">
        <f t="shared" si="18"/>
        <v>1.3290543949111324</v>
      </c>
      <c r="AS24" s="81">
        <f>SUMIFS(FiancialTable[[#This Row],[Total]:[Other]],FiancialTable[[#Headers],[Total]:[Other]],LEFT(AS$4,LEN(AS$4)-4))/SUMIFS(ProductsCalcTable[#This Row],ProductsCalcTable[#Headers],"Volume")</f>
        <v>0.29726299118614563</v>
      </c>
      <c r="AT24" s="81">
        <f>SUMIFS(FiancialTable[[#This Row],[Total]:[Other]],FiancialTable[[#Headers],[Total]:[Other]],LEFT(AT$4,LEN(AT$4)-4))/SUMIFS(ProductsCalcTable[#This Row],ProductsCalcTable[#Headers],"Volume")</f>
        <v>4.9004999981085504</v>
      </c>
      <c r="AU24" s="81">
        <f>SUMIFS(FiancialTable[[#This Row],[Total]:[Other]],FiancialTable[[#Headers],[Total]:[Other]],LEFT(AU$4,LEN(AU$4)-4))/SUMIFS(ProductsCalcTable[#This Row],ProductsCalcTable[#Headers],"Volume")</f>
        <v>0.21487046162681953</v>
      </c>
      <c r="AV24" s="81">
        <f>SUMIFS(FiancialTable[[#This Row],[Total]:[Other]],FiancialTable[[#Headers],[Total]:[Other]],LEFT(AV$4,LEN(AV$4)-4))/SUMIFS(ProductsCalcTable[#This Row],ProductsCalcTable[#Headers],"Volume")</f>
        <v>0.65279237696119607</v>
      </c>
      <c r="AW24" s="81">
        <f>SUMIFS(FiancialTable[[#This Row],[Total]:[Other]],FiancialTable[[#Headers],[Total]:[Other]],LEFT(AW$4,LEN(AW$4)-4))/SUMIFS(ProductsCalcTable[#This Row],ProductsCalcTable[#Headers],"Volume")</f>
        <v>0.65582958900235289</v>
      </c>
    </row>
    <row r="25" spans="1:49" x14ac:dyDescent="0.3">
      <c r="A25" t="s">
        <v>19</v>
      </c>
      <c r="B25" s="3" t="s">
        <v>21</v>
      </c>
      <c r="C25" t="s">
        <v>12</v>
      </c>
      <c r="D25">
        <v>2022</v>
      </c>
      <c r="E25" s="20" cm="1">
        <f t="array" ref="E25">_xlfn.XLOOKUP(ProductsCalcTable[[#This Row],[Products]]&amp;ProductsCalcTable[[#This Row],[Year]],ProductRatesTable[Products]&amp;ProductRatesTable[Year],ProductRatesTable[Retail Price],"Not Found",0)</f>
        <v>44.1</v>
      </c>
      <c r="F25" s="7" cm="1">
        <f t="array" ref="F25">_xlfn.XLOOKUP(ProductsCalcTable[[#This Row],[Products]]&amp;ProductsCalcTable[[#This Row],[Year]],ProductRatesTable[Products]&amp;ProductRatesTable[Year],ProductRatesTable[Share of Retail Costs],"Not Found",0)</f>
        <v>0.5</v>
      </c>
      <c r="G25" s="4">
        <f>SUMIFS(VolumesTable[Volume],VolumesTable[Products],$A25,VolumesTable[Year],ProductsCalcTable[[#This Row],[Year]])</f>
        <v>224109</v>
      </c>
      <c r="H25" s="18">
        <f>ProductsCalcTable[[#This Row],[Retail Price]]*ProductsCalcTable[[#This Row],[Volume]]</f>
        <v>9883206.9000000004</v>
      </c>
      <c r="I25" s="18">
        <f t="shared" si="10"/>
        <v>4910667.9543424919</v>
      </c>
      <c r="J25" s="27">
        <f>ProductsCalcTable[[#This Row],[Actual Costs]]/ProductsCalcTable[[#This Row],[Volume]]</f>
        <v>21.911962278812954</v>
      </c>
      <c r="K25" s="27">
        <f>SUMIFS(ProductsCalcTable[Cost Per Unit],ProductsCalcTable[Products],$A25,ProductsCalcTable[Year],$D25-1)</f>
        <v>21.424915432121296</v>
      </c>
      <c r="M25" s="23">
        <f>INDEX(Costs!$F$5:$J$30,MATCH(M$4,Costs!$C$5:$C$30,0),MATCH($D25,Costs!$F$4:$J$4,0))</f>
        <v>127308</v>
      </c>
      <c r="N25" s="23">
        <f>INDEX(Costs!$F$5:$J$30,MATCH(N$4,Costs!$C$5:$C$30,0),MATCH($D25,Costs!$F$4:$J$4,0))</f>
        <v>74263</v>
      </c>
      <c r="O25" s="32"/>
      <c r="P25" s="55">
        <f t="shared" si="30"/>
        <v>17.893970230920374</v>
      </c>
      <c r="Q25" s="51"/>
      <c r="R25" s="121" t="str">
        <f t="shared" si="13"/>
        <v>Metal Cutting Circular Saw Blade</v>
      </c>
      <c r="S25" s="122">
        <f t="shared" si="14"/>
        <v>2022</v>
      </c>
      <c r="T25"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1.0316091358297133</v>
      </c>
      <c r="U25"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18.981608099266726</v>
      </c>
      <c r="V25" s="124">
        <f t="shared" si="15"/>
        <v>4910667.9543424919</v>
      </c>
      <c r="W25" s="124">
        <f>FiancialTable[[#This Row],[Mngmt FTEs]]*M25</f>
        <v>131332.09586420914</v>
      </c>
      <c r="X25" s="124">
        <f>FiancialTable[[#This Row],[Prod''n FTEs]]*N25</f>
        <v>1409631.162275845</v>
      </c>
      <c r="Y25" s="124">
        <f>SUMIFS(INDEX(Costs!$AA$15:$AC$29,0,MATCH($B25,Costs!$AA$4:$AC$4,0)),Costs!$A$15:$A$29,Y$4,Costs!$E$15:$E$29,$B25)*SUMIFS(Y:Y,$D:$D,($D25+1),$A:$A,$A25)/SUMIFS(Y:Y,$D:$D,($D25+1),$B:$B,$B25)</f>
        <v>549101.27145651029</v>
      </c>
      <c r="Z25"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61997.513799124725</v>
      </c>
      <c r="AA25" s="124">
        <f>SUMIFS(INDEX(Costs!$O$5:$AI$30,MATCH(AA$4,Costs!$A$5:$A$30,0),0),Costs!$O$2:$AI$2,$D25,Costs!$O$4:$AI$4,$B25)*SUMIFS(AA:AA,$D:$D,($D25+1),$A:$A,$A25)/SUMIFS(AA:AA,$D:$D,($D25+1),$B:$B,$B25)</f>
        <v>136728.40424713903</v>
      </c>
      <c r="AB25" s="124">
        <f>SUMIFS(ProductRatesTable[Materials CPU],ProductRatesTable[Year],$D25,ProductRatesTable[Products],$A25)*ProductsCalcTable[[#This Row],[Volume]]</f>
        <v>2280449.1422448126</v>
      </c>
      <c r="AC25" s="124">
        <f>SUMIFS(INDEX(Costs!$F$5:$I$30,0,MATCH(ProductsCalcTable[[#This Row],[Year]],Costs!$F$4:$I$4,0)),Costs!$A$5:$A$30,AC$4,Costs!$E$5:$E$30,$B25)/SUMIFS(ProductsCalcTable[Volume],ProductsCalcTable[Year],ProductsCalcTable[[#This Row],[Year]],ProductsCalcTable[Department Name],ProductsCalcTable[[#This Row],[Department Name]])*ProductsCalcTable[[#This Row],[Volume]]</f>
        <v>48154.4042847249</v>
      </c>
      <c r="AD25" s="124">
        <f>SUMIFS(INDEX(Costs!$F$5:$I$30,0,MATCH(ProductsCalcTable[[#This Row],[Year]],Costs!$F$4:$I$4,0)),Costs!$A$5:$A$30,AD$4,Costs!$E$5:$E$30,$B25)/SUMIFS(ProductsCalcTable[Volume],ProductsCalcTable[Year],ProductsCalcTable[[#This Row],[Year]],ProductsCalcTable[Department Name],ProductsCalcTable[[#This Row],[Department Name]])*ProductsCalcTable[[#This Row],[Volume]]</f>
        <v>146296.6468083967</v>
      </c>
      <c r="AE25" s="124">
        <f>INDEX(Costs!$AF$15:$AH$29,MATCH(AE$4,Costs!$A$15:$A$29,0),MATCH($B25,Costs!$AF$4:$AH$4,0))/SUMIFS(ProductsCalcTable[Volume],ProductsCalcTable[Year],ProductsCalcTable[[#This Row],[Year]],ProductsCalcTable[Department Name],ProductsCalcTable[[#This Row],[Department Name]])*ProductsCalcTable[[#This Row],[Volume]]</f>
        <v>146977.3133617283</v>
      </c>
      <c r="AK25" s="80">
        <f>SUMIFS(ProductsCalcTable[#This Row],ProductsCalcTable[#Headers],"Cost Per Unit")-AL25</f>
        <v>0</v>
      </c>
      <c r="AL25" s="80">
        <f t="shared" si="16"/>
        <v>21.911962278812947</v>
      </c>
      <c r="AM25" s="81">
        <f>SUMIFS(FiancialTable[[#This Row],[Total]:[Other]],FiancialTable[[#Headers],[Total]:[Other]],LEFT(AM$4,LEN(AM$4)-4))/SUMIFS(ProductsCalcTable[#This Row],ProductsCalcTable[#Headers],"Volume")</f>
        <v>0.58601883844115654</v>
      </c>
      <c r="AN25" s="81">
        <f>SUMIFS(FiancialTable[[#This Row],[Total]:[Other]],FiancialTable[[#Headers],[Total]:[Other]],LEFT(AN$4,LEN(AN$4)-4))/SUMIFS(ProductsCalcTable[#This Row],ProductsCalcTable[#Headers],"Volume")</f>
        <v>6.2899355326017474</v>
      </c>
      <c r="AO25" s="85">
        <f t="shared" si="17"/>
        <v>6.8759543710429041</v>
      </c>
      <c r="AP25" s="81">
        <f>SUMIFS(FiancialTable[[#This Row],[Total]:[Other]],FiancialTable[[#Headers],[Total]:[Other]],LEFT(AP$4,LEN(AP$4)-4))/SUMIFS(ProductsCalcTable[#This Row],ProductsCalcTable[#Headers],"Volume")</f>
        <v>2.4501527000544838</v>
      </c>
      <c r="AQ25" s="81">
        <f>SUMIFS(FiancialTable[[#This Row],[Total]:[Other]],FiancialTable[[#Headers],[Total]:[Other]],LEFT(AQ$4,LEN(AQ$4)-4))/SUMIFS(ProductsCalcTable[#This Row],ProductsCalcTable[#Headers],"Volume")</f>
        <v>0.27664000017457901</v>
      </c>
      <c r="AR25" s="85">
        <f t="shared" si="18"/>
        <v>2.7267927002290628</v>
      </c>
      <c r="AS25" s="81">
        <f>SUMIFS(FiancialTable[[#This Row],[Total]:[Other]],FiancialTable[[#Headers],[Total]:[Other]],LEFT(AS$4,LEN(AS$4)-4))/SUMIFS(ProductsCalcTable[#This Row],ProductsCalcTable[#Headers],"Volume")</f>
        <v>0.61009778387810853</v>
      </c>
      <c r="AT25" s="81">
        <f>SUMIFS(FiancialTable[[#This Row],[Total]:[Other]],FiancialTable[[#Headers],[Total]:[Other]],LEFT(AT$4,LEN(AT$4)-4))/SUMIFS(ProductsCalcTable[#This Row],ProductsCalcTable[#Headers],"Volume")</f>
        <v>10.175624996072504</v>
      </c>
      <c r="AU25" s="81">
        <f>SUMIFS(FiancialTable[[#This Row],[Total]:[Other]],FiancialTable[[#Headers],[Total]:[Other]],LEFT(AU$4,LEN(AU$4)-4))/SUMIFS(ProductsCalcTable[#This Row],ProductsCalcTable[#Headers],"Volume")</f>
        <v>0.21487046162681955</v>
      </c>
      <c r="AV25" s="81">
        <f>SUMIFS(FiancialTable[[#This Row],[Total]:[Other]],FiancialTable[[#Headers],[Total]:[Other]],LEFT(AV$4,LEN(AV$4)-4))/SUMIFS(ProductsCalcTable[#This Row],ProductsCalcTable[#Headers],"Volume")</f>
        <v>0.65279237696119619</v>
      </c>
      <c r="AW25" s="81">
        <f>SUMIFS(FiancialTable[[#This Row],[Total]:[Other]],FiancialTable[[#Headers],[Total]:[Other]],LEFT(AW$4,LEN(AW$4)-4))/SUMIFS(ProductsCalcTable[#This Row],ProductsCalcTable[#Headers],"Volume")</f>
        <v>0.65582958900235289</v>
      </c>
    </row>
    <row r="26" spans="1:49" x14ac:dyDescent="0.3">
      <c r="A26" t="s">
        <v>18</v>
      </c>
      <c r="B26" s="3" t="s">
        <v>21</v>
      </c>
      <c r="C26" t="s">
        <v>12</v>
      </c>
      <c r="D26">
        <v>2022</v>
      </c>
      <c r="E26" s="20" cm="1">
        <f t="array" ref="E26">_xlfn.XLOOKUP(ProductsCalcTable[[#This Row],[Products]]&amp;ProductsCalcTable[[#This Row],[Year]],ProductRatesTable[Products]&amp;ProductRatesTable[Year],ProductRatesTable[Retail Price],"Not Found",0)</f>
        <v>112.7</v>
      </c>
      <c r="F26" s="7" cm="1">
        <f t="array" ref="F26">_xlfn.XLOOKUP(ProductsCalcTable[[#This Row],[Products]]&amp;ProductsCalcTable[[#This Row],[Year]],ProductRatesTable[Products]&amp;ProductRatesTable[Year],ProductRatesTable[Share of Retail Costs],"Not Found",0)</f>
        <v>0.5</v>
      </c>
      <c r="G26" s="4">
        <f>SUMIFS(VolumesTable[Volume],VolumesTable[Products],$A26,VolumesTable[Year],ProductsCalcTable[[#This Row],[Year]])</f>
        <v>184718</v>
      </c>
      <c r="H26" s="18">
        <f>ProductsCalcTable[[#This Row],[Retail Price]]*ProductsCalcTable[[#This Row],[Volume]]</f>
        <v>20817718.600000001</v>
      </c>
      <c r="I26" s="18">
        <f t="shared" si="10"/>
        <v>9922105.0557907932</v>
      </c>
      <c r="J26" s="27">
        <f>ProductsCalcTable[[#This Row],[Actual Costs]]/ProductsCalcTable[[#This Row],[Volume]]</f>
        <v>53.714879198512293</v>
      </c>
      <c r="K26" s="27">
        <f>SUMIFS(ProductsCalcTable[Cost Per Unit],ProductsCalcTable[Products],$A26,ProductsCalcTable[Year],$D26-1)</f>
        <v>52.543956932351286</v>
      </c>
      <c r="M26" s="23">
        <f>INDEX(Costs!$F$5:$J$30,MATCH(M$4,Costs!$C$5:$C$30,0),MATCH($D26,Costs!$F$4:$J$4,0))</f>
        <v>127308</v>
      </c>
      <c r="N26" s="23">
        <f>INDEX(Costs!$F$5:$J$30,MATCH(N$4,Costs!$C$5:$C$30,0),MATCH($D26,Costs!$F$4:$J$4,0))</f>
        <v>74263</v>
      </c>
      <c r="O26" s="32"/>
      <c r="P26" s="55">
        <f t="shared" si="30"/>
        <v>37.691372919054984</v>
      </c>
      <c r="Q26" s="51"/>
      <c r="R26" s="121" t="str">
        <f t="shared" si="13"/>
        <v>Diamond Circular Saw Blade</v>
      </c>
      <c r="S26" s="122">
        <f t="shared" si="14"/>
        <v>2022</v>
      </c>
      <c r="T26"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2.1729534666416979</v>
      </c>
      <c r="U26"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39.982343786207245</v>
      </c>
      <c r="V26" s="124">
        <f t="shared" si="15"/>
        <v>9922105.0557907932</v>
      </c>
      <c r="W26" s="124">
        <f>FiancialTable[[#This Row],[Mngmt FTEs]]*M26</f>
        <v>276634.35993122129</v>
      </c>
      <c r="X26" s="124">
        <f>FiancialTable[[#This Row],[Prod''n FTEs]]*N26</f>
        <v>2969208.7965951087</v>
      </c>
      <c r="Y26" s="124">
        <f>SUMIFS(INDEX(Costs!$AA$15:$AC$29,0,MATCH($B26,Costs!$AA$4:$AC$4,0)),Costs!$A$15:$A$29,Y$4,Costs!$E$15:$E$29,$B26)*SUMIFS(Y:Y,$D:$D,($D26+1),$A:$A,$A26)/SUMIFS(Y:Y,$D:$D,($D26+1),$B:$B,$B26)</f>
        <v>1169555.4417495644</v>
      </c>
      <c r="Z26"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130589.87930018904</v>
      </c>
      <c r="AA26" s="124">
        <f>SUMIFS(INDEX(Costs!$O$5:$AI$30,MATCH(AA$4,Costs!$A$5:$A$30,0),0),Costs!$O$2:$AI$2,$D26,Costs!$O$4:$AI$4,$B26)*SUMIFS(AA:AA,$D:$D,($D26+1),$A:$A,$A26)/SUMIFS(AA:AA,$D:$D,($D26+1),$B:$B,$B26)</f>
        <v>291223.96457907488</v>
      </c>
      <c r="AB26" s="124">
        <f>SUMIFS(ProductRatesTable[Materials CPU],ProductRatesTable[Year],$D26,ProductRatesTable[Products],$A26)*ProductsCalcTable[[#This Row],[Volume]]</f>
        <v>4803476.1393959979</v>
      </c>
      <c r="AC26" s="124">
        <f>SUMIFS(INDEX(Costs!$F$5:$I$30,0,MATCH(ProductsCalcTable[[#This Row],[Year]],Costs!$F$4:$I$4,0)),Costs!$A$5:$A$30,AC$4,Costs!$E$5:$E$30,$B26)/SUMIFS(ProductsCalcTable[Volume],ProductsCalcTable[Year],ProductsCalcTable[[#This Row],[Year]],ProductsCalcTable[Department Name],ProductsCalcTable[[#This Row],[Department Name]])*ProductsCalcTable[[#This Row],[Volume]]</f>
        <v>39690.44193078285</v>
      </c>
      <c r="AD26" s="124">
        <f>SUMIFS(INDEX(Costs!$F$5:$I$30,0,MATCH(ProductsCalcTable[[#This Row],[Year]],Costs!$F$4:$I$4,0)),Costs!$A$5:$A$30,AD$4,Costs!$E$5:$E$30,$B26)/SUMIFS(ProductsCalcTable[Volume],ProductsCalcTable[Year],ProductsCalcTable[[#This Row],[Year]],ProductsCalcTable[Department Name],ProductsCalcTable[[#This Row],[Department Name]])*ProductsCalcTable[[#This Row],[Volume]]</f>
        <v>120582.50228751822</v>
      </c>
      <c r="AE26" s="124">
        <f>INDEX(Costs!$AF$15:$AH$29,MATCH(AE$4,Costs!$A$15:$A$29,0),MATCH($B26,Costs!$AF$4:$AH$4,0))/SUMIFS(ProductsCalcTable[Volume],ProductsCalcTable[Year],ProductsCalcTable[[#This Row],[Year]],ProductsCalcTable[Department Name],ProductsCalcTable[[#This Row],[Department Name]])*ProductsCalcTable[[#This Row],[Volume]]</f>
        <v>121143.53002133661</v>
      </c>
      <c r="AK26" s="80">
        <f>SUMIFS(ProductsCalcTable[#This Row],ProductsCalcTable[#Headers],"Cost Per Unit")-AL26</f>
        <v>0</v>
      </c>
      <c r="AL26" s="80">
        <f t="shared" si="16"/>
        <v>53.714879198512286</v>
      </c>
      <c r="AM26" s="81">
        <f>SUMIFS(FiancialTable[[#This Row],[Total]:[Other]],FiancialTable[[#Headers],[Total]:[Other]],LEFT(AM$4,LEN(AM$4)-4))/SUMIFS(ProductsCalcTable[#This Row],ProductsCalcTable[#Headers],"Volume")</f>
        <v>1.497603698238511</v>
      </c>
      <c r="AN26" s="81">
        <f>SUMIFS(FiancialTable[[#This Row],[Total]:[Other]],FiancialTable[[#Headers],[Total]:[Other]],LEFT(AN$4,LEN(AN$4)-4))/SUMIFS(ProductsCalcTable[#This Row],ProductsCalcTable[#Headers],"Volume")</f>
        <v>16.074279694426686</v>
      </c>
      <c r="AO26" s="85">
        <f t="shared" si="17"/>
        <v>17.571883392665196</v>
      </c>
      <c r="AP26" s="81">
        <f>SUMIFS(FiancialTable[[#This Row],[Total]:[Other]],FiancialTable[[#Headers],[Total]:[Other]],LEFT(AP$4,LEN(AP$4)-4))/SUMIFS(ProductsCalcTable[#This Row],ProductsCalcTable[#Headers],"Volume")</f>
        <v>6.3315726769971761</v>
      </c>
      <c r="AQ26" s="81">
        <f>SUMIFS(FiancialTable[[#This Row],[Total]:[Other]],FiancialTable[[#Headers],[Total]:[Other]],LEFT(AQ$4,LEN(AQ$4)-4))/SUMIFS(ProductsCalcTable[#This Row],ProductsCalcTable[#Headers],"Volume")</f>
        <v>0.70696888933503532</v>
      </c>
      <c r="AR26" s="85">
        <f t="shared" si="18"/>
        <v>7.0385415663322117</v>
      </c>
      <c r="AS26" s="81">
        <f>SUMIFS(FiancialTable[[#This Row],[Total]:[Other]],FiancialTable[[#Headers],[Total]:[Other]],LEFT(AS$4,LEN(AS$4)-4))/SUMIFS(ProductsCalcTable[#This Row],ProductsCalcTable[#Headers],"Volume")</f>
        <v>1.5765868219614487</v>
      </c>
      <c r="AT26" s="81">
        <f>SUMIFS(FiancialTable[[#This Row],[Total]:[Other]],FiancialTable[[#Headers],[Total]:[Other]],LEFT(AT$4,LEN(AT$4)-4))/SUMIFS(ProductsCalcTable[#This Row],ProductsCalcTable[#Headers],"Volume")</f>
        <v>26.004374989963068</v>
      </c>
      <c r="AU26" s="81">
        <f>SUMIFS(FiancialTable[[#This Row],[Total]:[Other]],FiancialTable[[#Headers],[Total]:[Other]],LEFT(AU$4,LEN(AU$4)-4))/SUMIFS(ProductsCalcTable[#This Row],ProductsCalcTable[#Headers],"Volume")</f>
        <v>0.21487046162681953</v>
      </c>
      <c r="AV26" s="81">
        <f>SUMIFS(FiancialTable[[#This Row],[Total]:[Other]],FiancialTable[[#Headers],[Total]:[Other]],LEFT(AV$4,LEN(AV$4)-4))/SUMIFS(ProductsCalcTable[#This Row],ProductsCalcTable[#Headers],"Volume")</f>
        <v>0.65279237696119607</v>
      </c>
      <c r="AW26" s="81">
        <f>SUMIFS(FiancialTable[[#This Row],[Total]:[Other]],FiancialTable[[#Headers],[Total]:[Other]],LEFT(AW$4,LEN(AW$4)-4))/SUMIFS(ProductsCalcTable[#This Row],ProductsCalcTable[#Headers],"Volume")</f>
        <v>0.65582958900235289</v>
      </c>
    </row>
    <row r="27" spans="1:49" x14ac:dyDescent="0.3">
      <c r="A27" t="s">
        <v>9</v>
      </c>
      <c r="B27" s="3" t="s">
        <v>6</v>
      </c>
      <c r="C27" t="s">
        <v>12</v>
      </c>
      <c r="D27">
        <v>2021</v>
      </c>
      <c r="E27" s="20" cm="1">
        <f t="array" ref="E27">_xlfn.XLOOKUP(ProductsCalcTable[[#This Row],[Products]]&amp;ProductsCalcTable[[#This Row],[Year]],ProductRatesTable[Products]&amp;ProductRatesTable[Year],ProductRatesTable[Retail Price],"Not Found",0)</f>
        <v>9.4023159999999981E-2</v>
      </c>
      <c r="F27" s="7" cm="1">
        <f t="array" ref="F27">_xlfn.XLOOKUP(ProductsCalcTable[[#This Row],[Products]]&amp;ProductsCalcTable[[#This Row],[Year]],ProductRatesTable[Products]&amp;ProductRatesTable[Year],ProductRatesTable[Share of Retail Costs],"Not Found",0)</f>
        <v>0.6</v>
      </c>
      <c r="G27" s="4">
        <f>SUMIFS(VolumesTable[Volume],VolumesTable[Products],$A27,VolumesTable[Year],ProductsCalcTable[[#This Row],[Year]])</f>
        <v>6912755</v>
      </c>
      <c r="H27" s="18">
        <f>ProductsCalcTable[[#This Row],[Retail Price]]*ProductsCalcTable[[#This Row],[Volume]]</f>
        <v>649959.06940579985</v>
      </c>
      <c r="I27" s="18">
        <f t="shared" si="10"/>
        <v>541462.54533173225</v>
      </c>
      <c r="J27" s="27">
        <f>ProductsCalcTable[[#This Row],[Actual Costs]]/ProductsCalcTable[[#This Row],[Volume]]</f>
        <v>7.8328039302959854E-2</v>
      </c>
      <c r="K27" s="27">
        <f>SUMIFS(ProductsCalcTable[Cost Per Unit],ProductsCalcTable[Products],$A27,ProductsCalcTable[Year],$D27-1)</f>
        <v>7.7476221981456969E-2</v>
      </c>
      <c r="M27" s="23">
        <f>INDEX(Costs!$F$5:$J$30,MATCH(M$4,Costs!$C$5:$C$30,0),MATCH($D27,Costs!$F$4:$J$4,0))</f>
        <v>123600</v>
      </c>
      <c r="N27" s="23">
        <f>INDEX(Costs!$F$5:$J$30,MATCH(N$4,Costs!$C$5:$C$30,0),MATCH($D27,Costs!$F$4:$J$4,0))</f>
        <v>72100</v>
      </c>
      <c r="O27" s="30"/>
      <c r="P27" s="55">
        <f t="shared" si="30"/>
        <v>1.5461459919858902</v>
      </c>
      <c r="Q27" s="51"/>
      <c r="R27" s="121" t="str">
        <f t="shared" si="13"/>
        <v>6 x 1/2" Screws</v>
      </c>
      <c r="S27" s="122">
        <f t="shared" si="14"/>
        <v>2021</v>
      </c>
      <c r="T27"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7.8090038089485392E-2</v>
      </c>
      <c r="U27"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1.5097407363967175</v>
      </c>
      <c r="V27" s="124">
        <f t="shared" si="15"/>
        <v>541462.54533173225</v>
      </c>
      <c r="W27" s="124">
        <f>FiancialTable[[#This Row],[Mngmt FTEs]]*M27</f>
        <v>9651.9287078603938</v>
      </c>
      <c r="X27" s="124">
        <f>FiancialTable[[#This Row],[Prod''n FTEs]]*N27</f>
        <v>108852.30709420332</v>
      </c>
      <c r="Y27" s="124">
        <f>SUMIFS(INDEX(Costs!$AA$15:$AC$29,0,MATCH($B27,Costs!$AA$4:$AC$4,0)),Costs!$A$15:$A$29,Y$4,Costs!$E$15:$E$29,$B27)*SUMIFS(Y:Y,$D:$D,($D27+1),$A:$A,$A27)/SUMIFS(Y:Y,$D:$D,($D27+1),$B:$B,$B27)</f>
        <v>51374.761050420915</v>
      </c>
      <c r="Z27"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4830.1562271748408</v>
      </c>
      <c r="AA27" s="124">
        <f>SUMIFS(INDEX(Costs!$O$5:$AI$30,MATCH(AA$4,Costs!$A$5:$A$30,0),0),Costs!$O$2:$AI$2,$D27,Costs!$O$4:$AI$4,$B27)*SUMIFS(AA:AA,$D:$D,($D27+1),$A:$A,$A27)/SUMIFS(AA:AA,$D:$D,($D27+1),$B:$B,$B27)</f>
        <v>10850.268787662571</v>
      </c>
      <c r="AB27" s="124">
        <f>SUMIFS(ProductRatesTable[Materials CPU],ProductRatesTable[Year],$D27,ProductRatesTable[Products],$A27)*ProductsCalcTable[[#This Row],[Volume]]</f>
        <v>181802.09233760889</v>
      </c>
      <c r="AC27" s="124">
        <f>SUMIFS(INDEX(Costs!$F$5:$I$30,0,MATCH(ProductsCalcTable[[#This Row],[Year]],Costs!$F$4:$I$4,0)),Costs!$A$5:$A$30,AC$4,Costs!$E$5:$E$30,$B27)/SUMIFS(ProductsCalcTable[Volume],ProductsCalcTable[Year],ProductsCalcTable[[#This Row],[Year]],ProductsCalcTable[Department Name],ProductsCalcTable[[#This Row],[Department Name]])*ProductsCalcTable[[#This Row],[Volume]]</f>
        <v>57853.440372012294</v>
      </c>
      <c r="AD27" s="124">
        <f>SUMIFS(INDEX(Costs!$F$5:$I$30,0,MATCH(ProductsCalcTable[[#This Row],[Year]],Costs!$F$4:$I$4,0)),Costs!$A$5:$A$30,AD$4,Costs!$E$5:$E$30,$B27)/SUMIFS(ProductsCalcTable[Volume],ProductsCalcTable[Year],ProductsCalcTable[[#This Row],[Year]],ProductsCalcTable[Department Name],ProductsCalcTable[[#This Row],[Department Name]])*ProductsCalcTable[[#This Row],[Volume]]</f>
        <v>55660.722869660167</v>
      </c>
      <c r="AE27" s="124">
        <f>INDEX(Costs!$AF$15:$AH$29,MATCH(AE$4,Costs!$A$15:$A$29,0),MATCH($B27,Costs!$AF$4:$AH$4,0))/SUMIFS(ProductsCalcTable[Volume],ProductsCalcTable[Year],ProductsCalcTable[[#This Row],[Year]],ProductsCalcTable[Department Name],ProductsCalcTable[[#This Row],[Department Name]])*ProductsCalcTable[[#This Row],[Volume]]</f>
        <v>60586.867885128806</v>
      </c>
      <c r="AK27" s="80">
        <f>SUMIFS(ProductsCalcTable[#This Row],ProductsCalcTable[#Headers],"Cost Per Unit")-AL27</f>
        <v>0</v>
      </c>
      <c r="AL27" s="80">
        <f t="shared" si="16"/>
        <v>7.832803930295984E-2</v>
      </c>
      <c r="AM27" s="81">
        <f>SUMIFS(FiancialTable[[#This Row],[Total]:[Other]],FiancialTable[[#Headers],[Total]:[Other]],LEFT(AM$4,LEN(AM$4)-4))/SUMIFS(ProductsCalcTable[#This Row],ProductsCalcTable[#Headers],"Volume")</f>
        <v>1.3962492100270288E-3</v>
      </c>
      <c r="AN27" s="81">
        <f>SUMIFS(FiancialTable[[#This Row],[Total]:[Other]],FiancialTable[[#Headers],[Total]:[Other]],LEFT(AN$4,LEN(AN$4)-4))/SUMIFS(ProductsCalcTable[#This Row],ProductsCalcTable[#Headers],"Volume")</f>
        <v>1.57465883130826E-2</v>
      </c>
      <c r="AO27" s="85">
        <f t="shared" si="17"/>
        <v>1.714283752310963E-2</v>
      </c>
      <c r="AP27" s="81">
        <f>SUMIFS(FiancialTable[[#This Row],[Total]:[Other]],FiancialTable[[#Headers],[Total]:[Other]],LEFT(AP$4,LEN(AP$4)-4))/SUMIFS(ProductsCalcTable[#This Row],ProductsCalcTable[#Headers],"Volume")</f>
        <v>7.4318793376043149E-3</v>
      </c>
      <c r="AQ27" s="81">
        <f>SUMIFS(FiancialTable[[#This Row],[Total]:[Other]],FiancialTable[[#Headers],[Total]:[Other]],LEFT(AQ$4,LEN(AQ$4)-4))/SUMIFS(ProductsCalcTable[#This Row],ProductsCalcTable[#Headers],"Volume")</f>
        <v>6.9873100191961677E-4</v>
      </c>
      <c r="AR27" s="85">
        <f t="shared" si="18"/>
        <v>8.1306103395239315E-3</v>
      </c>
      <c r="AS27" s="81">
        <f>SUMIFS(FiancialTable[[#This Row],[Total]:[Other]],FiancialTable[[#Headers],[Total]:[Other]],LEFT(AS$4,LEN(AS$4)-4))/SUMIFS(ProductsCalcTable[#This Row],ProductsCalcTable[#Headers],"Volume")</f>
        <v>1.5696012353486521E-3</v>
      </c>
      <c r="AT27" s="81">
        <f>SUMIFS(FiancialTable[[#This Row],[Total]:[Other]],FiancialTable[[#Headers],[Total]:[Other]],LEFT(AT$4,LEN(AT$4)-4))/SUMIFS(ProductsCalcTable[#This Row],ProductsCalcTable[#Headers],"Volume")</f>
        <v>2.6299513339849145E-2</v>
      </c>
      <c r="AU27" s="81">
        <f>SUMIFS(FiancialTable[[#This Row],[Total]:[Other]],FiancialTable[[#Headers],[Total]:[Other]],LEFT(AU$4,LEN(AU$4)-4))/SUMIFS(ProductsCalcTable[#This Row],ProductsCalcTable[#Headers],"Volume")</f>
        <v>8.3690858958566147E-3</v>
      </c>
      <c r="AV27" s="81">
        <f>SUMIFS(FiancialTable[[#This Row],[Total]:[Other]],FiancialTable[[#Headers],[Total]:[Other]],LEFT(AV$4,LEN(AV$4)-4))/SUMIFS(ProductsCalcTable[#This Row],ProductsCalcTable[#Headers],"Volume")</f>
        <v>8.0518871086361615E-3</v>
      </c>
      <c r="AW27" s="81">
        <f>SUMIFS(FiancialTable[[#This Row],[Total]:[Other]],FiancialTable[[#Headers],[Total]:[Other]],LEFT(AW$4,LEN(AW$4)-4))/SUMIFS(ProductsCalcTable[#This Row],ProductsCalcTable[#Headers],"Volume")</f>
        <v>8.7645038606357101E-3</v>
      </c>
    </row>
    <row r="28" spans="1:49" x14ac:dyDescent="0.3">
      <c r="A28" t="s">
        <v>7</v>
      </c>
      <c r="B28" s="3" t="s">
        <v>6</v>
      </c>
      <c r="C28" t="s">
        <v>12</v>
      </c>
      <c r="D28">
        <v>2021</v>
      </c>
      <c r="E28" s="20" cm="1">
        <f t="array" ref="E28">_xlfn.XLOOKUP(ProductsCalcTable[[#This Row],[Products]]&amp;ProductsCalcTable[[#This Row],[Year]],ProductRatesTable[Products]&amp;ProductRatesTable[Year],ProductRatesTable[Retail Price],"Not Found",0)</f>
        <v>0.24970400000000001</v>
      </c>
      <c r="F28" s="7" cm="1">
        <f t="array" ref="F28">_xlfn.XLOOKUP(ProductsCalcTable[[#This Row],[Products]]&amp;ProductsCalcTable[[#This Row],[Year]],ProductRatesTable[Products]&amp;ProductRatesTable[Year],ProductRatesTable[Share of Retail Costs],"Not Found",0)</f>
        <v>0.6</v>
      </c>
      <c r="G28" s="4">
        <f>SUMIFS(VolumesTable[Volume],VolumesTable[Products],$A28,VolumesTable[Year],ProductsCalcTable[[#This Row],[Year]])</f>
        <v>7023995</v>
      </c>
      <c r="H28" s="18">
        <f>ProductsCalcTable[[#This Row],[Retail Price]]*ProductsCalcTable[[#This Row],[Volume]]</f>
        <v>1753919.64748</v>
      </c>
      <c r="I28" s="18">
        <f t="shared" si="10"/>
        <v>1162297.1609853846</v>
      </c>
      <c r="J28" s="27">
        <f>ProductsCalcTable[[#This Row],[Actual Costs]]/ProductsCalcTable[[#This Row],[Volume]]</f>
        <v>0.16547522613347312</v>
      </c>
      <c r="K28" s="27">
        <f>SUMIFS(ProductsCalcTable[Cost Per Unit],ProductsCalcTable[Products],$A28,ProductsCalcTable[Year],$D28-1)</f>
        <v>0.16358461829042506</v>
      </c>
      <c r="M28" s="23">
        <f>INDEX(Costs!$F$5:$J$30,MATCH(M$4,Costs!$C$5:$C$30,0),MATCH($D28,Costs!$F$4:$J$4,0))</f>
        <v>123600</v>
      </c>
      <c r="N28" s="23">
        <f>INDEX(Costs!$F$5:$J$30,MATCH(N$4,Costs!$C$5:$C$30,0),MATCH($D28,Costs!$F$4:$J$4,0))</f>
        <v>72100</v>
      </c>
      <c r="O28" s="30"/>
      <c r="P28" s="55">
        <f t="shared" si="30"/>
        <v>4.1722870883172387</v>
      </c>
      <c r="Q28" s="51"/>
      <c r="R28" s="121" t="str">
        <f t="shared" si="13"/>
        <v>8" Hex Bolts</v>
      </c>
      <c r="S28" s="122">
        <f t="shared" si="14"/>
        <v>2021</v>
      </c>
      <c r="T28"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0.2107265803719359</v>
      </c>
      <c r="U28"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4.0740472205240943</v>
      </c>
      <c r="V28" s="124">
        <f t="shared" si="15"/>
        <v>1162297.1609853846</v>
      </c>
      <c r="W28" s="124">
        <f>FiancialTable[[#This Row],[Mngmt FTEs]]*M28</f>
        <v>26045.805333971275</v>
      </c>
      <c r="X28" s="124">
        <f>FiancialTable[[#This Row],[Prod''n FTEs]]*N28</f>
        <v>293738.80459978723</v>
      </c>
      <c r="Y28" s="124">
        <f>SUMIFS(INDEX(Costs!$AA$15:$AC$29,0,MATCH($B28,Costs!$AA$4:$AC$4,0)),Costs!$A$15:$A$29,Y$4,Costs!$E$15:$E$29,$B28)*SUMIFS(Y:Y,$D:$D,($D28+1),$A:$A,$A28)/SUMIFS(Y:Y,$D:$D,($D28+1),$B:$B,$B28)</f>
        <v>133736.38611298395</v>
      </c>
      <c r="Z28"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13034.214469820005</v>
      </c>
      <c r="AA28" s="124">
        <f>SUMIFS(INDEX(Costs!$O$5:$AI$30,MATCH(AA$4,Costs!$A$5:$A$30,0),0),Costs!$O$2:$AI$2,$D28,Costs!$O$4:$AI$4,$B28)*SUMIFS(AA:AA,$D:$D,($D28+1),$A:$A,$A28)/SUMIFS(AA:AA,$D:$D,($D28+1),$B:$B,$B28)</f>
        <v>28244.91455234927</v>
      </c>
      <c r="AB28" s="124">
        <f>SUMIFS(ProductRatesTable[Materials CPU],ProductRatesTable[Year],$D28,ProductRatesTable[Products],$A28)*ProductsCalcTable[[#This Row],[Volume]]</f>
        <v>490594.37234319485</v>
      </c>
      <c r="AC28" s="124">
        <f>SUMIFS(INDEX(Costs!$F$5:$I$30,0,MATCH(ProductsCalcTable[[#This Row],[Year]],Costs!$F$4:$I$4,0)),Costs!$A$5:$A$30,AC$4,Costs!$E$5:$E$30,$B28)/SUMIFS(ProductsCalcTable[Volume],ProductsCalcTable[Year],ProductsCalcTable[[#This Row],[Year]],ProductsCalcTable[Department Name],ProductsCalcTable[[#This Row],[Department Name]])*ProductsCalcTable[[#This Row],[Volume]]</f>
        <v>58784.417487067381</v>
      </c>
      <c r="AD28" s="124">
        <f>SUMIFS(INDEX(Costs!$F$5:$I$30,0,MATCH(ProductsCalcTable[[#This Row],[Year]],Costs!$F$4:$I$4,0)),Costs!$A$5:$A$30,AD$4,Costs!$E$5:$E$30,$B28)/SUMIFS(ProductsCalcTable[Volume],ProductsCalcTable[Year],ProductsCalcTable[[#This Row],[Year]],ProductsCalcTable[Department Name],ProductsCalcTable[[#This Row],[Department Name]])*ProductsCalcTable[[#This Row],[Volume]]</f>
        <v>56556.414791624855</v>
      </c>
      <c r="AE28" s="124">
        <f>INDEX(Costs!$AF$15:$AH$29,MATCH(AE$4,Costs!$A$15:$A$29,0),MATCH($B28,Costs!$AF$4:$AH$4,0))/SUMIFS(ProductsCalcTable[Volume],ProductsCalcTable[Year],ProductsCalcTable[[#This Row],[Year]],ProductsCalcTable[Department Name],ProductsCalcTable[[#This Row],[Department Name]])*ProductsCalcTable[[#This Row],[Volume]]</f>
        <v>61561.831294585922</v>
      </c>
      <c r="AK28" s="80">
        <f>SUMIFS(ProductsCalcTable[#This Row],ProductsCalcTable[#Headers],"Cost Per Unit")-AL28</f>
        <v>0</v>
      </c>
      <c r="AL28" s="80">
        <f t="shared" si="16"/>
        <v>0.16547522613347312</v>
      </c>
      <c r="AM28" s="81">
        <f>SUMIFS(FiancialTable[[#This Row],[Total]:[Other]],FiancialTable[[#Headers],[Total]:[Other]],LEFT(AM$4,LEN(AM$4)-4))/SUMIFS(ProductsCalcTable[#This Row],ProductsCalcTable[#Headers],"Volume")</f>
        <v>3.708118433166777E-3</v>
      </c>
      <c r="AN28" s="81">
        <f>SUMIFS(FiancialTable[[#This Row],[Total]:[Other]],FiancialTable[[#Headers],[Total]:[Other]],LEFT(AN$4,LEN(AN$4)-4))/SUMIFS(ProductsCalcTable[#This Row],ProductsCalcTable[#Headers],"Volume")</f>
        <v>4.1819335662936441E-2</v>
      </c>
      <c r="AO28" s="85">
        <f t="shared" si="17"/>
        <v>4.5527454096103218E-2</v>
      </c>
      <c r="AP28" s="81">
        <f>SUMIFS(FiancialTable[[#This Row],[Total]:[Other]],FiancialTable[[#Headers],[Total]:[Other]],LEFT(AP$4,LEN(AP$4)-4))/SUMIFS(ProductsCalcTable[#This Row],ProductsCalcTable[#Headers],"Volume")</f>
        <v>1.9039931849749885E-2</v>
      </c>
      <c r="AQ28" s="81">
        <f>SUMIFS(FiancialTable[[#This Row],[Total]:[Other]],FiancialTable[[#Headers],[Total]:[Other]],LEFT(AQ$4,LEN(AQ$4)-4))/SUMIFS(ProductsCalcTable[#This Row],ProductsCalcTable[#Headers],"Volume")</f>
        <v>1.8556696680194112E-3</v>
      </c>
      <c r="AR28" s="85">
        <f t="shared" si="18"/>
        <v>2.0895601517769296E-2</v>
      </c>
      <c r="AS28" s="81">
        <f>SUMIFS(FiancialTable[[#This Row],[Total]:[Other]],FiancialTable[[#Headers],[Total]:[Other]],LEFT(AS$4,LEN(AS$4)-4))/SUMIFS(ProductsCalcTable[#This Row],ProductsCalcTable[#Headers],"Volume")</f>
        <v>4.0212036814304781E-3</v>
      </c>
      <c r="AT28" s="81">
        <f>SUMIFS(FiancialTable[[#This Row],[Total]:[Other]],FiancialTable[[#Headers],[Total]:[Other]],LEFT(AT$4,LEN(AT$4)-4))/SUMIFS(ProductsCalcTable[#This Row],ProductsCalcTable[#Headers],"Volume")</f>
        <v>6.9845489973041672E-2</v>
      </c>
      <c r="AU28" s="81">
        <f>SUMIFS(FiancialTable[[#This Row],[Total]:[Other]],FiancialTable[[#Headers],[Total]:[Other]],LEFT(AU$4,LEN(AU$4)-4))/SUMIFS(ProductsCalcTable[#This Row],ProductsCalcTable[#Headers],"Volume")</f>
        <v>8.3690858958566147E-3</v>
      </c>
      <c r="AV28" s="81">
        <f>SUMIFS(FiancialTable[[#This Row],[Total]:[Other]],FiancialTable[[#Headers],[Total]:[Other]],LEFT(AV$4,LEN(AV$4)-4))/SUMIFS(ProductsCalcTable[#This Row],ProductsCalcTable[#Headers],"Volume")</f>
        <v>8.0518871086361615E-3</v>
      </c>
      <c r="AW28" s="81">
        <f>SUMIFS(FiancialTable[[#This Row],[Total]:[Other]],FiancialTable[[#Headers],[Total]:[Other]],LEFT(AW$4,LEN(AW$4)-4))/SUMIFS(ProductsCalcTable[#This Row],ProductsCalcTable[#Headers],"Volume")</f>
        <v>8.7645038606357101E-3</v>
      </c>
    </row>
    <row r="29" spans="1:49" x14ac:dyDescent="0.3">
      <c r="A29" t="s">
        <v>8</v>
      </c>
      <c r="B29" s="3" t="s">
        <v>6</v>
      </c>
      <c r="C29" t="s">
        <v>12</v>
      </c>
      <c r="D29">
        <v>2021</v>
      </c>
      <c r="E29" s="20" cm="1">
        <f t="array" ref="E29">_xlfn.XLOOKUP(ProductsCalcTable[[#This Row],[Products]]&amp;ProductsCalcTable[[#This Row],[Year]],ProductRatesTable[Products]&amp;ProductRatesTable[Year],ProductRatesTable[Retail Price],"Not Found",0)</f>
        <v>69.148799999999994</v>
      </c>
      <c r="F29" s="7" cm="1">
        <f t="array" ref="F29">_xlfn.XLOOKUP(ProductsCalcTable[[#This Row],[Products]]&amp;ProductsCalcTable[[#This Row],[Year]],ProductRatesTable[Products]&amp;ProductRatesTable[Year],ProductRatesTable[Share of Retail Costs],"Not Found",0)</f>
        <v>0.5</v>
      </c>
      <c r="G29" s="4">
        <f>SUMIFS(VolumesTable[Volume],VolumesTable[Products],$A29,VolumesTable[Year],ProductsCalcTable[[#This Row],[Year]])</f>
        <v>167968</v>
      </c>
      <c r="H29" s="18">
        <f>ProductsCalcTable[[#This Row],[Retail Price]]*ProductsCalcTable[[#This Row],[Volume]]</f>
        <v>11614785.6384</v>
      </c>
      <c r="I29" s="18">
        <f t="shared" si="10"/>
        <v>5519648.6054976685</v>
      </c>
      <c r="J29" s="27">
        <f>ProductsCalcTable[[#This Row],[Actual Costs]]/ProductsCalcTable[[#This Row],[Volume]]</f>
        <v>32.861310520442395</v>
      </c>
      <c r="K29" s="27">
        <f>SUMIFS(ProductsCalcTable[Cost Per Unit],ProductsCalcTable[Products],$A29,ProductsCalcTable[Year],$D29-1)</f>
        <v>32.201691701455616</v>
      </c>
      <c r="M29" s="23">
        <f>INDEX(Costs!$F$5:$J$30,MATCH(M$4,Costs!$C$5:$C$30,0),MATCH($D29,Costs!$F$4:$J$4,0))</f>
        <v>123600</v>
      </c>
      <c r="N29" s="23">
        <f>INDEX(Costs!$F$5:$J$30,MATCH(N$4,Costs!$C$5:$C$30,0),MATCH($D29,Costs!$F$4:$J$4,0))</f>
        <v>72100</v>
      </c>
      <c r="O29" s="30"/>
      <c r="P29" s="55">
        <f t="shared" si="30"/>
        <v>23.024724565867647</v>
      </c>
      <c r="Q29" s="51"/>
      <c r="R29" s="121" t="str">
        <f t="shared" si="13"/>
        <v>1" Screw Pin Anchor Shackle</v>
      </c>
      <c r="S29" s="122">
        <f t="shared" si="14"/>
        <v>2021</v>
      </c>
      <c r="T29"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1.162892526105596</v>
      </c>
      <c r="U29"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22.482588838041522</v>
      </c>
      <c r="V29" s="124">
        <f t="shared" si="15"/>
        <v>5519648.6054976685</v>
      </c>
      <c r="W29" s="124">
        <f>FiancialTable[[#This Row],[Mngmt FTEs]]*M29</f>
        <v>143733.51622665167</v>
      </c>
      <c r="X29" s="124">
        <f>FiancialTable[[#This Row],[Prod''n FTEs]]*N29</f>
        <v>1620994.6552227938</v>
      </c>
      <c r="Y29" s="124">
        <f>SUMIFS(INDEX(Costs!$AA$15:$AC$29,0,MATCH($B29,Costs!$AA$4:$AC$4,0)),Costs!$A$15:$A$29,Y$4,Costs!$E$15:$E$29,$B29)*SUMIFS(Y:Y,$D:$D,($D29+1),$A:$A,$A29)/SUMIFS(Y:Y,$D:$D,($D29+1),$B:$B,$B29)</f>
        <v>802032.7124943767</v>
      </c>
      <c r="Z29"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71929.182184127174</v>
      </c>
      <c r="AA29" s="124">
        <f>SUMIFS(INDEX(Costs!$O$5:$AI$30,MATCH(AA$4,Costs!$A$5:$A$30,0),0),Costs!$O$2:$AI$2,$D29,Costs!$O$4:$AI$4,$B29)*SUMIFS(AA:AA,$D:$D,($D29+1),$A:$A,$A29)/SUMIFS(AA:AA,$D:$D,($D29+1),$B:$B,$B29)</f>
        <v>169388.04831659229</v>
      </c>
      <c r="AB29" s="124">
        <f>SUMIFS(ProductRatesTable[Materials CPU],ProductRatesTable[Year],$D29,ProductRatesTable[Products],$A29)*ProductsCalcTable[[#This Row],[Volume]]</f>
        <v>2707340.1368750455</v>
      </c>
      <c r="AC29" s="124">
        <f>SUMIFS(INDEX(Costs!$F$5:$I$30,0,MATCH(ProductsCalcTable[[#This Row],[Year]],Costs!$F$4:$I$4,0)),Costs!$A$5:$A$30,AC$4,Costs!$E$5:$E$30,$B29)/SUMIFS(ProductsCalcTable[Volume],ProductsCalcTable[Year],ProductsCalcTable[[#This Row],[Year]],ProductsCalcTable[Department Name],ProductsCalcTable[[#This Row],[Department Name]])*ProductsCalcTable[[#This Row],[Volume]]</f>
        <v>1405.7386197552439</v>
      </c>
      <c r="AD29" s="124">
        <f>SUMIFS(INDEX(Costs!$F$5:$I$30,0,MATCH(ProductsCalcTable[[#This Row],[Year]],Costs!$F$4:$I$4,0)),Costs!$A$5:$A$30,AD$4,Costs!$E$5:$E$30,$B29)/SUMIFS(ProductsCalcTable[Volume],ProductsCalcTable[Year],ProductsCalcTable[[#This Row],[Year]],ProductsCalcTable[Department Name],ProductsCalcTable[[#This Row],[Department Name]])*ProductsCalcTable[[#This Row],[Volume]]</f>
        <v>1352.4593738633987</v>
      </c>
      <c r="AE29" s="124">
        <f>INDEX(Costs!$AF$15:$AH$29,MATCH(AE$4,Costs!$A$15:$A$29,0),MATCH($B29,Costs!$AF$4:$AH$4,0))/SUMIFS(ProductsCalcTable[Volume],ProductsCalcTable[Year],ProductsCalcTable[[#This Row],[Year]],ProductsCalcTable[Department Name],ProductsCalcTable[[#This Row],[Department Name]])*ProductsCalcTable[[#This Row],[Volume]]</f>
        <v>1472.156184463259</v>
      </c>
      <c r="AK29" s="80">
        <f>SUMIFS(ProductsCalcTable[#This Row],ProductsCalcTable[#Headers],"Cost Per Unit")-AL29</f>
        <v>0</v>
      </c>
      <c r="AL29" s="80">
        <f t="shared" si="16"/>
        <v>32.861310520442395</v>
      </c>
      <c r="AM29" s="81">
        <f>SUMIFS(FiancialTable[[#This Row],[Total]:[Other]],FiancialTable[[#Headers],[Total]:[Other]],LEFT(AM$4,LEN(AM$4)-4))/SUMIFS(ProductsCalcTable[#This Row],ProductsCalcTable[#Headers],"Volume")</f>
        <v>0.85571963842310239</v>
      </c>
      <c r="AN29" s="81">
        <f>SUMIFS(FiancialTable[[#This Row],[Total]:[Other]],FiancialTable[[#Headers],[Total]:[Other]],LEFT(AN$4,LEN(AN$4)-4))/SUMIFS(ProductsCalcTable[#This Row],ProductsCalcTable[#Headers],"Volume")</f>
        <v>9.6506159222160992</v>
      </c>
      <c r="AO29" s="85">
        <f t="shared" si="17"/>
        <v>10.506335560639201</v>
      </c>
      <c r="AP29" s="81">
        <f>SUMIFS(FiancialTable[[#This Row],[Total]:[Other]],FiancialTable[[#Headers],[Total]:[Other]],LEFT(AP$4,LEN(AP$4)-4))/SUMIFS(ProductsCalcTable[#This Row],ProductsCalcTable[#Headers],"Volume")</f>
        <v>4.7749137484186077</v>
      </c>
      <c r="AQ29" s="81">
        <f>SUMIFS(FiancialTable[[#This Row],[Total]:[Other]],FiancialTable[[#Headers],[Total]:[Other]],LEFT(AQ$4,LEN(AQ$4)-4))/SUMIFS(ProductsCalcTable[#This Row],ProductsCalcTable[#Headers],"Volume")</f>
        <v>0.42823146185063332</v>
      </c>
      <c r="AR29" s="85">
        <f t="shared" si="18"/>
        <v>5.2031452102692413</v>
      </c>
      <c r="AS29" s="81">
        <f>SUMIFS(FiancialTable[[#This Row],[Total]:[Other]],FiancialTable[[#Headers],[Total]:[Other]],LEFT(AS$4,LEN(AS$4)-4))/SUMIFS(ProductsCalcTable[#This Row],ProductsCalcTable[#Headers],"Volume")</f>
        <v>1.0084542788899808</v>
      </c>
      <c r="AT29" s="81">
        <f>SUMIFS(FiancialTable[[#This Row],[Total]:[Other]],FiancialTable[[#Headers],[Total]:[Other]],LEFT(AT$4,LEN(AT$4)-4))/SUMIFS(ProductsCalcTable[#This Row],ProductsCalcTable[#Headers],"Volume")</f>
        <v>16.118189993778849</v>
      </c>
      <c r="AU29" s="81">
        <f>SUMIFS(FiancialTable[[#This Row],[Total]:[Other]],FiancialTable[[#Headers],[Total]:[Other]],LEFT(AU$4,LEN(AU$4)-4))/SUMIFS(ProductsCalcTable[#This Row],ProductsCalcTable[#Headers],"Volume")</f>
        <v>8.3690858958566147E-3</v>
      </c>
      <c r="AV29" s="81">
        <f>SUMIFS(FiancialTable[[#This Row],[Total]:[Other]],FiancialTable[[#Headers],[Total]:[Other]],LEFT(AV$4,LEN(AV$4)-4))/SUMIFS(ProductsCalcTable[#This Row],ProductsCalcTable[#Headers],"Volume")</f>
        <v>8.0518871086361615E-3</v>
      </c>
      <c r="AW29" s="81">
        <f>SUMIFS(FiancialTable[[#This Row],[Total]:[Other]],FiancialTable[[#Headers],[Total]:[Other]],LEFT(AW$4,LEN(AW$4)-4))/SUMIFS(ProductsCalcTable[#This Row],ProductsCalcTable[#Headers],"Volume")</f>
        <v>8.7645038606357101E-3</v>
      </c>
    </row>
    <row r="30" spans="1:49" x14ac:dyDescent="0.3">
      <c r="A30" t="s">
        <v>10</v>
      </c>
      <c r="B30" s="3" t="s">
        <v>6</v>
      </c>
      <c r="C30" t="s">
        <v>12</v>
      </c>
      <c r="D30">
        <v>2021</v>
      </c>
      <c r="E30" s="20" cm="1">
        <f t="array" ref="E30">_xlfn.XLOOKUP(ProductsCalcTable[[#This Row],[Products]]&amp;ProductsCalcTable[[#This Row],[Year]],ProductRatesTable[Products]&amp;ProductRatesTable[Year],ProductRatesTable[Retail Price],"Not Found",0)</f>
        <v>5.7623999999999995E-2</v>
      </c>
      <c r="F30" s="7" cm="1">
        <f t="array" ref="F30">_xlfn.XLOOKUP(ProductsCalcTable[[#This Row],[Products]]&amp;ProductsCalcTable[[#This Row],[Year]],ProductRatesTable[Products]&amp;ProductRatesTable[Year],ProductRatesTable[Share of Retail Costs],"Not Found",0)</f>
        <v>0.6</v>
      </c>
      <c r="G30" s="4">
        <f>SUMIFS(VolumesTable[Volume],VolumesTable[Products],$A30,VolumesTable[Year],ProductsCalcTable[[#This Row],[Year]])</f>
        <v>6975123</v>
      </c>
      <c r="H30" s="18">
        <f>ProductsCalcTable[[#This Row],[Retail Price]]*ProductsCalcTable[[#This Row],[Volume]]</f>
        <v>401934.48775199999</v>
      </c>
      <c r="I30" s="18">
        <f t="shared" si="10"/>
        <v>401741.01531112695</v>
      </c>
      <c r="J30" s="27">
        <f>ProductsCalcTable[[#This Row],[Actual Costs]]/ProductsCalcTable[[#This Row],[Volume]]</f>
        <v>5.7596262504779762E-2</v>
      </c>
      <c r="K30" s="27">
        <f>SUMIFS(ProductsCalcTable[Cost Per Unit],ProductsCalcTable[Products],$A30,ProductsCalcTable[Year],$D30-1)</f>
        <v>5.7160274817532171E-2</v>
      </c>
      <c r="M30" s="23">
        <f>INDEX(Costs!$F$5:$J$30,MATCH(M$4,Costs!$C$5:$C$30,0),MATCH($D30,Costs!$F$4:$J$4,0))</f>
        <v>123600</v>
      </c>
      <c r="N30" s="23">
        <f>INDEX(Costs!$F$5:$J$30,MATCH(N$4,Costs!$C$5:$C$30,0),MATCH($D30,Costs!$F$4:$J$4,0))</f>
        <v>72100</v>
      </c>
      <c r="O30" s="30"/>
      <c r="P30" s="55">
        <f t="shared" si="30"/>
        <v>0.9561362038486404</v>
      </c>
      <c r="Q30" s="51"/>
      <c r="R30" s="121" t="str">
        <f t="shared" si="13"/>
        <v>Hex Nuts</v>
      </c>
      <c r="S30" s="122">
        <f t="shared" si="14"/>
        <v>2021</v>
      </c>
      <c r="T30"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4.8290855432982727E-2</v>
      </c>
      <c r="U30"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0.93362320503766605</v>
      </c>
      <c r="V30" s="124">
        <f t="shared" si="15"/>
        <v>401741.01531112695</v>
      </c>
      <c r="W30" s="124">
        <f>FiancialTable[[#This Row],[Mngmt FTEs]]*M30</f>
        <v>5968.7497315166647</v>
      </c>
      <c r="X30" s="124">
        <f>FiancialTable[[#This Row],[Prod''n FTEs]]*N30</f>
        <v>67314.233083215717</v>
      </c>
      <c r="Y30" s="124">
        <f>SUMIFS(INDEX(Costs!$AA$15:$AC$29,0,MATCH($B30,Costs!$AA$4:$AC$4,0)),Costs!$A$15:$A$29,Y$4,Costs!$E$15:$E$29,$B30)*SUMIFS(Y:Y,$D:$D,($D30+1),$A:$A,$A30)/SUMIFS(Y:Y,$D:$D,($D30+1),$B:$B,$B30)</f>
        <v>30856.140342218463</v>
      </c>
      <c r="Z30"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2986.9671188779748</v>
      </c>
      <c r="AA30" s="124">
        <f>SUMIFS(INDEX(Costs!$O$5:$AI$30,MATCH(AA$4,Costs!$A$5:$A$30,0),0),Costs!$O$2:$AI$2,$D30,Costs!$O$4:$AI$4,$B30)*SUMIFS(AA:AA,$D:$D,($D30+1),$A:$A,$A30)/SUMIFS(AA:AA,$D:$D,($D30+1),$B:$B,$B30)</f>
        <v>6516.7683433958446</v>
      </c>
      <c r="AB30" s="124">
        <f>SUMIFS(ProductRatesTable[Materials CPU],ProductRatesTable[Year],$D30,ProductRatesTable[Products],$A30)*ProductsCalcTable[[#This Row],[Volume]]</f>
        <v>112426.35774397668</v>
      </c>
      <c r="AC30" s="124">
        <f>SUMIFS(INDEX(Costs!$F$5:$I$30,0,MATCH(ProductsCalcTable[[#This Row],[Year]],Costs!$F$4:$I$4,0)),Costs!$A$5:$A$30,AC$4,Costs!$E$5:$E$30,$B30)/SUMIFS(ProductsCalcTable[Volume],ProductsCalcTable[Year],ProductsCalcTable[[#This Row],[Year]],ProductsCalcTable[Department Name],ProductsCalcTable[[#This Row],[Department Name]])*ProductsCalcTable[[#This Row],[Volume]]</f>
        <v>58375.403521165077</v>
      </c>
      <c r="AD30" s="124">
        <f>SUMIFS(INDEX(Costs!$F$5:$I$30,0,MATCH(ProductsCalcTable[[#This Row],[Year]],Costs!$F$4:$I$4,0)),Costs!$A$5:$A$30,AD$4,Costs!$E$5:$E$30,$B30)/SUMIFS(ProductsCalcTable[Volume],ProductsCalcTable[Year],ProductsCalcTable[[#This Row],[Year]],ProductsCalcTable[Department Name],ProductsCalcTable[[#This Row],[Department Name]])*ProductsCalcTable[[#This Row],[Volume]]</f>
        <v>56162.902964851586</v>
      </c>
      <c r="AE30" s="124">
        <f>INDEX(Costs!$AF$15:$AH$29,MATCH(AE$4,Costs!$A$15:$A$29,0),MATCH($B30,Costs!$AF$4:$AH$4,0))/SUMIFS(ProductsCalcTable[Volume],ProductsCalcTable[Year],ProductsCalcTable[[#This Row],[Year]],ProductsCalcTable[Department Name],ProductsCalcTable[[#This Row],[Department Name]])*ProductsCalcTable[[#This Row],[Volume]]</f>
        <v>61133.492461908936</v>
      </c>
      <c r="AK30" s="80">
        <f>SUMIFS(ProductsCalcTable[#This Row],ProductsCalcTable[#Headers],"Cost Per Unit")-AL30</f>
        <v>0</v>
      </c>
      <c r="AL30" s="80">
        <f t="shared" si="16"/>
        <v>5.7596262504779762E-2</v>
      </c>
      <c r="AM30" s="81">
        <f>SUMIFS(FiancialTable[[#This Row],[Total]:[Other]],FiancialTable[[#Headers],[Total]:[Other]],LEFT(AM$4,LEN(AM$4)-4))/SUMIFS(ProductsCalcTable[#This Row],ProductsCalcTable[#Headers],"Volume")</f>
        <v>8.5571963842310237E-4</v>
      </c>
      <c r="AN30" s="81">
        <f>SUMIFS(FiancialTable[[#This Row],[Total]:[Other]],FiancialTable[[#Headers],[Total]:[Other]],LEFT(AN$4,LEN(AN$4)-4))/SUMIFS(ProductsCalcTable[#This Row],ProductsCalcTable[#Headers],"Volume")</f>
        <v>9.6506159222160982E-3</v>
      </c>
      <c r="AO30" s="85">
        <f t="shared" si="17"/>
        <v>1.05063355606392E-2</v>
      </c>
      <c r="AP30" s="81">
        <f>SUMIFS(FiancialTable[[#This Row],[Total]:[Other]],FiancialTable[[#Headers],[Total]:[Other]],LEFT(AP$4,LEN(AP$4)-4))/SUMIFS(ProductsCalcTable[#This Row],ProductsCalcTable[#Headers],"Volume")</f>
        <v>4.4237413938389997E-3</v>
      </c>
      <c r="AQ30" s="81">
        <f>SUMIFS(FiancialTable[[#This Row],[Total]:[Other]],FiancialTable[[#Headers],[Total]:[Other]],LEFT(AQ$4,LEN(AQ$4)-4))/SUMIFS(ProductsCalcTable[#This Row],ProductsCalcTable[#Headers],"Volume")</f>
        <v>4.2823146185063331E-4</v>
      </c>
      <c r="AR30" s="85">
        <f t="shared" si="18"/>
        <v>4.8519728556896333E-3</v>
      </c>
      <c r="AS30" s="81">
        <f>SUMIFS(FiancialTable[[#This Row],[Total]:[Other]],FiancialTable[[#Headers],[Total]:[Other]],LEFT(AS$4,LEN(AS$4)-4))/SUMIFS(ProductsCalcTable[#This Row],ProductsCalcTable[#Headers],"Volume")</f>
        <v>9.3428722954360006E-4</v>
      </c>
      <c r="AT30" s="81">
        <f>SUMIFS(FiancialTable[[#This Row],[Total]:[Other]],FiancialTable[[#Headers],[Total]:[Other]],LEFT(AT$4,LEN(AT$4)-4))/SUMIFS(ProductsCalcTable[#This Row],ProductsCalcTable[#Headers],"Volume")</f>
        <v>1.6118189993778845E-2</v>
      </c>
      <c r="AU30" s="81">
        <f>SUMIFS(FiancialTable[[#This Row],[Total]:[Other]],FiancialTable[[#Headers],[Total]:[Other]],LEFT(AU$4,LEN(AU$4)-4))/SUMIFS(ProductsCalcTable[#This Row],ProductsCalcTable[#Headers],"Volume")</f>
        <v>8.3690858958566147E-3</v>
      </c>
      <c r="AV30" s="81">
        <f>SUMIFS(FiancialTable[[#This Row],[Total]:[Other]],FiancialTable[[#Headers],[Total]:[Other]],LEFT(AV$4,LEN(AV$4)-4))/SUMIFS(ProductsCalcTable[#This Row],ProductsCalcTable[#Headers],"Volume")</f>
        <v>8.0518871086361615E-3</v>
      </c>
      <c r="AW30" s="81">
        <f>SUMIFS(FiancialTable[[#This Row],[Total]:[Other]],FiancialTable[[#Headers],[Total]:[Other]],LEFT(AW$4,LEN(AW$4)-4))/SUMIFS(ProductsCalcTable[#This Row],ProductsCalcTable[#Headers],"Volume")</f>
        <v>8.7645038606357101E-3</v>
      </c>
    </row>
    <row r="31" spans="1:49" x14ac:dyDescent="0.3">
      <c r="A31" t="s">
        <v>16</v>
      </c>
      <c r="B31" s="3" t="s">
        <v>73</v>
      </c>
      <c r="C31" t="s">
        <v>11</v>
      </c>
      <c r="D31">
        <v>2021</v>
      </c>
      <c r="E31" s="20" cm="1">
        <f t="array" ref="E31">_xlfn.XLOOKUP(ProductsCalcTable[[#This Row],[Products]]&amp;ProductsCalcTable[[#This Row],[Year]],ProductRatesTable[Products]&amp;ProductRatesTable[Year],ProductRatesTable[Retail Price],"Not Found",0)</f>
        <v>7.9713200000000004</v>
      </c>
      <c r="F31" s="7" cm="1">
        <f t="array" ref="F31">_xlfn.XLOOKUP(ProductsCalcTable[[#This Row],[Products]]&amp;ProductsCalcTable[[#This Row],[Year]],ProductRatesTable[Products]&amp;ProductRatesTable[Year],ProductRatesTable[Share of Retail Costs],"Not Found",0)</f>
        <v>0.5</v>
      </c>
      <c r="G31" s="4">
        <f>SUMIFS(VolumesTable[Volume],VolumesTable[Products],$A31,VolumesTable[Year],ProductsCalcTable[[#This Row],[Year]])</f>
        <v>285174</v>
      </c>
      <c r="H31" s="18">
        <f>ProductsCalcTable[[#This Row],[Retail Price]]*ProductsCalcTable[[#This Row],[Volume]]</f>
        <v>2273213.2096800003</v>
      </c>
      <c r="I31" s="18">
        <f t="shared" si="10"/>
        <v>1162350.2195843973</v>
      </c>
      <c r="J31" s="27">
        <f>ProductsCalcTable[[#This Row],[Actual Costs]]/ProductsCalcTable[[#This Row],[Volume]]</f>
        <v>4.0759333585263642</v>
      </c>
      <c r="K31" s="27">
        <f>SUMIFS(ProductsCalcTable[Cost Per Unit],ProductsCalcTable[Products],$A31,ProductsCalcTable[Year],$D31-1)</f>
        <v>4.0365465425941034</v>
      </c>
      <c r="M31" s="23">
        <f>INDEX(Costs!$F$5:$J$30,MATCH(M$4,Costs!$C$5:$C$30,0),MATCH($D31,Costs!$F$4:$J$4,0))</f>
        <v>123600</v>
      </c>
      <c r="N31" s="23">
        <f>INDEX(Costs!$F$5:$J$30,MATCH(N$4,Costs!$C$5:$C$30,0),MATCH($D31,Costs!$F$4:$J$4,0))</f>
        <v>72100</v>
      </c>
      <c r="O31" s="31"/>
      <c r="P31" s="55">
        <f t="shared" si="30"/>
        <v>4.4401155941898978</v>
      </c>
      <c r="Q31" s="51"/>
      <c r="R31" s="121" t="str">
        <f t="shared" si="13"/>
        <v>Spur Gears 8MM</v>
      </c>
      <c r="S31" s="122">
        <f t="shared" si="14"/>
        <v>2021</v>
      </c>
      <c r="T31"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0.21225022583391492</v>
      </c>
      <c r="U31"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4.2450045166782981</v>
      </c>
      <c r="V31" s="124">
        <f t="shared" si="15"/>
        <v>1162350.2195843973</v>
      </c>
      <c r="W31" s="124">
        <f>FiancialTable[[#This Row],[Mngmt FTEs]]*M31</f>
        <v>26234.127913071883</v>
      </c>
      <c r="X31" s="124">
        <f>FiancialTable[[#This Row],[Prod''n FTEs]]*N31</f>
        <v>306064.82565250527</v>
      </c>
      <c r="Y31" s="124">
        <f>SUMIFS(INDEX(Costs!$AA$15:$AC$29,0,MATCH($B31,Costs!$AA$4:$AC$4,0)),Costs!$A$15:$A$29,Y$4,Costs!$E$15:$E$29,$B31)*SUMIFS(Y:Y,$D:$D,($D31+1),$A:$A,$A31)/SUMIFS(Y:Y,$D:$D,($D31+1),$B:$B,$B31)</f>
        <v>158914.00139654501</v>
      </c>
      <c r="Z31"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14156.954222977591</v>
      </c>
      <c r="AA31" s="124">
        <f>SUMIFS(INDEX(Costs!$O$5:$AI$30,MATCH(AA$4,Costs!$A$5:$A$30,0),0),Costs!$O$2:$AI$2,$D31,Costs!$O$4:$AI$4,$B31)*SUMIFS(AA:AA,$D:$D,($D31+1),$A:$A,$A31)/SUMIFS(AA:AA,$D:$D,($D31+1),$B:$B,$B31)</f>
        <v>35119.116330728182</v>
      </c>
      <c r="AB31" s="124">
        <f>SUMIFS(ProductRatesTable[Materials CPU],ProductRatesTable[Year],$D31,ProductRatesTable[Products],$A31)*ProductsCalcTable[[#This Row],[Volume]]</f>
        <v>529873.00444823445</v>
      </c>
      <c r="AC31" s="124">
        <f>SUMIFS(INDEX(Costs!$F$5:$I$30,0,MATCH(ProductsCalcTable[[#This Row],[Year]],Costs!$F$4:$I$4,0)),Costs!$A$5:$A$30,AC$4,Costs!$E$5:$E$30,$B31)/SUMIFS(ProductsCalcTable[Volume],ProductsCalcTable[Year],ProductsCalcTable[[#This Row],[Year]],ProductsCalcTable[Department Name],ProductsCalcTable[[#This Row],[Department Name]])*ProductsCalcTable[[#This Row],[Volume]]</f>
        <v>30138.34643512587</v>
      </c>
      <c r="AD31" s="124">
        <f>SUMIFS(INDEX(Costs!$F$5:$I$30,0,MATCH(ProductsCalcTable[[#This Row],[Year]],Costs!$F$4:$I$4,0)),Costs!$A$5:$A$30,AD$4,Costs!$E$5:$E$30,$B31)/SUMIFS(ProductsCalcTable[Volume],ProductsCalcTable[Year],ProductsCalcTable[[#This Row],[Year]],ProductsCalcTable[Department Name],ProductsCalcTable[[#This Row],[Department Name]])*ProductsCalcTable[[#This Row],[Volume]]</f>
        <v>28850.427222202987</v>
      </c>
      <c r="AE31" s="124">
        <f>INDEX(Costs!$AF$15:$AH$29,MATCH(AE$4,Costs!$A$15:$A$29,0),MATCH($B31,Costs!$AF$4:$AH$4,0))/SUMIFS(ProductsCalcTable[Volume],ProductsCalcTable[Year],ProductsCalcTable[[#This Row],[Year]],ProductsCalcTable[Department Name],ProductsCalcTable[[#This Row],[Department Name]])*ProductsCalcTable[[#This Row],[Volume]]</f>
        <v>32999.415963006075</v>
      </c>
      <c r="AK31" s="80">
        <f>SUMIFS(ProductsCalcTable[#This Row],ProductsCalcTable[#Headers],"Cost Per Unit")-AL31</f>
        <v>0</v>
      </c>
      <c r="AL31" s="80">
        <f t="shared" si="16"/>
        <v>4.0759333585263642</v>
      </c>
      <c r="AM31" s="81">
        <f>SUMIFS(FiancialTable[[#This Row],[Total]:[Other]],FiancialTable[[#Headers],[Total]:[Other]],LEFT(AM$4,LEN(AM$4)-4))/SUMIFS(ProductsCalcTable[#This Row],ProductsCalcTable[#Headers],"Volume")</f>
        <v>9.1993407228821295E-2</v>
      </c>
      <c r="AN31" s="81">
        <f>SUMIFS(FiancialTable[[#This Row],[Total]:[Other]],FiancialTable[[#Headers],[Total]:[Other]],LEFT(AN$4,LEN(AN$4)-4))/SUMIFS(ProductsCalcTable[#This Row],ProductsCalcTable[#Headers],"Volume")</f>
        <v>1.0732564176695816</v>
      </c>
      <c r="AO31" s="85">
        <f t="shared" si="17"/>
        <v>1.1652498248984029</v>
      </c>
      <c r="AP31" s="81">
        <f>SUMIFS(FiancialTable[[#This Row],[Total]:[Other]],FiancialTable[[#Headers],[Total]:[Other]],LEFT(AP$4,LEN(AP$4)-4))/SUMIFS(ProductsCalcTable[#This Row],ProductsCalcTable[#Headers],"Volume")</f>
        <v>0.55725276987574257</v>
      </c>
      <c r="AQ31" s="81">
        <f>SUMIFS(FiancialTable[[#This Row],[Total]:[Other]],FiancialTable[[#Headers],[Total]:[Other]],LEFT(AQ$4,LEN(AQ$4)-4))/SUMIFS(ProductsCalcTable[#This Row],ProductsCalcTable[#Headers],"Volume")</f>
        <v>4.9643215100175997E-2</v>
      </c>
      <c r="AR31" s="85">
        <f t="shared" si="18"/>
        <v>0.60689598497591857</v>
      </c>
      <c r="AS31" s="81">
        <f>SUMIFS(FiancialTable[[#This Row],[Total]:[Other]],FiancialTable[[#Headers],[Total]:[Other]],LEFT(AS$4,LEN(AS$4)-4))/SUMIFS(ProductsCalcTable[#This Row],ProductsCalcTable[#Headers],"Volume")</f>
        <v>0.12314978339795417</v>
      </c>
      <c r="AT31" s="81">
        <f>SUMIFS(FiancialTable[[#This Row],[Total]:[Other]],FiancialTable[[#Headers],[Total]:[Other]],LEFT(AT$4,LEN(AT$4)-4))/SUMIFS(ProductsCalcTable[#This Row],ProductsCalcTable[#Headers],"Volume")</f>
        <v>1.8580691242828393</v>
      </c>
      <c r="AU31" s="81">
        <f>SUMIFS(FiancialTable[[#This Row],[Total]:[Other]],FiancialTable[[#Headers],[Total]:[Other]],LEFT(AU$4,LEN(AU$4)-4))/SUMIFS(ProductsCalcTable[#This Row],ProductsCalcTable[#Headers],"Volume")</f>
        <v>0.10568406108244745</v>
      </c>
      <c r="AV31" s="81">
        <f>SUMIFS(FiancialTable[[#This Row],[Total]:[Other]],FiancialTable[[#Headers],[Total]:[Other]],LEFT(AV$4,LEN(AV$4)-4))/SUMIFS(ProductsCalcTable[#This Row],ProductsCalcTable[#Headers],"Volume")</f>
        <v>0.10116780359430728</v>
      </c>
      <c r="AW31" s="81">
        <f>SUMIFS(FiancialTable[[#This Row],[Total]:[Other]],FiancialTable[[#Headers],[Total]:[Other]],LEFT(AW$4,LEN(AW$4)-4))/SUMIFS(ProductsCalcTable[#This Row],ProductsCalcTable[#Headers],"Volume")</f>
        <v>0.11571677629449414</v>
      </c>
    </row>
    <row r="32" spans="1:49" x14ac:dyDescent="0.3">
      <c r="A32" t="s">
        <v>15</v>
      </c>
      <c r="B32" s="3" t="s">
        <v>73</v>
      </c>
      <c r="C32" t="s">
        <v>11</v>
      </c>
      <c r="D32">
        <v>2021</v>
      </c>
      <c r="E32" s="20" cm="1">
        <f t="array" ref="E32">_xlfn.XLOOKUP(ProductsCalcTable[[#This Row],[Products]]&amp;ProductsCalcTable[[#This Row],[Year]],ProductRatesTable[Products]&amp;ProductRatesTable[Year],ProductRatesTable[Retail Price],"Not Found",0)</f>
        <v>8.6435999999999993</v>
      </c>
      <c r="F32" s="7" cm="1">
        <f t="array" ref="F32">_xlfn.XLOOKUP(ProductsCalcTable[[#This Row],[Products]]&amp;ProductsCalcTable[[#This Row],[Year]],ProductRatesTable[Products]&amp;ProductRatesTable[Year],ProductRatesTable[Share of Retail Costs],"Not Found",0)</f>
        <v>0.5</v>
      </c>
      <c r="G32" s="4">
        <f>SUMIFS(VolumesTable[Volume],VolumesTable[Products],$A32,VolumesTable[Year],ProductsCalcTable[[#This Row],[Year]])</f>
        <v>431744</v>
      </c>
      <c r="H32" s="18">
        <f>ProductsCalcTable[[#This Row],[Retail Price]]*ProductsCalcTable[[#This Row],[Volume]]</f>
        <v>3731822.4383999999</v>
      </c>
      <c r="I32" s="18">
        <f t="shared" si="10"/>
        <v>1879723.7387115732</v>
      </c>
      <c r="J32" s="27">
        <f>ProductsCalcTable[[#This Row],[Actual Costs]]/ProductsCalcTable[[#This Row],[Volume]]</f>
        <v>4.3537923832446381</v>
      </c>
      <c r="K32" s="27">
        <f>SUMIFS(ProductsCalcTable[Cost Per Unit],ProductsCalcTable[Products],$A32,ProductsCalcTable[Year],$D32-1)</f>
        <v>4.3400274168277679</v>
      </c>
      <c r="M32" s="23">
        <f>INDEX(Costs!$F$5:$J$30,MATCH(M$4,Costs!$C$5:$C$30,0),MATCH($D32,Costs!$F$4:$J$4,0))</f>
        <v>123600</v>
      </c>
      <c r="N32" s="23">
        <f>INDEX(Costs!$F$5:$J$30,MATCH(N$4,Costs!$C$5:$C$30,0),MATCH($D32,Costs!$F$4:$J$4,0))</f>
        <v>72100</v>
      </c>
      <c r="O32" s="31"/>
      <c r="P32" s="55">
        <f t="shared" si="30"/>
        <v>7.2891196184013571</v>
      </c>
      <c r="Q32" s="51"/>
      <c r="R32" s="121" t="str">
        <f t="shared" si="13"/>
        <v>Helical Gears 8MM</v>
      </c>
      <c r="S32" s="122">
        <f t="shared" si="14"/>
        <v>2021</v>
      </c>
      <c r="T32"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0.34844076743420471</v>
      </c>
      <c r="U32"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6.9688153486840934</v>
      </c>
      <c r="V32" s="124">
        <f t="shared" si="15"/>
        <v>1879723.7387115732</v>
      </c>
      <c r="W32" s="124">
        <f>FiancialTable[[#This Row],[Mngmt FTEs]]*M32</f>
        <v>43067.278854867705</v>
      </c>
      <c r="X32" s="124">
        <f>FiancialTable[[#This Row],[Prod''n FTEs]]*N32</f>
        <v>502451.5866401231</v>
      </c>
      <c r="Y32" s="124">
        <f>SUMIFS(INDEX(Costs!$AA$15:$AC$29,0,MATCH($B32,Costs!$AA$4:$AC$4,0)),Costs!$A$15:$A$29,Y$4,Costs!$E$15:$E$29,$B32)*SUMIFS(Y:Y,$D:$D,($D32+1),$A:$A,$A32)/SUMIFS(Y:Y,$D:$D,($D32+1),$B:$B,$B32)</f>
        <v>247200.5813825824</v>
      </c>
      <c r="Z32"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23240.776185770294</v>
      </c>
      <c r="AA32" s="124">
        <f>SUMIFS(INDEX(Costs!$O$5:$AI$30,MATCH(AA$4,Costs!$A$5:$A$30,0),0),Costs!$O$2:$AI$2,$D32,Costs!$O$4:$AI$4,$B32)*SUMIFS(AA:AA,$D:$D,($D32+1),$A:$A,$A32)/SUMIFS(AA:AA,$D:$D,($D32+1),$B:$B,$B32)</f>
        <v>54629.962736482295</v>
      </c>
      <c r="AB32" s="124">
        <f>SUMIFS(ProductRatesTable[Materials CPU],ProductRatesTable[Year],$D32,ProductRatesTable[Products],$A32)*ProductsCalcTable[[#This Row],[Volume]]</f>
        <v>869866.47758425667</v>
      </c>
      <c r="AC32" s="124">
        <f>SUMIFS(INDEX(Costs!$F$5:$I$30,0,MATCH(ProductsCalcTable[[#This Row],[Year]],Costs!$F$4:$I$4,0)),Costs!$A$5:$A$30,AC$4,Costs!$E$5:$E$30,$B32)/SUMIFS(ProductsCalcTable[Volume],ProductsCalcTable[Year],ProductsCalcTable[[#This Row],[Year]],ProductsCalcTable[Department Name],ProductsCalcTable[[#This Row],[Department Name]])*ProductsCalcTable[[#This Row],[Volume]]</f>
        <v>45628.459267980194</v>
      </c>
      <c r="AD32" s="124">
        <f>SUMIFS(INDEX(Costs!$F$5:$I$30,0,MATCH(ProductsCalcTable[[#This Row],[Year]],Costs!$F$4:$I$4,0)),Costs!$A$5:$A$30,AD$4,Costs!$E$5:$E$30,$B32)/SUMIFS(ProductsCalcTable[Volume],ProductsCalcTable[Year],ProductsCalcTable[[#This Row],[Year]],ProductsCalcTable[Department Name],ProductsCalcTable[[#This Row],[Department Name]])*ProductsCalcTable[[#This Row],[Volume]]</f>
        <v>43678.592195020603</v>
      </c>
      <c r="AE32" s="124">
        <f>INDEX(Costs!$AF$15:$AH$29,MATCH(AE$4,Costs!$A$15:$A$29,0),MATCH($B32,Costs!$AF$4:$AH$4,0))/SUMIFS(ProductsCalcTable[Volume],ProductsCalcTable[Year],ProductsCalcTable[[#This Row],[Year]],ProductsCalcTable[Department Name],ProductsCalcTable[[#This Row],[Department Name]])*ProductsCalcTable[[#This Row],[Volume]]</f>
        <v>49960.023864490089</v>
      </c>
      <c r="AK32" s="80">
        <f>SUMIFS(ProductsCalcTable[#This Row],ProductsCalcTable[#Headers],"Cost Per Unit")-AL32</f>
        <v>0</v>
      </c>
      <c r="AL32" s="80">
        <f t="shared" si="16"/>
        <v>4.353792383244639</v>
      </c>
      <c r="AM32" s="81">
        <f>SUMIFS(FiancialTable[[#This Row],[Total]:[Other]],FiancialTable[[#Headers],[Total]:[Other]],LEFT(AM$4,LEN(AM$4)-4))/SUMIFS(ProductsCalcTable[#This Row],ProductsCalcTable[#Headers],"Volume")</f>
        <v>9.9751887356553201E-2</v>
      </c>
      <c r="AN32" s="81">
        <f>SUMIFS(FiancialTable[[#This Row],[Total]:[Other]],FiancialTable[[#Headers],[Total]:[Other]],LEFT(AN$4,LEN(AN$4)-4))/SUMIFS(ProductsCalcTable[#This Row],ProductsCalcTable[#Headers],"Volume")</f>
        <v>1.1637720191597871</v>
      </c>
      <c r="AO32" s="85">
        <f t="shared" si="17"/>
        <v>1.2635239065163404</v>
      </c>
      <c r="AP32" s="81">
        <f>SUMIFS(FiancialTable[[#This Row],[Total]:[Other]],FiancialTable[[#Headers],[Total]:[Other]],LEFT(AP$4,LEN(AP$4)-4))/SUMIFS(ProductsCalcTable[#This Row],ProductsCalcTable[#Headers],"Volume")</f>
        <v>0.57256286452754968</v>
      </c>
      <c r="AQ32" s="81">
        <f>SUMIFS(FiancialTable[[#This Row],[Total]:[Other]],FiancialTable[[#Headers],[Total]:[Other]],LEFT(AQ$4,LEN(AQ$4)-4))/SUMIFS(ProductsCalcTable[#This Row],ProductsCalcTable[#Headers],"Volume")</f>
        <v>5.3829992277299267E-2</v>
      </c>
      <c r="AR32" s="85">
        <f t="shared" si="18"/>
        <v>0.62639285680484891</v>
      </c>
      <c r="AS32" s="81">
        <f>SUMIFS(FiancialTable[[#This Row],[Total]:[Other]],FiancialTable[[#Headers],[Total]:[Other]],LEFT(AS$4,LEN(AS$4)-4))/SUMIFS(ProductsCalcTable[#This Row],ProductsCalcTable[#Headers],"Volume")</f>
        <v>0.12653322972984521</v>
      </c>
      <c r="AT32" s="81">
        <f>SUMIFS(FiancialTable[[#This Row],[Total]:[Other]],FiancialTable[[#Headers],[Total]:[Other]],LEFT(AT$4,LEN(AT$4)-4))/SUMIFS(ProductsCalcTable[#This Row],ProductsCalcTable[#Headers],"Volume")</f>
        <v>2.0147737492223556</v>
      </c>
      <c r="AU32" s="81">
        <f>SUMIFS(FiancialTable[[#This Row],[Total]:[Other]],FiancialTable[[#Headers],[Total]:[Other]],LEFT(AU$4,LEN(AU$4)-4))/SUMIFS(ProductsCalcTable[#This Row],ProductsCalcTable[#Headers],"Volume")</f>
        <v>0.10568406108244745</v>
      </c>
      <c r="AV32" s="81">
        <f>SUMIFS(FiancialTable[[#This Row],[Total]:[Other]],FiancialTable[[#Headers],[Total]:[Other]],LEFT(AV$4,LEN(AV$4)-4))/SUMIFS(ProductsCalcTable[#This Row],ProductsCalcTable[#Headers],"Volume")</f>
        <v>0.10116780359430728</v>
      </c>
      <c r="AW32" s="81">
        <f>SUMIFS(FiancialTable[[#This Row],[Total]:[Other]],FiancialTable[[#Headers],[Total]:[Other]],LEFT(AW$4,LEN(AW$4)-4))/SUMIFS(ProductsCalcTable[#This Row],ProductsCalcTable[#Headers],"Volume")</f>
        <v>0.11571677629449417</v>
      </c>
    </row>
    <row r="33" spans="1:49" x14ac:dyDescent="0.3">
      <c r="A33" t="s">
        <v>13</v>
      </c>
      <c r="B33" s="3" t="s">
        <v>73</v>
      </c>
      <c r="C33" t="s">
        <v>11</v>
      </c>
      <c r="D33">
        <v>2021</v>
      </c>
      <c r="E33" s="20" cm="1">
        <f t="array" ref="E33">_xlfn.XLOOKUP(ProductsCalcTable[[#This Row],[Products]]&amp;ProductsCalcTable[[#This Row],[Year]],ProductRatesTable[Products]&amp;ProductRatesTable[Year],ProductRatesTable[Retail Price],"Not Found",0)</f>
        <v>10.084199999999999</v>
      </c>
      <c r="F33" s="7" cm="1">
        <f t="array" ref="F33">_xlfn.XLOOKUP(ProductsCalcTable[[#This Row],[Products]]&amp;ProductsCalcTable[[#This Row],[Year]],ProductRatesTable[Products]&amp;ProductRatesTable[Year],ProductRatesTable[Share of Retail Costs],"Not Found",0)</f>
        <v>0.5</v>
      </c>
      <c r="G33" s="4">
        <f>SUMIFS(VolumesTable[Volume],VolumesTable[Products],$A33,VolumesTable[Year],ProductsCalcTable[[#This Row],[Year]])</f>
        <v>239917</v>
      </c>
      <c r="H33" s="18">
        <f>ProductsCalcTable[[#This Row],[Retail Price]]*ProductsCalcTable[[#This Row],[Volume]]</f>
        <v>2419371.0113999997</v>
      </c>
      <c r="I33" s="18">
        <f t="shared" si="10"/>
        <v>1210404.3938962736</v>
      </c>
      <c r="J33" s="27">
        <f>ProductsCalcTable[[#This Row],[Actual Costs]]/ProductsCalcTable[[#This Row],[Volume]]</f>
        <v>5.0450964037407671</v>
      </c>
      <c r="K33" s="27">
        <f>SUMIFS(ProductsCalcTable[Cost Per Unit],ProductsCalcTable[Products],$A33,ProductsCalcTable[Year],$D33-1)</f>
        <v>5.0245059595083763</v>
      </c>
      <c r="M33" s="23">
        <f>INDEX(Costs!$F$5:$J$30,MATCH(M$4,Costs!$C$5:$C$30,0),MATCH($D33,Costs!$F$4:$J$4,0))</f>
        <v>123600</v>
      </c>
      <c r="N33" s="23">
        <f>INDEX(Costs!$F$5:$J$30,MATCH(N$4,Costs!$C$5:$C$30,0),MATCH($D33,Costs!$F$4:$J$4,0))</f>
        <v>72100</v>
      </c>
      <c r="O33" s="31"/>
      <c r="P33" s="55">
        <f t="shared" si="30"/>
        <v>4.7255958702440912</v>
      </c>
      <c r="Q33" s="51"/>
      <c r="R33" s="121" t="str">
        <f t="shared" si="13"/>
        <v>Bevel Gears</v>
      </c>
      <c r="S33" s="122">
        <f t="shared" si="14"/>
        <v>2021</v>
      </c>
      <c r="T33"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0.22589699961226428</v>
      </c>
      <c r="U33"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4.5179399922452852</v>
      </c>
      <c r="V33" s="124">
        <f t="shared" si="15"/>
        <v>1210404.3938962736</v>
      </c>
      <c r="W33" s="124">
        <f>FiancialTable[[#This Row],[Mngmt FTEs]]*M33</f>
        <v>27920.869152075866</v>
      </c>
      <c r="X33" s="124">
        <f>FiancialTable[[#This Row],[Prod''n FTEs]]*N33</f>
        <v>325743.47344088508</v>
      </c>
      <c r="Y33" s="124">
        <f>SUMIFS(INDEX(Costs!$AA$15:$AC$29,0,MATCH($B33,Costs!$AA$4:$AC$4,0)),Costs!$A$15:$A$29,Y$4,Costs!$E$15:$E$29,$B33)*SUMIFS(Y:Y,$D:$D,($D33+1),$A:$A,$A33)/SUMIFS(Y:Y,$D:$D,($D33+1),$B:$B,$B33)</f>
        <v>164080.68744167115</v>
      </c>
      <c r="Z33"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15067.185300058274</v>
      </c>
      <c r="AA33" s="124">
        <f>SUMIFS(INDEX(Costs!$O$5:$AI$30,MATCH(AA$4,Costs!$A$5:$A$30,0),0),Costs!$O$2:$AI$2,$D33,Costs!$O$4:$AI$4,$B33)*SUMIFS(AA:AA,$D:$D,($D33+1),$A:$A,$A33)/SUMIFS(AA:AA,$D:$D,($D33+1),$B:$B,$B33)</f>
        <v>36260.925401474284</v>
      </c>
      <c r="AB33" s="124">
        <f>SUMIFS(ProductRatesTable[Materials CPU],ProductRatesTable[Year],$D33,ProductRatesTable[Products],$A33)*ProductsCalcTable[[#This Row],[Volume]]</f>
        <v>563941.55252420984</v>
      </c>
      <c r="AC33" s="124">
        <f>SUMIFS(INDEX(Costs!$F$5:$I$30,0,MATCH(ProductsCalcTable[[#This Row],[Year]],Costs!$F$4:$I$4,0)),Costs!$A$5:$A$30,AC$4,Costs!$E$5:$E$30,$B33)/SUMIFS(ProductsCalcTable[Volume],ProductsCalcTable[Year],ProductsCalcTable[[#This Row],[Year]],ProductsCalcTable[Department Name],ProductsCalcTable[[#This Row],[Department Name]])*ProductsCalcTable[[#This Row],[Volume]]</f>
        <v>25355.402882717543</v>
      </c>
      <c r="AD33" s="124">
        <f>SUMIFS(INDEX(Costs!$F$5:$I$30,0,MATCH(ProductsCalcTable[[#This Row],[Year]],Costs!$F$4:$I$4,0)),Costs!$A$5:$A$30,AD$4,Costs!$E$5:$E$30,$B33)/SUMIFS(ProductsCalcTable[Volume],ProductsCalcTable[Year],ProductsCalcTable[[#This Row],[Year]],ProductsCalcTable[Department Name],ProductsCalcTable[[#This Row],[Department Name]])*ProductsCalcTable[[#This Row],[Volume]]</f>
        <v>24271.875934935422</v>
      </c>
      <c r="AE33" s="124">
        <f>INDEX(Costs!$AF$15:$AH$29,MATCH(AE$4,Costs!$A$15:$A$29,0),MATCH($B33,Costs!$AF$4:$AH$4,0))/SUMIFS(ProductsCalcTable[Volume],ProductsCalcTable[Year],ProductsCalcTable[[#This Row],[Year]],ProductsCalcTable[Department Name],ProductsCalcTable[[#This Row],[Department Name]])*ProductsCalcTable[[#This Row],[Volume]]</f>
        <v>27762.421818246155</v>
      </c>
      <c r="AK33" s="80">
        <f>SUMIFS(ProductsCalcTable[#This Row],ProductsCalcTable[#Headers],"Cost Per Unit")-AL33</f>
        <v>0</v>
      </c>
      <c r="AL33" s="80">
        <f t="shared" si="16"/>
        <v>5.0450964037407671</v>
      </c>
      <c r="AM33" s="81">
        <f>SUMIFS(FiancialTable[[#This Row],[Total]:[Other]],FiancialTable[[#Headers],[Total]:[Other]],LEFT(AM$4,LEN(AM$4)-4))/SUMIFS(ProductsCalcTable[#This Row],ProductsCalcTable[#Headers],"Volume")</f>
        <v>0.11637720191597872</v>
      </c>
      <c r="AN33" s="81">
        <f>SUMIFS(FiancialTable[[#This Row],[Total]:[Other]],FiancialTable[[#Headers],[Total]:[Other]],LEFT(AN$4,LEN(AN$4)-4))/SUMIFS(ProductsCalcTable[#This Row],ProductsCalcTable[#Headers],"Volume")</f>
        <v>1.3577340223530849</v>
      </c>
      <c r="AO33" s="85">
        <f t="shared" si="17"/>
        <v>1.4741112242690637</v>
      </c>
      <c r="AP33" s="81">
        <f>SUMIFS(FiancialTable[[#This Row],[Total]:[Other]],FiancialTable[[#Headers],[Total]:[Other]],LEFT(AP$4,LEN(AP$4)-4))/SUMIFS(ProductsCalcTable[#This Row],ProductsCalcTable[#Headers],"Volume")</f>
        <v>0.68390604851540804</v>
      </c>
      <c r="AQ33" s="81">
        <f>SUMIFS(FiancialTable[[#This Row],[Total]:[Other]],FiancialTable[[#Headers],[Total]:[Other]],LEFT(AQ$4,LEN(AQ$4)-4))/SUMIFS(ProductsCalcTable[#This Row],ProductsCalcTable[#Headers],"Volume")</f>
        <v>6.2801657656849141E-2</v>
      </c>
      <c r="AR33" s="85">
        <f t="shared" si="18"/>
        <v>0.74670770617225712</v>
      </c>
      <c r="AS33" s="81">
        <f>SUMIFS(FiancialTable[[#This Row],[Total]:[Other]],FiancialTable[[#Headers],[Total]:[Other]],LEFT(AS$4,LEN(AS$4)-4))/SUMIFS(ProductsCalcTable[#This Row],ProductsCalcTable[#Headers],"Volume")</f>
        <v>0.15113945823544928</v>
      </c>
      <c r="AT33" s="81">
        <f>SUMIFS(FiancialTable[[#This Row],[Total]:[Other]],FiancialTable[[#Headers],[Total]:[Other]],LEFT(AT$4,LEN(AT$4)-4))/SUMIFS(ProductsCalcTable[#This Row],ProductsCalcTable[#Headers],"Volume")</f>
        <v>2.350569374092748</v>
      </c>
      <c r="AU33" s="81">
        <f>SUMIFS(FiancialTable[[#This Row],[Total]:[Other]],FiancialTable[[#Headers],[Total]:[Other]],LEFT(AU$4,LEN(AU$4)-4))/SUMIFS(ProductsCalcTable[#This Row],ProductsCalcTable[#Headers],"Volume")</f>
        <v>0.10568406108244743</v>
      </c>
      <c r="AV33" s="81">
        <f>SUMIFS(FiancialTable[[#This Row],[Total]:[Other]],FiancialTable[[#Headers],[Total]:[Other]],LEFT(AV$4,LEN(AV$4)-4))/SUMIFS(ProductsCalcTable[#This Row],ProductsCalcTable[#Headers],"Volume")</f>
        <v>0.10116780359430728</v>
      </c>
      <c r="AW33" s="81">
        <f>SUMIFS(FiancialTable[[#This Row],[Total]:[Other]],FiancialTable[[#Headers],[Total]:[Other]],LEFT(AW$4,LEN(AW$4)-4))/SUMIFS(ProductsCalcTable[#This Row],ProductsCalcTable[#Headers],"Volume")</f>
        <v>0.11571677629449416</v>
      </c>
    </row>
    <row r="34" spans="1:49" x14ac:dyDescent="0.3">
      <c r="A34" t="s">
        <v>14</v>
      </c>
      <c r="B34" s="3" t="s">
        <v>73</v>
      </c>
      <c r="C34" t="s">
        <v>11</v>
      </c>
      <c r="D34">
        <v>2021</v>
      </c>
      <c r="E34" s="20" cm="1">
        <f t="array" ref="E34">_xlfn.XLOOKUP(ProductsCalcTable[[#This Row],[Products]]&amp;ProductsCalcTable[[#This Row],[Year]],ProductRatesTable[Products]&amp;ProductRatesTable[Year],ProductRatesTable[Retail Price],"Not Found",0)</f>
        <v>11.524799999999999</v>
      </c>
      <c r="F34" s="7" cm="1">
        <f t="array" ref="F34">_xlfn.XLOOKUP(ProductsCalcTable[[#This Row],[Products]]&amp;ProductsCalcTable[[#This Row],[Year]],ProductRatesTable[Products]&amp;ProductRatesTable[Year],ProductRatesTable[Share of Retail Costs],"Not Found",0)</f>
        <v>0.5</v>
      </c>
      <c r="G34" s="4">
        <f>SUMIFS(VolumesTable[Volume],VolumesTable[Products],$A34,VolumesTable[Year],ProductsCalcTable[[#This Row],[Year]])</f>
        <v>198325</v>
      </c>
      <c r="H34" s="18">
        <f>ProductsCalcTable[[#This Row],[Retail Price]]*ProductsCalcTable[[#This Row],[Volume]]</f>
        <v>2285655.96</v>
      </c>
      <c r="I34" s="18">
        <f t="shared" si="10"/>
        <v>1132893.7720881694</v>
      </c>
      <c r="J34" s="27">
        <f>ProductsCalcTable[[#This Row],[Actual Costs]]/ProductsCalcTable[[#This Row],[Volume]]</f>
        <v>5.7123094521022031</v>
      </c>
      <c r="K34" s="27">
        <f>SUMIFS(ProductsCalcTable[Cost Per Unit],ProductsCalcTable[Products],$A34,ProductsCalcTable[Year],$D34-1)</f>
        <v>5.6572159379796902</v>
      </c>
      <c r="M34" s="23">
        <f>INDEX(Costs!$F$5:$J$30,MATCH(M$4,Costs!$C$5:$C$30,0),MATCH($D34,Costs!$F$4:$J$4,0))</f>
        <v>123600</v>
      </c>
      <c r="N34" s="23">
        <f>INDEX(Costs!$F$5:$J$30,MATCH(N$4,Costs!$C$5:$C$30,0),MATCH($D34,Costs!$F$4:$J$4,0))</f>
        <v>72100</v>
      </c>
      <c r="O34" s="31"/>
      <c r="P34" s="55">
        <f t="shared" si="30"/>
        <v>4.4644191876650643</v>
      </c>
      <c r="Q34" s="51"/>
      <c r="R34" s="121" t="str">
        <f t="shared" si="13"/>
        <v>Worm Gears 2mm Hole 6mmx8mm</v>
      </c>
      <c r="S34" s="122">
        <f t="shared" si="14"/>
        <v>2021</v>
      </c>
      <c r="T34"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0.21341200711961605</v>
      </c>
      <c r="U34"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4.2682401423923206</v>
      </c>
      <c r="V34" s="124">
        <f t="shared" si="15"/>
        <v>1132893.7720881694</v>
      </c>
      <c r="W34" s="124">
        <f>FiancialTable[[#This Row],[Mngmt FTEs]]*M34</f>
        <v>26377.724079984546</v>
      </c>
      <c r="X34" s="124">
        <f>FiancialTable[[#This Row],[Prod''n FTEs]]*N34</f>
        <v>307740.11426648631</v>
      </c>
      <c r="Y34" s="124">
        <f>SUMIFS(INDEX(Costs!$AA$15:$AC$29,0,MATCH($B34,Costs!$AA$4:$AC$4,0)),Costs!$A$15:$A$29,Y$4,Costs!$E$15:$E$29,$B34)*SUMIFS(Y:Y,$D:$D,($D34+1),$A:$A,$A34)/SUMIFS(Y:Y,$D:$D,($D34+1),$B:$B,$B34)</f>
        <v>153804.72977920147</v>
      </c>
      <c r="Z34"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14234.444291193831</v>
      </c>
      <c r="AA34" s="124">
        <f>SUMIFS(INDEX(Costs!$O$5:$AI$30,MATCH(AA$4,Costs!$A$5:$A$30,0),0),Costs!$O$2:$AI$2,$D34,Costs!$O$4:$AI$4,$B34)*SUMIFS(AA:AA,$D:$D,($D34+1),$A:$A,$A34)/SUMIFS(AA:AA,$D:$D,($D34+1),$B:$B,$B34)</f>
        <v>33989.995531315239</v>
      </c>
      <c r="AB34" s="124">
        <f>SUMIFS(ProductRatesTable[Materials CPU],ProductRatesTable[Year],$D34,ProductRatesTable[Products],$A34)*ProductsCalcTable[[#This Row],[Volume]]</f>
        <v>532773.338419365</v>
      </c>
      <c r="AC34" s="124">
        <f>SUMIFS(INDEX(Costs!$F$5:$I$30,0,MATCH(ProductsCalcTable[[#This Row],[Year]],Costs!$F$4:$I$4,0)),Costs!$A$5:$A$30,AC$4,Costs!$E$5:$E$30,$B34)/SUMIFS(ProductsCalcTable[Volume],ProductsCalcTable[Year],ProductsCalcTable[[#This Row],[Year]],ProductsCalcTable[Department Name],ProductsCalcTable[[#This Row],[Department Name]])*ProductsCalcTable[[#This Row],[Volume]]</f>
        <v>20959.79141417639</v>
      </c>
      <c r="AD34" s="124">
        <f>SUMIFS(INDEX(Costs!$F$5:$I$30,0,MATCH(ProductsCalcTable[[#This Row],[Year]],Costs!$F$4:$I$4,0)),Costs!$A$5:$A$30,AD$4,Costs!$E$5:$E$30,$B34)/SUMIFS(ProductsCalcTable[Volume],ProductsCalcTable[Year],ProductsCalcTable[[#This Row],[Year]],ProductsCalcTable[Department Name],ProductsCalcTable[[#This Row],[Department Name]])*ProductsCalcTable[[#This Row],[Volume]]</f>
        <v>20064.104647840992</v>
      </c>
      <c r="AE34" s="124">
        <f>INDEX(Costs!$AF$15:$AH$29,MATCH(AE$4,Costs!$A$15:$A$29,0),MATCH($B34,Costs!$AF$4:$AH$4,0))/SUMIFS(ProductsCalcTable[Volume],ProductsCalcTable[Year],ProductsCalcTable[[#This Row],[Year]],ProductsCalcTable[Department Name],ProductsCalcTable[[#This Row],[Department Name]])*ProductsCalcTable[[#This Row],[Volume]]</f>
        <v>22949.529658605556</v>
      </c>
      <c r="AK34" s="80">
        <f>SUMIFS(ProductsCalcTable[#This Row],ProductsCalcTable[#Headers],"Cost Per Unit")-AL34</f>
        <v>0</v>
      </c>
      <c r="AL34" s="80">
        <f t="shared" si="16"/>
        <v>5.7123094521022031</v>
      </c>
      <c r="AM34" s="81">
        <f>SUMIFS(FiancialTable[[#This Row],[Total]:[Other]],FiancialTable[[#Headers],[Total]:[Other]],LEFT(AM$4,LEN(AM$4)-4))/SUMIFS(ProductsCalcTable[#This Row],ProductsCalcTable[#Headers],"Volume")</f>
        <v>0.13300251647540423</v>
      </c>
      <c r="AN34" s="81">
        <f>SUMIFS(FiancialTable[[#This Row],[Total]:[Other]],FiancialTable[[#Headers],[Total]:[Other]],LEFT(AN$4,LEN(AN$4)-4))/SUMIFS(ProductsCalcTable[#This Row],ProductsCalcTable[#Headers],"Volume")</f>
        <v>1.5516960255463825</v>
      </c>
      <c r="AO34" s="85">
        <f t="shared" si="17"/>
        <v>1.6846985420217868</v>
      </c>
      <c r="AP34" s="81">
        <f>SUMIFS(FiancialTable[[#This Row],[Total]:[Other]],FiancialTable[[#Headers],[Total]:[Other]],LEFT(AP$4,LEN(AP$4)-4))/SUMIFS(ProductsCalcTable[#This Row],ProductsCalcTable[#Headers],"Volume")</f>
        <v>0.77551861731602911</v>
      </c>
      <c r="AQ34" s="81">
        <f>SUMIFS(FiancialTable[[#This Row],[Total]:[Other]],FiancialTable[[#Headers],[Total]:[Other]],LEFT(AQ$4,LEN(AQ$4)-4))/SUMIFS(ProductsCalcTable[#This Row],ProductsCalcTable[#Headers],"Volume")</f>
        <v>7.1773323036398995E-2</v>
      </c>
      <c r="AR34" s="85">
        <f t="shared" si="18"/>
        <v>0.84729194035242816</v>
      </c>
      <c r="AS34" s="81">
        <f>SUMIFS(FiancialTable[[#This Row],[Total]:[Other]],FiancialTable[[#Headers],[Total]:[Other]],LEFT(AS$4,LEN(AS$4)-4))/SUMIFS(ProductsCalcTable[#This Row],ProductsCalcTable[#Headers],"Volume")</f>
        <v>0.17138532979359758</v>
      </c>
      <c r="AT34" s="81">
        <f>SUMIFS(FiancialTable[[#This Row],[Total]:[Other]],FiancialTable[[#Headers],[Total]:[Other]],LEFT(AT$4,LEN(AT$4)-4))/SUMIFS(ProductsCalcTable[#This Row],ProductsCalcTable[#Headers],"Volume")</f>
        <v>2.6863649989631413</v>
      </c>
      <c r="AU34" s="81">
        <f>SUMIFS(FiancialTable[[#This Row],[Total]:[Other]],FiancialTable[[#Headers],[Total]:[Other]],LEFT(AU$4,LEN(AU$4)-4))/SUMIFS(ProductsCalcTable[#This Row],ProductsCalcTable[#Headers],"Volume")</f>
        <v>0.10568406108244745</v>
      </c>
      <c r="AV34" s="81">
        <f>SUMIFS(FiancialTable[[#This Row],[Total]:[Other]],FiancialTable[[#Headers],[Total]:[Other]],LEFT(AV$4,LEN(AV$4)-4))/SUMIFS(ProductsCalcTable[#This Row],ProductsCalcTable[#Headers],"Volume")</f>
        <v>0.10116780359430728</v>
      </c>
      <c r="AW34" s="81">
        <f>SUMIFS(FiancialTable[[#This Row],[Total]:[Other]],FiancialTable[[#Headers],[Total]:[Other]],LEFT(AW$4,LEN(AW$4)-4))/SUMIFS(ProductsCalcTable[#This Row],ProductsCalcTable[#Headers],"Volume")</f>
        <v>0.11571677629449417</v>
      </c>
    </row>
    <row r="35" spans="1:49" x14ac:dyDescent="0.3">
      <c r="A35" t="s">
        <v>17</v>
      </c>
      <c r="B35" s="3" t="s">
        <v>21</v>
      </c>
      <c r="C35" t="s">
        <v>12</v>
      </c>
      <c r="D35">
        <v>2021</v>
      </c>
      <c r="E35" s="20" cm="1">
        <f t="array" ref="E35">_xlfn.XLOOKUP(ProductsCalcTable[[#This Row],[Products]]&amp;ProductsCalcTable[[#This Row],[Year]],ProductRatesTable[Products]&amp;ProductRatesTable[Year],ProductRatesTable[Retail Price],"Not Found",0)</f>
        <v>21.128799999999998</v>
      </c>
      <c r="F35" s="7" cm="1">
        <f t="array" ref="F35">_xlfn.XLOOKUP(ProductsCalcTable[[#This Row],[Products]]&amp;ProductsCalcTable[[#This Row],[Year]],ProductRatesTable[Products]&amp;ProductRatesTable[Year],ProductRatesTable[Share of Retail Costs],"Not Found",0)</f>
        <v>0.5</v>
      </c>
      <c r="G35" s="4">
        <f>SUMIFS(VolumesTable[Volume],VolumesTable[Products],$A35,VolumesTable[Year],ProductsCalcTable[[#This Row],[Year]])</f>
        <v>242035</v>
      </c>
      <c r="H35" s="18">
        <f>ProductsCalcTable[[#This Row],[Retail Price]]*ProductsCalcTable[[#This Row],[Volume]]</f>
        <v>5113909.108</v>
      </c>
      <c r="I35" s="18">
        <f t="shared" si="10"/>
        <v>2699237.1531927008</v>
      </c>
      <c r="J35" s="27">
        <f>ProductsCalcTable[[#This Row],[Actual Costs]]/ProductsCalcTable[[#This Row],[Volume]]</f>
        <v>11.152259603746156</v>
      </c>
      <c r="K35" s="27">
        <f>SUMIFS(ProductsCalcTable[Cost Per Unit],ProductsCalcTable[Products],$A35,ProductsCalcTable[Year],$D35-1)</f>
        <v>11.075446518189942</v>
      </c>
      <c r="M35" s="23">
        <f>INDEX(Costs!$F$5:$J$30,MATCH(M$4,Costs!$C$5:$C$30,0),MATCH($D35,Costs!$F$4:$J$4,0))</f>
        <v>123600</v>
      </c>
      <c r="N35" s="23">
        <f>INDEX(Costs!$F$5:$J$30,MATCH(N$4,Costs!$C$5:$C$30,0),MATCH($D35,Costs!$F$4:$J$4,0))</f>
        <v>72100</v>
      </c>
      <c r="O35" s="32"/>
      <c r="P35" s="55">
        <f t="shared" si="30"/>
        <v>10.022176446752097</v>
      </c>
      <c r="Q35" s="51"/>
      <c r="R35" s="121" t="str">
        <f t="shared" si="13"/>
        <v>60-Tooth Saw blade</v>
      </c>
      <c r="S35" s="122">
        <f t="shared" si="14"/>
        <v>2021</v>
      </c>
      <c r="T35"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0.50850359787803956</v>
      </c>
      <c r="U35"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9.8794984730590549</v>
      </c>
      <c r="V35" s="124">
        <f t="shared" si="15"/>
        <v>2699237.1531927008</v>
      </c>
      <c r="W35" s="124">
        <f>FiancialTable[[#This Row],[Mngmt FTEs]]*M35</f>
        <v>62851.044697725687</v>
      </c>
      <c r="X35" s="124">
        <f>FiancialTable[[#This Row],[Prod''n FTEs]]*N35</f>
        <v>712311.83990755782</v>
      </c>
      <c r="Y35" s="124">
        <f>SUMIFS(INDEX(Costs!$AA$15:$AC$29,0,MATCH($B35,Costs!$AA$4:$AC$4,0)),Costs!$A$15:$A$29,Y$4,Costs!$E$15:$E$29,$B35)*SUMIFS(Y:Y,$D:$D,($D35+1),$A:$A,$A35)/SUMIFS(Y:Y,$D:$D,($D35+1),$B:$B,$B35)</f>
        <v>289343.2867939251</v>
      </c>
      <c r="Z35"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31183.637357424221</v>
      </c>
      <c r="AA35" s="124">
        <f>SUMIFS(INDEX(Costs!$O$5:$AI$30,MATCH(AA$4,Costs!$A$5:$A$30,0),0),Costs!$O$2:$AI$2,$D35,Costs!$O$4:$AI$4,$B35)*SUMIFS(AA:AA,$D:$D,($D35+1),$A:$A,$A35)/SUMIFS(AA:AA,$D:$D,($D35+1),$B:$B,$B35)</f>
        <v>72047.631173786111</v>
      </c>
      <c r="AB35" s="124">
        <f>SUMIFS(ProductRatesTable[Materials CPU],ProductRatesTable[Year],$D35,ProductRatesTable[Products],$A35)*ProductsCalcTable[[#This Row],[Volume]]</f>
        <v>1174231.591871781</v>
      </c>
      <c r="AC35" s="124">
        <f>SUMIFS(INDEX(Costs!$F$5:$I$30,0,MATCH(ProductsCalcTable[[#This Row],[Year]],Costs!$F$4:$I$4,0)),Costs!$A$5:$A$30,AC$4,Costs!$E$5:$E$30,$B35)/SUMIFS(ProductsCalcTable[Volume],ProductsCalcTable[Year],ProductsCalcTable[[#This Row],[Year]],ProductsCalcTable[Department Name],ProductsCalcTable[[#This Row],[Department Name]])*ProductsCalcTable[[#This Row],[Volume]]</f>
        <v>50474.007773103433</v>
      </c>
      <c r="AD35" s="124">
        <f>SUMIFS(INDEX(Costs!$F$5:$I$30,0,MATCH(ProductsCalcTable[[#This Row],[Year]],Costs!$F$4:$I$4,0)),Costs!$A$5:$A$30,AD$4,Costs!$E$5:$E$30,$B35)/SUMIFS(ProductsCalcTable[Volume],ProductsCalcTable[Year],ProductsCalcTable[[#This Row],[Year]],ProductsCalcTable[Department Name],ProductsCalcTable[[#This Row],[Department Name]])*ProductsCalcTable[[#This Row],[Volume]]</f>
        <v>147971.86596351757</v>
      </c>
      <c r="AE35" s="124">
        <f>INDEX(Costs!$AF$15:$AH$29,MATCH(AE$4,Costs!$A$15:$A$29,0),MATCH($B35,Costs!$AF$4:$AH$4,0))/SUMIFS(ProductsCalcTable[Volume],ProductsCalcTable[Year],ProductsCalcTable[[#This Row],[Year]],ProductsCalcTable[Department Name],ProductsCalcTable[[#This Row],[Department Name]])*ProductsCalcTable[[#This Row],[Volume]]</f>
        <v>158822.24765387981</v>
      </c>
      <c r="AK35" s="80">
        <f>SUMIFS(ProductsCalcTable[#This Row],ProductsCalcTable[#Headers],"Cost Per Unit")-AL35</f>
        <v>0</v>
      </c>
      <c r="AL35" s="80">
        <f t="shared" si="16"/>
        <v>11.152259603746156</v>
      </c>
      <c r="AM35" s="81">
        <f>SUMIFS(FiancialTable[[#This Row],[Total]:[Other]],FiancialTable[[#Headers],[Total]:[Other]],LEFT(AM$4,LEN(AM$4)-4))/SUMIFS(ProductsCalcTable[#This Row],ProductsCalcTable[#Headers],"Volume")</f>
        <v>0.25967750407059181</v>
      </c>
      <c r="AN35" s="81">
        <f>SUMIFS(FiancialTable[[#This Row],[Total]:[Other]],FiancialTable[[#Headers],[Total]:[Other]],LEFT(AN$4,LEN(AN$4)-4))/SUMIFS(ProductsCalcTable[#This Row],ProductsCalcTable[#Headers],"Volume")</f>
        <v>2.9430117128000406</v>
      </c>
      <c r="AO35" s="85">
        <f t="shared" si="17"/>
        <v>3.2026892168706325</v>
      </c>
      <c r="AP35" s="81">
        <f>SUMIFS(FiancialTable[[#This Row],[Total]:[Other]],FiancialTable[[#Headers],[Total]:[Other]],LEFT(AP$4,LEN(AP$4)-4))/SUMIFS(ProductsCalcTable[#This Row],ProductsCalcTable[#Headers],"Volume")</f>
        <v>1.1954605193212762</v>
      </c>
      <c r="AQ35" s="81">
        <f>SUMIFS(FiancialTable[[#This Row],[Total]:[Other]],FiancialTable[[#Headers],[Total]:[Other]],LEFT(AQ$4,LEN(AQ$4)-4))/SUMIFS(ProductsCalcTable[#This Row],ProductsCalcTable[#Headers],"Volume")</f>
        <v>0.12883937181574656</v>
      </c>
      <c r="AR35" s="85">
        <f t="shared" si="18"/>
        <v>1.3242998911370227</v>
      </c>
      <c r="AS35" s="81">
        <f>SUMIFS(FiancialTable[[#This Row],[Total]:[Other]],FiancialTable[[#Headers],[Total]:[Other]],LEFT(AS$4,LEN(AS$4)-4))/SUMIFS(ProductsCalcTable[#This Row],ProductsCalcTable[#Headers],"Volume")</f>
        <v>0.29767443210191136</v>
      </c>
      <c r="AT35" s="81">
        <f>SUMIFS(FiancialTable[[#This Row],[Total]:[Other]],FiancialTable[[#Headers],[Total]:[Other]],LEFT(AT$4,LEN(AT$4)-4))/SUMIFS(ProductsCalcTable[#This Row],ProductsCalcTable[#Headers],"Volume")</f>
        <v>4.8514949981274649</v>
      </c>
      <c r="AU35" s="81">
        <f>SUMIFS(FiancialTable[[#This Row],[Total]:[Other]],FiancialTable[[#Headers],[Total]:[Other]],LEFT(AU$4,LEN(AU$4)-4))/SUMIFS(ProductsCalcTable[#This Row],ProductsCalcTable[#Headers],"Volume")</f>
        <v>0.20854011929309163</v>
      </c>
      <c r="AV35" s="81">
        <f>SUMIFS(FiancialTable[[#This Row],[Total]:[Other]],FiancialTable[[#Headers],[Total]:[Other]],LEFT(AV$4,LEN(AV$4)-4))/SUMIFS(ProductsCalcTable[#This Row],ProductsCalcTable[#Headers],"Volume")</f>
        <v>0.61136557094435751</v>
      </c>
      <c r="AW35" s="81">
        <f>SUMIFS(FiancialTable[[#This Row],[Total]:[Other]],FiancialTable[[#Headers],[Total]:[Other]],LEFT(AW$4,LEN(AW$4)-4))/SUMIFS(ProductsCalcTable[#This Row],ProductsCalcTable[#Headers],"Volume")</f>
        <v>0.65619537527167482</v>
      </c>
    </row>
    <row r="36" spans="1:49" x14ac:dyDescent="0.3">
      <c r="A36" t="s">
        <v>19</v>
      </c>
      <c r="B36" s="3" t="s">
        <v>21</v>
      </c>
      <c r="C36" t="s">
        <v>12</v>
      </c>
      <c r="D36">
        <v>2021</v>
      </c>
      <c r="E36" s="20" cm="1">
        <f t="array" ref="E36">_xlfn.XLOOKUP(ProductsCalcTable[[#This Row],[Products]]&amp;ProductsCalcTable[[#This Row],[Year]],ProductRatesTable[Products]&amp;ProductRatesTable[Year],ProductRatesTable[Retail Price],"Not Found",0)</f>
        <v>43.218000000000004</v>
      </c>
      <c r="F36" s="7" cm="1">
        <f t="array" ref="F36">_xlfn.XLOOKUP(ProductsCalcTable[[#This Row],[Products]]&amp;ProductsCalcTable[[#This Row],[Year]],ProductRatesTable[Products]&amp;ProductRatesTable[Year],ProductRatesTable[Share of Retail Costs],"Not Found",0)</f>
        <v>0.5</v>
      </c>
      <c r="G36" s="4">
        <f>SUMIFS(VolumesTable[Volume],VolumesTable[Products],$A36,VolumesTable[Year],ProductsCalcTable[[#This Row],[Year]])</f>
        <v>224094</v>
      </c>
      <c r="H36" s="18">
        <f>ProductsCalcTable[[#This Row],[Retail Price]]*ProductsCalcTable[[#This Row],[Volume]]</f>
        <v>9684894.4920000006</v>
      </c>
      <c r="I36" s="18">
        <f t="shared" si="10"/>
        <v>4801194.9988457896</v>
      </c>
      <c r="J36" s="27">
        <f>ProductsCalcTable[[#This Row],[Actual Costs]]/ProductsCalcTable[[#This Row],[Volume]]</f>
        <v>21.424915432121296</v>
      </c>
      <c r="K36" s="27">
        <f>SUMIFS(ProductsCalcTable[Cost Per Unit],ProductsCalcTable[Products],$A36,ProductsCalcTable[Year],$D36-1)</f>
        <v>21.355227633698558</v>
      </c>
      <c r="M36" s="23">
        <f>INDEX(Costs!$F$5:$J$30,MATCH(M$4,Costs!$C$5:$C$30,0),MATCH($D36,Costs!$F$4:$J$4,0))</f>
        <v>123600</v>
      </c>
      <c r="N36" s="23">
        <f>INDEX(Costs!$F$5:$J$30,MATCH(N$4,Costs!$C$5:$C$30,0),MATCH($D36,Costs!$F$4:$J$4,0))</f>
        <v>72100</v>
      </c>
      <c r="O36" s="32"/>
      <c r="P36" s="55">
        <f t="shared" si="30"/>
        <v>18.98033762765921</v>
      </c>
      <c r="Q36" s="51"/>
      <c r="R36" s="121" t="str">
        <f t="shared" si="13"/>
        <v>Metal Cutting Circular Saw Blade</v>
      </c>
      <c r="S36" s="122">
        <f t="shared" si="14"/>
        <v>2021</v>
      </c>
      <c r="T36"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0.96302135807361922</v>
      </c>
      <c r="U36"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18.710129242573174</v>
      </c>
      <c r="V36" s="124">
        <f t="shared" si="15"/>
        <v>4801194.9988457896</v>
      </c>
      <c r="W36" s="124">
        <f>FiancialTable[[#This Row],[Mngmt FTEs]]*M36</f>
        <v>119029.43985789934</v>
      </c>
      <c r="X36" s="124">
        <f>FiancialTable[[#This Row],[Prod''n FTEs]]*N36</f>
        <v>1349000.3183895259</v>
      </c>
      <c r="Y36" s="124">
        <f>SUMIFS(INDEX(Costs!$AA$15:$AC$29,0,MATCH($B36,Costs!$AA$4:$AC$4,0)),Costs!$A$15:$A$29,Y$4,Costs!$E$15:$E$29,$B36)*SUMIFS(Y:Y,$D:$D,($D36+1),$A:$A,$A36)/SUMIFS(Y:Y,$D:$D,($D36+1),$B:$B,$B36)</f>
        <v>549101.27145651041</v>
      </c>
      <c r="Z36"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59056.629929341216</v>
      </c>
      <c r="AA36" s="124">
        <f>SUMIFS(INDEX(Costs!$O$5:$AI$30,MATCH(AA$4,Costs!$A$5:$A$30,0),0),Costs!$O$2:$AI$2,$D36,Costs!$O$4:$AI$4,$B36)*SUMIFS(AA:AA,$D:$D,($D36+1),$A:$A,$A36)/SUMIFS(AA:AA,$D:$D,($D36+1),$B:$B,$B36)</f>
        <v>136728.40424713903</v>
      </c>
      <c r="AB36" s="124">
        <f>SUMIFS(ProductRatesTable[Materials CPU],ProductRatesTable[Year],$D36,ProductRatesTable[Products],$A36)*ProductsCalcTable[[#This Row],[Volume]]</f>
        <v>2257493.5427911729</v>
      </c>
      <c r="AC36" s="124">
        <f>SUMIFS(INDEX(Costs!$F$5:$I$30,0,MATCH(ProductsCalcTable[[#This Row],[Year]],Costs!$F$4:$I$4,0)),Costs!$A$5:$A$30,AC$4,Costs!$E$5:$E$30,$B36)/SUMIFS(ProductsCalcTable[Volume],ProductsCalcTable[Year],ProductsCalcTable[[#This Row],[Year]],ProductsCalcTable[Department Name],ProductsCalcTable[[#This Row],[Department Name]])*ProductsCalcTable[[#This Row],[Volume]]</f>
        <v>46732.589492866078</v>
      </c>
      <c r="AD36" s="124">
        <f>SUMIFS(INDEX(Costs!$F$5:$I$30,0,MATCH(ProductsCalcTable[[#This Row],[Year]],Costs!$F$4:$I$4,0)),Costs!$A$5:$A$30,AD$4,Costs!$E$5:$E$30,$B36)/SUMIFS(ProductsCalcTable[Volume],ProductsCalcTable[Year],ProductsCalcTable[[#This Row],[Year]],ProductsCalcTable[Department Name],ProductsCalcTable[[#This Row],[Department Name]])*ProductsCalcTable[[#This Row],[Volume]]</f>
        <v>137003.35625520485</v>
      </c>
      <c r="AE36" s="124">
        <f>INDEX(Costs!$AF$15:$AH$29,MATCH(AE$4,Costs!$A$15:$A$29,0),MATCH($B36,Costs!$AF$4:$AH$4,0))/SUMIFS(ProductsCalcTable[Volume],ProductsCalcTable[Year],ProductsCalcTable[[#This Row],[Year]],ProductsCalcTable[Department Name],ProductsCalcTable[[#This Row],[Department Name]])*ProductsCalcTable[[#This Row],[Volume]]</f>
        <v>147049.44642613069</v>
      </c>
      <c r="AK36" s="80">
        <f>SUMIFS(ProductsCalcTable[#This Row],ProductsCalcTable[#Headers],"Cost Per Unit")-AL36</f>
        <v>0</v>
      </c>
      <c r="AL36" s="80">
        <f t="shared" si="16"/>
        <v>21.424915432121296</v>
      </c>
      <c r="AM36" s="81">
        <f>SUMIFS(FiancialTable[[#This Row],[Total]:[Other]],FiancialTable[[#Headers],[Total]:[Other]],LEFT(AM$4,LEN(AM$4)-4))/SUMIFS(ProductsCalcTable[#This Row],ProductsCalcTable[#Headers],"Volume")</f>
        <v>0.53115853105348354</v>
      </c>
      <c r="AN36" s="81">
        <f>SUMIFS(FiancialTable[[#This Row],[Total]:[Other]],FiancialTable[[#Headers],[Total]:[Other]],LEFT(AN$4,LEN(AN$4)-4))/SUMIFS(ProductsCalcTable[#This Row],ProductsCalcTable[#Headers],"Volume")</f>
        <v>6.0197966852728131</v>
      </c>
      <c r="AO36" s="85">
        <f t="shared" si="17"/>
        <v>6.5509552163262965</v>
      </c>
      <c r="AP36" s="81">
        <f>SUMIFS(FiancialTable[[#This Row],[Total]:[Other]],FiancialTable[[#Headers],[Total]:[Other]],LEFT(AP$4,LEN(AP$4)-4))/SUMIFS(ProductsCalcTable[#This Row],ProductsCalcTable[#Headers],"Volume")</f>
        <v>2.4503167039568683</v>
      </c>
      <c r="AQ36" s="81">
        <f>SUMIFS(FiancialTable[[#This Row],[Total]:[Other]],FiancialTable[[#Headers],[Total]:[Other]],LEFT(AQ$4,LEN(AQ$4)-4))/SUMIFS(ProductsCalcTable[#This Row],ProductsCalcTable[#Headers],"Volume")</f>
        <v>0.2635350787140272</v>
      </c>
      <c r="AR36" s="85">
        <f t="shared" si="18"/>
        <v>2.7138517826708957</v>
      </c>
      <c r="AS36" s="81">
        <f>SUMIFS(FiancialTable[[#This Row],[Total]:[Other]],FiancialTable[[#Headers],[Total]:[Other]],LEFT(AS$4,LEN(AS$4)-4))/SUMIFS(ProductsCalcTable[#This Row],ProductsCalcTable[#Headers],"Volume")</f>
        <v>0.61013862150320408</v>
      </c>
      <c r="AT36" s="81">
        <f>SUMIFS(FiancialTable[[#This Row],[Total]:[Other]],FiancialTable[[#Headers],[Total]:[Other]],LEFT(AT$4,LEN(AT$4)-4))/SUMIFS(ProductsCalcTable[#This Row],ProductsCalcTable[#Headers],"Volume")</f>
        <v>10.073868746111778</v>
      </c>
      <c r="AU36" s="81">
        <f>SUMIFS(FiancialTable[[#This Row],[Total]:[Other]],FiancialTable[[#Headers],[Total]:[Other]],LEFT(AU$4,LEN(AU$4)-4))/SUMIFS(ProductsCalcTable[#This Row],ProductsCalcTable[#Headers],"Volume")</f>
        <v>0.20854011929309163</v>
      </c>
      <c r="AV36" s="81">
        <f>SUMIFS(FiancialTable[[#This Row],[Total]:[Other]],FiancialTable[[#Headers],[Total]:[Other]],LEFT(AV$4,LEN(AV$4)-4))/SUMIFS(ProductsCalcTable[#This Row],ProductsCalcTable[#Headers],"Volume")</f>
        <v>0.61136557094435751</v>
      </c>
      <c r="AW36" s="81">
        <f>SUMIFS(FiancialTable[[#This Row],[Total]:[Other]],FiancialTable[[#Headers],[Total]:[Other]],LEFT(AW$4,LEN(AW$4)-4))/SUMIFS(ProductsCalcTable[#This Row],ProductsCalcTable[#Headers],"Volume")</f>
        <v>0.65619537527167482</v>
      </c>
    </row>
    <row r="37" spans="1:49" x14ac:dyDescent="0.3">
      <c r="A37" t="s">
        <v>18</v>
      </c>
      <c r="B37" s="3" t="s">
        <v>21</v>
      </c>
      <c r="C37" t="s">
        <v>12</v>
      </c>
      <c r="D37">
        <v>2021</v>
      </c>
      <c r="E37" s="20" cm="1">
        <f t="array" ref="E37">_xlfn.XLOOKUP(ProductsCalcTable[[#This Row],[Products]]&amp;ProductsCalcTable[[#This Row],[Year]],ProductRatesTable[Products]&amp;ProductRatesTable[Year],ProductRatesTable[Retail Price],"Not Found",0)</f>
        <v>110.446</v>
      </c>
      <c r="F37" s="7" cm="1">
        <f t="array" ref="F37">_xlfn.XLOOKUP(ProductsCalcTable[[#This Row],[Products]]&amp;ProductsCalcTable[[#This Row],[Year]],ProductRatesTable[Products]&amp;ProductRatesTable[Year],ProductRatesTable[Share of Retail Costs],"Not Found",0)</f>
        <v>0.5</v>
      </c>
      <c r="G37" s="4">
        <f>SUMIFS(VolumesTable[Volume],VolumesTable[Products],$A37,VolumesTable[Year],ProductsCalcTable[[#This Row],[Year]])</f>
        <v>184705</v>
      </c>
      <c r="H37" s="18">
        <f>ProductsCalcTable[[#This Row],[Retail Price]]*ProductsCalcTable[[#This Row],[Volume]]</f>
        <v>20399928.43</v>
      </c>
      <c r="I37" s="18">
        <f t="shared" si="10"/>
        <v>9705131.5651899446</v>
      </c>
      <c r="J37" s="27">
        <f>ProductsCalcTable[[#This Row],[Actual Costs]]/ProductsCalcTable[[#This Row],[Volume]]</f>
        <v>52.543956932351286</v>
      </c>
      <c r="K37" s="27">
        <f>SUMIFS(ProductsCalcTable[Cost Per Unit],ProductsCalcTable[Products],$A37,ProductsCalcTable[Year],$D37-1)</f>
        <v>52.37762032078907</v>
      </c>
      <c r="M37" s="23">
        <f>INDEX(Costs!$F$5:$J$30,MATCH(M$4,Costs!$C$5:$C$30,0),MATCH($D37,Costs!$F$4:$J$4,0))</f>
        <v>123600</v>
      </c>
      <c r="N37" s="23">
        <f>INDEX(Costs!$F$5:$J$30,MATCH(N$4,Costs!$C$5:$C$30,0),MATCH($D37,Costs!$F$4:$J$4,0))</f>
        <v>72100</v>
      </c>
      <c r="O37" s="32"/>
      <c r="P37" s="55">
        <f t="shared" si="30"/>
        <v>39.97952992686912</v>
      </c>
      <c r="Q37" s="51"/>
      <c r="R37" s="121" t="str">
        <f t="shared" si="13"/>
        <v>Diamond Circular Saw Blade</v>
      </c>
      <c r="S37" s="122">
        <f t="shared" si="14"/>
        <v>2021</v>
      </c>
      <c r="T37"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2.0284750440483412</v>
      </c>
      <c r="U37"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39.410372284367774</v>
      </c>
      <c r="V37" s="124">
        <f t="shared" si="15"/>
        <v>9705131.5651899446</v>
      </c>
      <c r="W37" s="124">
        <f>FiancialTable[[#This Row],[Mngmt FTEs]]*M37</f>
        <v>250719.51544437496</v>
      </c>
      <c r="X37" s="124">
        <f>FiancialTable[[#This Row],[Prod''n FTEs]]*N37</f>
        <v>2841487.8417029167</v>
      </c>
      <c r="Y37" s="124">
        <f>SUMIFS(INDEX(Costs!$AA$15:$AC$29,0,MATCH($B37,Costs!$AA$4:$AC$4,0)),Costs!$A$15:$A$29,Y$4,Costs!$E$15:$E$29,$B37)*SUMIFS(Y:Y,$D:$D,($D37+1),$A:$A,$A37)/SUMIFS(Y:Y,$D:$D,($D37+1),$B:$B,$B37)</f>
        <v>1169555.4417495648</v>
      </c>
      <c r="Z37"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124394.85271323458</v>
      </c>
      <c r="AA37" s="124">
        <f>SUMIFS(INDEX(Costs!$O$5:$AI$30,MATCH(AA$4,Costs!$A$5:$A$30,0),0),Costs!$O$2:$AI$2,$D37,Costs!$O$4:$AI$4,$B37)*SUMIFS(AA:AA,$D:$D,($D37+1),$A:$A,$A37)/SUMIFS(AA:AA,$D:$D,($D37+1),$B:$B,$B37)</f>
        <v>291223.96457907488</v>
      </c>
      <c r="AB37" s="124">
        <f>SUMIFS(ProductRatesTable[Materials CPU],ProductRatesTable[Year],$D37,ProductRatesTable[Products],$A37)*ProductsCalcTable[[#This Row],[Volume]]</f>
        <v>4755106.7016959172</v>
      </c>
      <c r="AC37" s="124">
        <f>SUMIFS(INDEX(Costs!$F$5:$I$30,0,MATCH(ProductsCalcTable[[#This Row],[Year]],Costs!$F$4:$I$4,0)),Costs!$A$5:$A$30,AC$4,Costs!$E$5:$E$30,$B37)/SUMIFS(ProductsCalcTable[Volume],ProductsCalcTable[Year],ProductsCalcTable[[#This Row],[Year]],ProductsCalcTable[Department Name],ProductsCalcTable[[#This Row],[Department Name]])*ProductsCalcTable[[#This Row],[Volume]]</f>
        <v>38518.402734030489</v>
      </c>
      <c r="AD37" s="124">
        <f>SUMIFS(INDEX(Costs!$F$5:$I$30,0,MATCH(ProductsCalcTable[[#This Row],[Year]],Costs!$F$4:$I$4,0)),Costs!$A$5:$A$30,AD$4,Costs!$E$5:$E$30,$B37)/SUMIFS(ProductsCalcTable[Volume],ProductsCalcTable[Year],ProductsCalcTable[[#This Row],[Year]],ProductsCalcTable[Department Name],ProductsCalcTable[[#This Row],[Department Name]])*ProductsCalcTable[[#This Row],[Volume]]</f>
        <v>112922.27778127756</v>
      </c>
      <c r="AE37" s="124">
        <f>INDEX(Costs!$AF$15:$AH$29,MATCH(AE$4,Costs!$A$15:$A$29,0),MATCH($B37,Costs!$AF$4:$AH$4,0))/SUMIFS(ProductsCalcTable[Volume],ProductsCalcTable[Year],ProductsCalcTable[[#This Row],[Year]],ProductsCalcTable[Department Name],ProductsCalcTable[[#This Row],[Department Name]])*ProductsCalcTable[[#This Row],[Volume]]</f>
        <v>121202.56678955469</v>
      </c>
      <c r="AK37" s="80">
        <f>SUMIFS(ProductsCalcTable[#This Row],ProductsCalcTable[#Headers],"Cost Per Unit")-AL37</f>
        <v>0</v>
      </c>
      <c r="AL37" s="80">
        <f t="shared" si="16"/>
        <v>52.543956932351293</v>
      </c>
      <c r="AM37" s="81">
        <f>SUMIFS(FiancialTable[[#This Row],[Total]:[Other]],FiancialTable[[#Headers],[Total]:[Other]],LEFT(AM$4,LEN(AM$4)-4))/SUMIFS(ProductsCalcTable[#This Row],ProductsCalcTable[#Headers],"Volume")</f>
        <v>1.357405134914458</v>
      </c>
      <c r="AN37" s="81">
        <f>SUMIFS(FiancialTable[[#This Row],[Total]:[Other]],FiancialTable[[#Headers],[Total]:[Other]],LEFT(AN$4,LEN(AN$4)-4))/SUMIFS(ProductsCalcTable[#This Row],ProductsCalcTable[#Headers],"Volume")</f>
        <v>15.383924862363859</v>
      </c>
      <c r="AO37" s="85">
        <f t="shared" si="17"/>
        <v>16.741329997278317</v>
      </c>
      <c r="AP37" s="81">
        <f>SUMIFS(FiancialTable[[#This Row],[Total]:[Other]],FiancialTable[[#Headers],[Total]:[Other]],LEFT(AP$4,LEN(AP$4)-4))/SUMIFS(ProductsCalcTable[#This Row],ProductsCalcTable[#Headers],"Volume")</f>
        <v>6.3320183089226862</v>
      </c>
      <c r="AQ37" s="81">
        <f>SUMIFS(FiancialTable[[#This Row],[Total]:[Other]],FiancialTable[[#Headers],[Total]:[Other]],LEFT(AQ$4,LEN(AQ$4)-4))/SUMIFS(ProductsCalcTable[#This Row],ProductsCalcTable[#Headers],"Volume")</f>
        <v>0.67347853449140294</v>
      </c>
      <c r="AR37" s="85">
        <f t="shared" si="18"/>
        <v>7.0054968434140896</v>
      </c>
      <c r="AS37" s="81">
        <f>SUMIFS(FiancialTable[[#This Row],[Total]:[Other]],FiancialTable[[#Headers],[Total]:[Other]],LEFT(AS$4,LEN(AS$4)-4))/SUMIFS(ProductsCalcTable[#This Row],ProductsCalcTable[#Headers],"Volume")</f>
        <v>1.5766977860863263</v>
      </c>
      <c r="AT37" s="81">
        <f>SUMIFS(FiancialTable[[#This Row],[Total]:[Other]],FiancialTable[[#Headers],[Total]:[Other]],LEFT(AT$4,LEN(AT$4)-4))/SUMIFS(ProductsCalcTable[#This Row],ProductsCalcTable[#Headers],"Volume")</f>
        <v>25.744331240063438</v>
      </c>
      <c r="AU37" s="81">
        <f>SUMIFS(FiancialTable[[#This Row],[Total]:[Other]],FiancialTable[[#Headers],[Total]:[Other]],LEFT(AU$4,LEN(AU$4)-4))/SUMIFS(ProductsCalcTable[#This Row],ProductsCalcTable[#Headers],"Volume")</f>
        <v>0.20854011929309163</v>
      </c>
      <c r="AV37" s="81">
        <f>SUMIFS(FiancialTable[[#This Row],[Total]:[Other]],FiancialTable[[#Headers],[Total]:[Other]],LEFT(AV$4,LEN(AV$4)-4))/SUMIFS(ProductsCalcTable[#This Row],ProductsCalcTable[#Headers],"Volume")</f>
        <v>0.61136557094435751</v>
      </c>
      <c r="AW37" s="81">
        <f>SUMIFS(FiancialTable[[#This Row],[Total]:[Other]],FiancialTable[[#Headers],[Total]:[Other]],LEFT(AW$4,LEN(AW$4)-4))/SUMIFS(ProductsCalcTable[#This Row],ProductsCalcTable[#Headers],"Volume")</f>
        <v>0.65619537527167482</v>
      </c>
    </row>
    <row r="38" spans="1:49" x14ac:dyDescent="0.3">
      <c r="A38" t="s">
        <v>9</v>
      </c>
      <c r="B38" s="3" t="s">
        <v>6</v>
      </c>
      <c r="C38" t="s">
        <v>12</v>
      </c>
      <c r="D38">
        <v>2020</v>
      </c>
      <c r="E38" s="20" cm="1">
        <f t="array" ref="E38">_xlfn.XLOOKUP(ProductsCalcTable[[#This Row],[Products]]&amp;ProductsCalcTable[[#This Row],[Year]],ProductRatesTable[Products]&amp;ProductRatesTable[Year],ProductRatesTable[Retail Price],"Not Found",0)</f>
        <v>9.2142696799999979E-2</v>
      </c>
      <c r="F38" s="7" cm="1">
        <f t="array" ref="F38">_xlfn.XLOOKUP(ProductsCalcTable[[#This Row],[Products]]&amp;ProductsCalcTable[[#This Row],[Year]],ProductRatesTable[Products]&amp;ProductRatesTable[Year],ProductRatesTable[Share of Retail Costs],"Not Found",0)</f>
        <v>0.6</v>
      </c>
      <c r="G38" s="4">
        <f>SUMIFS(VolumesTable[Volume],VolumesTable[Products],$A38,VolumesTable[Year],ProductsCalcTable[[#This Row],[Year]])</f>
        <v>6711868</v>
      </c>
      <c r="H38" s="18">
        <f>ProductsCalcTable[[#This Row],[Retail Price]]*ProductsCalcTable[[#This Row],[Volume]]</f>
        <v>618449.61808562221</v>
      </c>
      <c r="I38" s="18">
        <f t="shared" si="10"/>
        <v>520010.1750782376</v>
      </c>
      <c r="J38" s="27">
        <f>ProductsCalcTable[[#This Row],[Actual Costs]]/ProductsCalcTable[[#This Row],[Volume]]</f>
        <v>7.7476221981456969E-2</v>
      </c>
      <c r="K38" s="27">
        <f>SUMIFS(ProductsCalcTable[Cost Per Unit],ProductsCalcTable[Products],$A38,ProductsCalcTable[Year],$D38-1)</f>
        <v>0</v>
      </c>
      <c r="M38" s="23">
        <f>INDEX(Costs!$F$5:$J$30,MATCH(M$4,Costs!$C$5:$C$30,0),MATCH($D38,Costs!$F$4:$J$4,0))</f>
        <v>120000</v>
      </c>
      <c r="N38" s="23">
        <f>INDEX(Costs!$F$5:$J$30,MATCH(N$4,Costs!$C$5:$C$30,0),MATCH($D38,Costs!$F$4:$J$4,0))</f>
        <v>70000</v>
      </c>
      <c r="O38" s="30"/>
      <c r="P38" s="55">
        <f t="shared" si="30"/>
        <v>1.4658671596082262</v>
      </c>
      <c r="Q38" s="51"/>
      <c r="R38" s="121" t="str">
        <f t="shared" si="13"/>
        <v>6 x 1/2" Screws</v>
      </c>
      <c r="S38" s="122">
        <f t="shared" si="14"/>
        <v>2020</v>
      </c>
      <c r="T38"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7.7130138479640772E-2</v>
      </c>
      <c r="U38"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1.426907561873354</v>
      </c>
      <c r="V38" s="124">
        <f t="shared" si="15"/>
        <v>520010.1750782376</v>
      </c>
      <c r="W38" s="124">
        <f>FiancialTable[[#This Row],[Mngmt FTEs]]*M38</f>
        <v>9255.6166175568924</v>
      </c>
      <c r="X38" s="124">
        <f>FiancialTable[[#This Row],[Prod''n FTEs]]*N38</f>
        <v>99883.529331134778</v>
      </c>
      <c r="Y38" s="124">
        <f>SUMIFS(INDEX(Costs!$AA$15:$AC$29,0,MATCH($B38,Costs!$AA$4:$AC$4,0)),Costs!$A$15:$A$29,Y$4,Costs!$E$15:$E$29,$B38)*SUMIFS(Y:Y,$D:$D,($D38+1),$A:$A,$A38)/SUMIFS(Y:Y,$D:$D,($D38+1),$B:$B,$B38)</f>
        <v>51374.761050420915</v>
      </c>
      <c r="Z38"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4543.6027655956059</v>
      </c>
      <c r="AA38" s="124">
        <f>SUMIFS(INDEX(Costs!$O$5:$AI$30,MATCH(AA$4,Costs!$A$5:$A$30,0),0),Costs!$O$2:$AI$2,$D38,Costs!$O$4:$AI$4,$B38)*SUMIFS(AA:AA,$D:$D,($D38+1),$A:$A,$A38)/SUMIFS(AA:AA,$D:$D,($D38+1),$B:$B,$B38)</f>
        <v>10850.268787662571</v>
      </c>
      <c r="AB38" s="124">
        <f>SUMIFS(ProductRatesTable[Materials CPU],ProductRatesTable[Year],$D38,ProductRatesTable[Products],$A38)*ProductsCalcTable[[#This Row],[Volume]]</f>
        <v>174753.67338129354</v>
      </c>
      <c r="AC38" s="124">
        <f>SUMIFS(INDEX(Costs!$F$5:$I$30,0,MATCH(ProductsCalcTable[[#This Row],[Year]],Costs!$F$4:$I$4,0)),Costs!$A$5:$A$30,AC$4,Costs!$E$5:$E$30,$B38)/SUMIFS(ProductsCalcTable[Volume],ProductsCalcTable[Year],ProductsCalcTable[[#This Row],[Year]],ProductsCalcTable[Department Name],ProductsCalcTable[[#This Row],[Department Name]])*ProductsCalcTable[[#This Row],[Volume]]</f>
        <v>56722.775990011913</v>
      </c>
      <c r="AD38" s="124">
        <f>SUMIFS(INDEX(Costs!$F$5:$I$30,0,MATCH(ProductsCalcTable[[#This Row],[Year]],Costs!$F$4:$I$4,0)),Costs!$A$5:$A$30,AD$4,Costs!$E$5:$E$30,$B38)/SUMIFS(ProductsCalcTable[Volume],ProductsCalcTable[Year],ProductsCalcTable[[#This Row],[Year]],ProductsCalcTable[Department Name],ProductsCalcTable[[#This Row],[Department Name]])*ProductsCalcTable[[#This Row],[Volume]]</f>
        <v>51385.811319446468</v>
      </c>
      <c r="AE38" s="124">
        <f>INDEX(Costs!$AF$15:$AH$29,MATCH(AE$4,Costs!$A$15:$A$29,0),MATCH($B38,Costs!$AF$4:$AH$4,0))/SUMIFS(ProductsCalcTable[Volume],ProductsCalcTable[Year],ProductsCalcTable[[#This Row],[Year]],ProductsCalcTable[Department Name],ProductsCalcTable[[#This Row],[Department Name]])*ProductsCalcTable[[#This Row],[Volume]]</f>
        <v>61240.13583511491</v>
      </c>
      <c r="AK38" s="80">
        <f>SUMIFS(ProductsCalcTable[#This Row],ProductsCalcTable[#Headers],"Cost Per Unit")-AL38</f>
        <v>0</v>
      </c>
      <c r="AL38" s="80">
        <f t="shared" si="16"/>
        <v>7.7476221981456969E-2</v>
      </c>
      <c r="AM38" s="81">
        <f>SUMIFS(FiancialTable[[#This Row],[Total]:[Other]],FiancialTable[[#Headers],[Total]:[Other]],LEFT(AM$4,LEN(AM$4)-4))/SUMIFS(ProductsCalcTable[#This Row],ProductsCalcTable[#Headers],"Volume")</f>
        <v>1.3789926466904433E-3</v>
      </c>
      <c r="AN38" s="81">
        <f>SUMIFS(FiancialTable[[#This Row],[Total]:[Other]],FiancialTable[[#Headers],[Total]:[Other]],LEFT(AN$4,LEN(AN$4)-4))/SUMIFS(ProductsCalcTable[#This Row],ProductsCalcTable[#Headers],"Volume")</f>
        <v>1.4881628978867698E-2</v>
      </c>
      <c r="AO38" s="85">
        <f t="shared" si="17"/>
        <v>1.6260621625558143E-2</v>
      </c>
      <c r="AP38" s="81">
        <f>SUMIFS(FiancialTable[[#This Row],[Total]:[Other]],FiancialTable[[#Headers],[Total]:[Other]],LEFT(AP$4,LEN(AP$4)-4))/SUMIFS(ProductsCalcTable[#This Row],ProductsCalcTable[#Headers],"Volume")</f>
        <v>7.6543163617670837E-3</v>
      </c>
      <c r="AQ38" s="81">
        <f>SUMIFS(FiancialTable[[#This Row],[Total]:[Other]],FiancialTable[[#Headers],[Total]:[Other]],LEFT(AQ$4,LEN(AQ$4)-4))/SUMIFS(ProductsCalcTable[#This Row],ProductsCalcTable[#Headers],"Volume")</f>
        <v>6.7695055468844226E-4</v>
      </c>
      <c r="AR38" s="85">
        <f t="shared" si="18"/>
        <v>8.3312669164555264E-3</v>
      </c>
      <c r="AS38" s="81">
        <f>SUMIFS(FiancialTable[[#This Row],[Total]:[Other]],FiancialTable[[#Headers],[Total]:[Other]],LEFT(AS$4,LEN(AS$4)-4))/SUMIFS(ProductsCalcTable[#This Row],ProductsCalcTable[#Headers],"Volume")</f>
        <v>1.6165795852455041E-3</v>
      </c>
      <c r="AT38" s="81">
        <f>SUMIFS(FiancialTable[[#This Row],[Total]:[Other]],FiancialTable[[#Headers],[Total]:[Other]],LEFT(AT$4,LEN(AT$4)-4))/SUMIFS(ProductsCalcTable[#This Row],ProductsCalcTable[#Headers],"Volume")</f>
        <v>2.6036518206450653E-2</v>
      </c>
      <c r="AU38" s="81">
        <f>SUMIFS(FiancialTable[[#This Row],[Total]:[Other]],FiancialTable[[#Headers],[Total]:[Other]],LEFT(AU$4,LEN(AU$4)-4))/SUMIFS(ProductsCalcTable[#This Row],ProductsCalcTable[#Headers],"Volume")</f>
        <v>8.4511161408436387E-3</v>
      </c>
      <c r="AV38" s="81">
        <f>SUMIFS(FiancialTable[[#This Row],[Total]:[Other]],FiancialTable[[#Headers],[Total]:[Other]],LEFT(AV$4,LEN(AV$4)-4))/SUMIFS(ProductsCalcTable[#This Row],ProductsCalcTable[#Headers],"Volume")</f>
        <v>7.6559627393516187E-3</v>
      </c>
      <c r="AW38" s="81">
        <f>SUMIFS(FiancialTable[[#This Row],[Total]:[Other]],FiancialTable[[#Headers],[Total]:[Other]],LEFT(AW$4,LEN(AW$4)-4))/SUMIFS(ProductsCalcTable[#This Row],ProductsCalcTable[#Headers],"Volume")</f>
        <v>9.124156767551881E-3</v>
      </c>
    </row>
    <row r="39" spans="1:49" x14ac:dyDescent="0.3">
      <c r="A39" t="s">
        <v>7</v>
      </c>
      <c r="B39" s="3" t="s">
        <v>6</v>
      </c>
      <c r="C39" t="s">
        <v>12</v>
      </c>
      <c r="D39">
        <v>2020</v>
      </c>
      <c r="E39" s="20" cm="1">
        <f t="array" ref="E39">_xlfn.XLOOKUP(ProductsCalcTable[[#This Row],[Products]]&amp;ProductsCalcTable[[#This Row],[Year]],ProductRatesTable[Products]&amp;ProductRatesTable[Year],ProductRatesTable[Retail Price],"Not Found",0)</f>
        <v>0.24470992</v>
      </c>
      <c r="F39" s="7" cm="1">
        <f t="array" ref="F39">_xlfn.XLOOKUP(ProductsCalcTable[[#This Row],[Products]]&amp;ProductsCalcTable[[#This Row],[Year]],ProductRatesTable[Products]&amp;ProductRatesTable[Year],ProductRatesTable[Share of Retail Costs],"Not Found",0)</f>
        <v>0.6</v>
      </c>
      <c r="G39" s="4">
        <f>SUMIFS(VolumesTable[Volume],VolumesTable[Products],$A39,VolumesTable[Year],ProductsCalcTable[[#This Row],[Year]])</f>
        <v>6686802</v>
      </c>
      <c r="H39" s="18">
        <f>ProductsCalcTable[[#This Row],[Retail Price]]*ProductsCalcTable[[#This Row],[Volume]]</f>
        <v>1636326.7824758401</v>
      </c>
      <c r="I39" s="18">
        <f t="shared" si="10"/>
        <v>1093857.952753651</v>
      </c>
      <c r="J39" s="27">
        <f>ProductsCalcTable[[#This Row],[Actual Costs]]/ProductsCalcTable[[#This Row],[Volume]]</f>
        <v>0.16358461829042506</v>
      </c>
      <c r="K39" s="27">
        <f>SUMIFS(ProductsCalcTable[Cost Per Unit],ProductsCalcTable[Products],$A39,ProductsCalcTable[Year],$D39-1)</f>
        <v>0</v>
      </c>
      <c r="M39" s="23">
        <f>INDEX(Costs!$F$5:$J$30,MATCH(M$4,Costs!$C$5:$C$30,0),MATCH($D39,Costs!$F$4:$J$4,0))</f>
        <v>120000</v>
      </c>
      <c r="N39" s="23">
        <f>INDEX(Costs!$F$5:$J$30,MATCH(N$4,Costs!$C$5:$C$30,0),MATCH($D39,Costs!$F$4:$J$4,0))</f>
        <v>70000</v>
      </c>
      <c r="O39" s="30"/>
      <c r="P39" s="55">
        <f t="shared" si="30"/>
        <v>3.878469033974961</v>
      </c>
      <c r="Q39" s="51"/>
      <c r="R39" s="121" t="str">
        <f t="shared" si="13"/>
        <v>8" Hex Bolts</v>
      </c>
      <c r="S39" s="122">
        <f t="shared" si="14"/>
        <v>2020</v>
      </c>
      <c r="T39"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0.20407500892470948</v>
      </c>
      <c r="U39"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3.7753876651071248</v>
      </c>
      <c r="V39" s="124">
        <f t="shared" si="15"/>
        <v>1093857.952753651</v>
      </c>
      <c r="W39" s="124">
        <f>FiancialTable[[#This Row],[Mngmt FTEs]]*M39</f>
        <v>24489.001070965136</v>
      </c>
      <c r="X39" s="124">
        <f>FiancialTable[[#This Row],[Prod''n FTEs]]*N39</f>
        <v>264277.13655749871</v>
      </c>
      <c r="Y39" s="124">
        <f>SUMIFS(INDEX(Costs!$AA$15:$AC$29,0,MATCH($B39,Costs!$AA$4:$AC$4,0)),Costs!$A$15:$A$29,Y$4,Costs!$E$15:$E$29,$B39)*SUMIFS(Y:Y,$D:$D,($D39+1),$A:$A,$A39)/SUMIFS(Y:Y,$D:$D,($D39+1),$B:$B,$B39)</f>
        <v>133736.38611298395</v>
      </c>
      <c r="Z39"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12021.705045739165</v>
      </c>
      <c r="AA39" s="124">
        <f>SUMIFS(INDEX(Costs!$O$5:$AI$30,MATCH(AA$4,Costs!$A$5:$A$30,0),0),Costs!$O$2:$AI$2,$D39,Costs!$O$4:$AI$4,$B39)*SUMIFS(AA:AA,$D:$D,($D39+1),$A:$A,$A39)/SUMIFS(AA:AA,$D:$D,($D39+1),$B:$B,$B39)</f>
        <v>28244.914552349273</v>
      </c>
      <c r="AB39" s="124">
        <f>SUMIFS(ProductRatesTable[Materials CPU],ProductRatesTable[Year],$D39,ProductRatesTable[Products],$A39)*ProductsCalcTable[[#This Row],[Volume]]</f>
        <v>462372.53242228786</v>
      </c>
      <c r="AC39" s="124">
        <f>SUMIFS(INDEX(Costs!$F$5:$I$30,0,MATCH(ProductsCalcTable[[#This Row],[Year]],Costs!$F$4:$I$4,0)),Costs!$A$5:$A$30,AC$4,Costs!$E$5:$E$30,$B39)/SUMIFS(ProductsCalcTable[Volume],ProductsCalcTable[Year],ProductsCalcTable[[#This Row],[Year]],ProductsCalcTable[Department Name],ProductsCalcTable[[#This Row],[Department Name]])*ProductsCalcTable[[#This Row],[Volume]]</f>
        <v>56510.940312825522</v>
      </c>
      <c r="AD39" s="124">
        <f>SUMIFS(INDEX(Costs!$F$5:$I$30,0,MATCH(ProductsCalcTable[[#This Row],[Year]],Costs!$F$4:$I$4,0)),Costs!$A$5:$A$30,AD$4,Costs!$E$5:$E$30,$B39)/SUMIFS(ProductsCalcTable[Volume],ProductsCalcTable[Year],ProductsCalcTable[[#This Row],[Year]],ProductsCalcTable[Department Name],ProductsCalcTable[[#This Row],[Department Name]])*ProductsCalcTable[[#This Row],[Volume]]</f>
        <v>51193.906957421881</v>
      </c>
      <c r="AE39" s="124">
        <f>INDEX(Costs!$AF$15:$AH$29,MATCH(AE$4,Costs!$A$15:$A$29,0),MATCH($B39,Costs!$AF$4:$AH$4,0))/SUMIFS(ProductsCalcTable[Volume],ProductsCalcTable[Year],ProductsCalcTable[[#This Row],[Year]],ProductsCalcTable[Department Name],ProductsCalcTable[[#This Row],[Department Name]])*ProductsCalcTable[[#This Row],[Volume]]</f>
        <v>61011.42972157945</v>
      </c>
      <c r="AK39" s="80">
        <f>SUMIFS(ProductsCalcTable[#This Row],ProductsCalcTable[#Headers],"Cost Per Unit")-AL39</f>
        <v>0</v>
      </c>
      <c r="AL39" s="80">
        <f t="shared" si="16"/>
        <v>0.16358461829042509</v>
      </c>
      <c r="AM39" s="81">
        <f>SUMIFS(FiancialTable[[#This Row],[Total]:[Other]],FiancialTable[[#Headers],[Total]:[Other]],LEFT(AM$4,LEN(AM$4)-4))/SUMIFS(ProductsCalcTable[#This Row],ProductsCalcTable[#Headers],"Volume")</f>
        <v>3.6622889493311056E-3</v>
      </c>
      <c r="AN39" s="81">
        <f>SUMIFS(FiancialTable[[#This Row],[Total]:[Other]],FiancialTable[[#Headers],[Total]:[Other]],LEFT(AN$4,LEN(AN$4)-4))/SUMIFS(ProductsCalcTable[#This Row],ProductsCalcTable[#Headers],"Volume")</f>
        <v>3.9522201578198177E-2</v>
      </c>
      <c r="AO39" s="85">
        <f t="shared" si="17"/>
        <v>4.3184490527529283E-2</v>
      </c>
      <c r="AP39" s="81">
        <f>SUMIFS(FiancialTable[[#This Row],[Total]:[Other]],FiancialTable[[#Headers],[Total]:[Other]],LEFT(AP$4,LEN(AP$4)-4))/SUMIFS(ProductsCalcTable[#This Row],ProductsCalcTable[#Headers],"Volume")</f>
        <v>2.0000051760615006E-2</v>
      </c>
      <c r="AQ39" s="81">
        <f>SUMIFS(FiancialTable[[#This Row],[Total]:[Other]],FiancialTable[[#Headers],[Total]:[Other]],LEFT(AQ$4,LEN(AQ$4)-4))/SUMIFS(ProductsCalcTable[#This Row],ProductsCalcTable[#Headers],"Volume")</f>
        <v>1.7978257836465271E-3</v>
      </c>
      <c r="AR39" s="85">
        <f t="shared" si="18"/>
        <v>2.1797877544261532E-2</v>
      </c>
      <c r="AS39" s="81">
        <f>SUMIFS(FiancialTable[[#This Row],[Total]:[Other]],FiancialTable[[#Headers],[Total]:[Other]],LEFT(AS$4,LEN(AS$4)-4))/SUMIFS(ProductsCalcTable[#This Row],ProductsCalcTable[#Headers],"Volume")</f>
        <v>4.2239794975758626E-3</v>
      </c>
      <c r="AT39" s="81">
        <f>SUMIFS(FiancialTable[[#This Row],[Total]:[Other]],FiancialTable[[#Headers],[Total]:[Other]],LEFT(AT$4,LEN(AT$4)-4))/SUMIFS(ProductsCalcTable[#This Row],ProductsCalcTable[#Headers],"Volume")</f>
        <v>6.9147035073311255E-2</v>
      </c>
      <c r="AU39" s="81">
        <f>SUMIFS(FiancialTable[[#This Row],[Total]:[Other]],FiancialTable[[#Headers],[Total]:[Other]],LEFT(AU$4,LEN(AU$4)-4))/SUMIFS(ProductsCalcTable[#This Row],ProductsCalcTable[#Headers],"Volume")</f>
        <v>8.4511161408436387E-3</v>
      </c>
      <c r="AV39" s="81">
        <f>SUMIFS(FiancialTable[[#This Row],[Total]:[Other]],FiancialTable[[#Headers],[Total]:[Other]],LEFT(AV$4,LEN(AV$4)-4))/SUMIFS(ProductsCalcTable[#This Row],ProductsCalcTable[#Headers],"Volume")</f>
        <v>7.6559627393516187E-3</v>
      </c>
      <c r="AW39" s="81">
        <f>SUMIFS(FiancialTable[[#This Row],[Total]:[Other]],FiancialTable[[#Headers],[Total]:[Other]],LEFT(AW$4,LEN(AW$4)-4))/SUMIFS(ProductsCalcTable[#This Row],ProductsCalcTable[#Headers],"Volume")</f>
        <v>9.124156767551881E-3</v>
      </c>
    </row>
    <row r="40" spans="1:49" x14ac:dyDescent="0.3">
      <c r="A40" t="s">
        <v>8</v>
      </c>
      <c r="B40" s="3" t="s">
        <v>6</v>
      </c>
      <c r="C40" t="s">
        <v>12</v>
      </c>
      <c r="D40">
        <v>2020</v>
      </c>
      <c r="E40" s="20" cm="1">
        <f t="array" ref="E40">_xlfn.XLOOKUP(ProductsCalcTable[[#This Row],[Products]]&amp;ProductsCalcTable[[#This Row],[Year]],ProductRatesTable[Products]&amp;ProductRatesTable[Year],ProductRatesTable[Retail Price],"Not Found",0)</f>
        <v>67.765823999999995</v>
      </c>
      <c r="F40" s="7" cm="1">
        <f t="array" ref="F40">_xlfn.XLOOKUP(ProductsCalcTable[[#This Row],[Products]]&amp;ProductsCalcTable[[#This Row],[Year]],ProductRatesTable[Products]&amp;ProductRatesTable[Year],ProductRatesTable[Share of Retail Costs],"Not Found",0)</f>
        <v>0.5</v>
      </c>
      <c r="G40" s="4">
        <f>SUMIFS(VolumesTable[Volume],VolumesTable[Products],$A40,VolumesTable[Year],ProductsCalcTable[[#This Row],[Year]])</f>
        <v>166370</v>
      </c>
      <c r="H40" s="18">
        <f>ProductsCalcTable[[#This Row],[Retail Price]]*ProductsCalcTable[[#This Row],[Volume]]</f>
        <v>11274200.13888</v>
      </c>
      <c r="I40" s="18">
        <f t="shared" si="10"/>
        <v>5357395.448371171</v>
      </c>
      <c r="J40" s="27">
        <f>ProductsCalcTable[[#This Row],[Actual Costs]]/ProductsCalcTable[[#This Row],[Volume]]</f>
        <v>32.201691701455616</v>
      </c>
      <c r="K40" s="27">
        <f>SUMIFS(ProductsCalcTable[Cost Per Unit],ProductsCalcTable[Products],$A40,ProductsCalcTable[Year],$D40-1)</f>
        <v>0</v>
      </c>
      <c r="M40" s="23">
        <f>INDEX(Costs!$F$5:$J$30,MATCH(M$4,Costs!$C$5:$C$30,0),MATCH($D40,Costs!$F$4:$J$4,0))</f>
        <v>120000</v>
      </c>
      <c r="N40" s="23">
        <f>INDEX(Costs!$F$5:$J$30,MATCH(N$4,Costs!$C$5:$C$30,0),MATCH($D40,Costs!$F$4:$J$4,0))</f>
        <v>70000</v>
      </c>
      <c r="O40" s="30"/>
      <c r="P40" s="55">
        <f t="shared" si="30"/>
        <v>22.268695852691987</v>
      </c>
      <c r="Q40" s="51"/>
      <c r="R40" s="121" t="str">
        <f t="shared" si="13"/>
        <v>1" Screw Pin Anchor Shackle</v>
      </c>
      <c r="S40" s="122">
        <f t="shared" si="14"/>
        <v>2020</v>
      </c>
      <c r="T40"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1.1717211778850307</v>
      </c>
      <c r="U40"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21.676841790873063</v>
      </c>
      <c r="V40" s="124">
        <f t="shared" si="15"/>
        <v>5357395.448371171</v>
      </c>
      <c r="W40" s="124">
        <f>FiancialTable[[#This Row],[Mngmt FTEs]]*M40</f>
        <v>140606.54134620368</v>
      </c>
      <c r="X40" s="124">
        <f>FiancialTable[[#This Row],[Prod''n FTEs]]*N40</f>
        <v>1517378.9253611143</v>
      </c>
      <c r="Y40" s="124">
        <f>SUMIFS(INDEX(Costs!$AA$15:$AC$29,0,MATCH($B40,Costs!$AA$4:$AC$4,0)),Costs!$A$15:$A$29,Y$4,Costs!$E$15:$E$29,$B40)*SUMIFS(Y:Y,$D:$D,($D40+1),$A:$A,$A40)/SUMIFS(Y:Y,$D:$D,($D40+1),$B:$B,$B40)</f>
        <v>802032.7124943767</v>
      </c>
      <c r="Z40"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69024.06360583214</v>
      </c>
      <c r="AA40" s="124">
        <f>SUMIFS(INDEX(Costs!$O$5:$AI$30,MATCH(AA$4,Costs!$A$5:$A$30,0),0),Costs!$O$2:$AI$2,$D40,Costs!$O$4:$AI$4,$B40)*SUMIFS(AA:AA,$D:$D,($D40+1),$A:$A,$A40)/SUMIFS(AA:AA,$D:$D,($D40+1),$B:$B,$B40)</f>
        <v>169388.04831659232</v>
      </c>
      <c r="AB40" s="124">
        <f>SUMIFS(ProductRatesTable[Materials CPU],ProductRatesTable[Year],$D40,ProductRatesTable[Products],$A40)*ProductsCalcTable[[#This Row],[Volume]]</f>
        <v>2654767.4365723371</v>
      </c>
      <c r="AC40" s="124">
        <f>SUMIFS(INDEX(Costs!$F$5:$I$30,0,MATCH(ProductsCalcTable[[#This Row],[Year]],Costs!$F$4:$I$4,0)),Costs!$A$5:$A$30,AC$4,Costs!$E$5:$E$30,$B40)/SUMIFS(ProductsCalcTable[Volume],ProductsCalcTable[Year],ProductsCalcTable[[#This Row],[Year]],ProductsCalcTable[Department Name],ProductsCalcTable[[#This Row],[Department Name]])*ProductsCalcTable[[#This Row],[Volume]]</f>
        <v>1406.0121923521563</v>
      </c>
      <c r="AD40" s="124">
        <f>SUMIFS(INDEX(Costs!$F$5:$I$30,0,MATCH(ProductsCalcTable[[#This Row],[Year]],Costs!$F$4:$I$4,0)),Costs!$A$5:$A$30,AD$4,Costs!$E$5:$E$30,$B40)/SUMIFS(ProductsCalcTable[Volume],ProductsCalcTable[Year],ProductsCalcTable[[#This Row],[Year]],ProductsCalcTable[Department Name],ProductsCalcTable[[#This Row],[Department Name]])*ProductsCalcTable[[#This Row],[Volume]]</f>
        <v>1273.7225209459289</v>
      </c>
      <c r="AE40" s="124">
        <f>INDEX(Costs!$AF$15:$AH$29,MATCH(AE$4,Costs!$A$15:$A$29,0),MATCH($B40,Costs!$AF$4:$AH$4,0))/SUMIFS(ProductsCalcTable[Volume],ProductsCalcTable[Year],ProductsCalcTable[[#This Row],[Year]],ProductsCalcTable[Department Name],ProductsCalcTable[[#This Row],[Department Name]])*ProductsCalcTable[[#This Row],[Volume]]</f>
        <v>1517.9859614176064</v>
      </c>
      <c r="AK40" s="80">
        <f>SUMIFS(ProductsCalcTable[#This Row],ProductsCalcTable[#Headers],"Cost Per Unit")-AL40</f>
        <v>0</v>
      </c>
      <c r="AL40" s="80">
        <f t="shared" si="16"/>
        <v>32.20169170145563</v>
      </c>
      <c r="AM40" s="81">
        <f>SUMIFS(FiancialTable[[#This Row],[Total]:[Other]],FiancialTable[[#Headers],[Total]:[Other]],LEFT(AM$4,LEN(AM$4)-4))/SUMIFS(ProductsCalcTable[#This Row],ProductsCalcTable[#Headers],"Volume")</f>
        <v>0.84514360369179353</v>
      </c>
      <c r="AN40" s="81">
        <f>SUMIFS(FiancialTable[[#This Row],[Total]:[Other]],FiancialTable[[#Headers],[Total]:[Other]],LEFT(AN$4,LEN(AN$4)-4))/SUMIFS(ProductsCalcTable[#This Row],ProductsCalcTable[#Headers],"Volume")</f>
        <v>9.1205080565072691</v>
      </c>
      <c r="AO40" s="85">
        <f t="shared" si="17"/>
        <v>9.9656516601990628</v>
      </c>
      <c r="AP40" s="81">
        <f>SUMIFS(FiancialTable[[#This Row],[Total]:[Other]],FiancialTable[[#Headers],[Total]:[Other]],LEFT(AP$4,LEN(AP$4)-4))/SUMIFS(ProductsCalcTable[#This Row],ProductsCalcTable[#Headers],"Volume")</f>
        <v>4.8207772584863662</v>
      </c>
      <c r="AQ40" s="81">
        <f>SUMIFS(FiancialTable[[#This Row],[Total]:[Other]],FiancialTable[[#Headers],[Total]:[Other]],LEFT(AQ$4,LEN(AQ$4)-4))/SUMIFS(ProductsCalcTable[#This Row],ProductsCalcTable[#Headers],"Volume")</f>
        <v>0.41488287314919842</v>
      </c>
      <c r="AR40" s="85">
        <f t="shared" si="18"/>
        <v>5.2356601316355649</v>
      </c>
      <c r="AS40" s="81">
        <f>SUMIFS(FiancialTable[[#This Row],[Total]:[Other]],FiancialTable[[#Headers],[Total]:[Other]],LEFT(AS$4,LEN(AS$4)-4))/SUMIFS(ProductsCalcTable[#This Row],ProductsCalcTable[#Headers],"Volume")</f>
        <v>1.0181405801321892</v>
      </c>
      <c r="AT40" s="81">
        <f>SUMIFS(FiancialTable[[#This Row],[Total]:[Other]],FiancialTable[[#Headers],[Total]:[Other]],LEFT(AT$4,LEN(AT$4)-4))/SUMIFS(ProductsCalcTable[#This Row],ProductsCalcTable[#Headers],"Volume")</f>
        <v>15.957008093841059</v>
      </c>
      <c r="AU40" s="81">
        <f>SUMIFS(FiancialTable[[#This Row],[Total]:[Other]],FiancialTable[[#Headers],[Total]:[Other]],LEFT(AU$4,LEN(AU$4)-4))/SUMIFS(ProductsCalcTable[#This Row],ProductsCalcTable[#Headers],"Volume")</f>
        <v>8.4511161408436387E-3</v>
      </c>
      <c r="AV40" s="81">
        <f>SUMIFS(FiancialTable[[#This Row],[Total]:[Other]],FiancialTable[[#Headers],[Total]:[Other]],LEFT(AV$4,LEN(AV$4)-4))/SUMIFS(ProductsCalcTable[#This Row],ProductsCalcTable[#Headers],"Volume")</f>
        <v>7.6559627393516187E-3</v>
      </c>
      <c r="AW40" s="81">
        <f>SUMIFS(FiancialTable[[#This Row],[Total]:[Other]],FiancialTable[[#Headers],[Total]:[Other]],LEFT(AW$4,LEN(AW$4)-4))/SUMIFS(ProductsCalcTable[#This Row],ProductsCalcTable[#Headers],"Volume")</f>
        <v>9.124156767551881E-3</v>
      </c>
    </row>
    <row r="41" spans="1:49" x14ac:dyDescent="0.3">
      <c r="A41" t="s">
        <v>10</v>
      </c>
      <c r="B41" s="3" t="s">
        <v>6</v>
      </c>
      <c r="C41" t="s">
        <v>12</v>
      </c>
      <c r="D41">
        <v>2020</v>
      </c>
      <c r="E41" s="20" cm="1">
        <f t="array" ref="E41">_xlfn.XLOOKUP(ProductsCalcTable[[#This Row],[Products]]&amp;ProductsCalcTable[[#This Row],[Year]],ProductRatesTable[Products]&amp;ProductRatesTable[Year],ProductRatesTable[Retail Price],"Not Found",0)</f>
        <v>5.647151999999999E-2</v>
      </c>
      <c r="F41" s="7" cm="1">
        <f t="array" ref="F41">_xlfn.XLOOKUP(ProductsCalcTable[[#This Row],[Products]]&amp;ProductsCalcTable[[#This Row],[Year]],ProductRatesTable[Products]&amp;ProductRatesTable[Year],ProductRatesTable[Share of Retail Costs],"Not Found",0)</f>
        <v>0.6</v>
      </c>
      <c r="G41" s="4">
        <f>SUMIFS(VolumesTable[Volume],VolumesTable[Products],$A41,VolumesTable[Year],ProductsCalcTable[[#This Row],[Year]])</f>
        <v>6683883</v>
      </c>
      <c r="H41" s="18">
        <f>ProductsCalcTable[[#This Row],[Retail Price]]*ProductsCalcTable[[#This Row],[Volume]]</f>
        <v>377449.03251215996</v>
      </c>
      <c r="I41" s="18">
        <f t="shared" si="10"/>
        <v>382052.5891282314</v>
      </c>
      <c r="J41" s="27">
        <f>ProductsCalcTable[[#This Row],[Actual Costs]]/ProductsCalcTable[[#This Row],[Volume]]</f>
        <v>5.7160274817532171E-2</v>
      </c>
      <c r="K41" s="27">
        <f>SUMIFS(ProductsCalcTable[Cost Per Unit],ProductsCalcTable[Products],$A41,ProductsCalcTable[Year],$D41-1)</f>
        <v>0</v>
      </c>
      <c r="M41" s="23">
        <f>INDEX(Costs!$F$5:$J$30,MATCH(M$4,Costs!$C$5:$C$30,0),MATCH($D41,Costs!$F$4:$J$4,0))</f>
        <v>120000</v>
      </c>
      <c r="N41" s="23">
        <f>INDEX(Costs!$F$5:$J$30,MATCH(N$4,Costs!$C$5:$C$30,0),MATCH($D41,Costs!$F$4:$J$4,0))</f>
        <v>70000</v>
      </c>
      <c r="O41" s="30"/>
      <c r="P41" s="55">
        <f t="shared" si="30"/>
        <v>0.89464060613078367</v>
      </c>
      <c r="Q41" s="51"/>
      <c r="R41" s="121" t="str">
        <f t="shared" si="13"/>
        <v>Hex Nuts</v>
      </c>
      <c r="S41" s="122">
        <f t="shared" si="14"/>
        <v>2020</v>
      </c>
      <c r="T41"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4.7073674710619295E-2</v>
      </c>
      <c r="U41"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0.87086298214645685</v>
      </c>
      <c r="V41" s="124">
        <f t="shared" si="15"/>
        <v>382052.5891282314</v>
      </c>
      <c r="W41" s="124">
        <f>FiancialTable[[#This Row],[Mngmt FTEs]]*M41</f>
        <v>5648.8409652743157</v>
      </c>
      <c r="X41" s="124">
        <f>FiancialTable[[#This Row],[Prod''n FTEs]]*N41</f>
        <v>60960.408750251983</v>
      </c>
      <c r="Y41" s="124">
        <f>SUMIFS(INDEX(Costs!$AA$15:$AC$29,0,MATCH($B41,Costs!$AA$4:$AC$4,0)),Costs!$A$15:$A$29,Y$4,Costs!$E$15:$E$29,$B41)*SUMIFS(Y:Y,$D:$D,($D41+1),$A:$A,$A41)/SUMIFS(Y:Y,$D:$D,($D41+1),$B:$B,$B41)</f>
        <v>30856.140342218463</v>
      </c>
      <c r="Z41"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2773.0285828330843</v>
      </c>
      <c r="AA41" s="124">
        <f>SUMIFS(INDEX(Costs!$O$5:$AI$30,MATCH(AA$4,Costs!$A$5:$A$30,0),0),Costs!$O$2:$AI$2,$D41,Costs!$O$4:$AI$4,$B41)*SUMIFS(AA:AA,$D:$D,($D41+1),$A:$A,$A41)/SUMIFS(AA:AA,$D:$D,($D41+1),$B:$B,$B41)</f>
        <v>6516.7683433958455</v>
      </c>
      <c r="AB41" s="124">
        <f>SUMIFS(ProductRatesTable[Materials CPU],ProductRatesTable[Year],$D41,ProductRatesTable[Products],$A41)*ProductsCalcTable[[#This Row],[Volume]]</f>
        <v>106654.77512928666</v>
      </c>
      <c r="AC41" s="124">
        <f>SUMIFS(INDEX(Costs!$F$5:$I$30,0,MATCH(ProductsCalcTable[[#This Row],[Year]],Costs!$F$4:$I$4,0)),Costs!$A$5:$A$30,AC$4,Costs!$E$5:$E$30,$B41)/SUMIFS(ProductsCalcTable[Volume],ProductsCalcTable[Year],ProductsCalcTable[[#This Row],[Year]],ProductsCalcTable[Department Name],ProductsCalcTable[[#This Row],[Department Name]])*ProductsCalcTable[[#This Row],[Volume]]</f>
        <v>56486.2715048104</v>
      </c>
      <c r="AD41" s="124">
        <f>SUMIFS(INDEX(Costs!$F$5:$I$30,0,MATCH(ProductsCalcTable[[#This Row],[Year]],Costs!$F$4:$I$4,0)),Costs!$A$5:$A$30,AD$4,Costs!$E$5:$E$30,$B41)/SUMIFS(ProductsCalcTable[Volume],ProductsCalcTable[Year],ProductsCalcTable[[#This Row],[Year]],ProductsCalcTable[Department Name],ProductsCalcTable[[#This Row],[Department Name]])*ProductsCalcTable[[#This Row],[Volume]]</f>
        <v>51171.559202185716</v>
      </c>
      <c r="AE41" s="124">
        <f>INDEX(Costs!$AF$15:$AH$29,MATCH(AE$4,Costs!$A$15:$A$29,0),MATCH($B41,Costs!$AF$4:$AH$4,0))/SUMIFS(ProductsCalcTable[Volume],ProductsCalcTable[Year],ProductsCalcTable[[#This Row],[Year]],ProductsCalcTable[Department Name],ProductsCalcTable[[#This Row],[Department Name]])*ProductsCalcTable[[#This Row],[Volume]]</f>
        <v>60984.796307974968</v>
      </c>
      <c r="AK41" s="80">
        <f>SUMIFS(ProductsCalcTable[#This Row],ProductsCalcTable[#Headers],"Cost Per Unit")-AL41</f>
        <v>0</v>
      </c>
      <c r="AL41" s="80">
        <f t="shared" si="16"/>
        <v>5.7160274817532178E-2</v>
      </c>
      <c r="AM41" s="81">
        <f>SUMIFS(FiancialTable[[#This Row],[Total]:[Other]],FiancialTable[[#Headers],[Total]:[Other]],LEFT(AM$4,LEN(AM$4)-4))/SUMIFS(ProductsCalcTable[#This Row],ProductsCalcTable[#Headers],"Volume")</f>
        <v>8.4514360369179352E-4</v>
      </c>
      <c r="AN41" s="81">
        <f>SUMIFS(FiancialTable[[#This Row],[Total]:[Other]],FiancialTable[[#Headers],[Total]:[Other]],LEFT(AN$4,LEN(AN$4)-4))/SUMIFS(ProductsCalcTable[#This Row],ProductsCalcTable[#Headers],"Volume")</f>
        <v>9.1205080565072705E-3</v>
      </c>
      <c r="AO41" s="85">
        <f t="shared" si="17"/>
        <v>9.9656516601990645E-3</v>
      </c>
      <c r="AP41" s="81">
        <f>SUMIFS(FiancialTable[[#This Row],[Total]:[Other]],FiancialTable[[#Headers],[Total]:[Other]],LEFT(AP$4,LEN(AP$4)-4))/SUMIFS(ProductsCalcTable[#This Row],ProductsCalcTable[#Headers],"Volume")</f>
        <v>4.616499173043344E-3</v>
      </c>
      <c r="AQ41" s="81">
        <f>SUMIFS(FiancialTable[[#This Row],[Total]:[Other]],FiancialTable[[#Headers],[Total]:[Other]],LEFT(AQ$4,LEN(AQ$4)-4))/SUMIFS(ProductsCalcTable[#This Row],ProductsCalcTable[#Headers],"Volume")</f>
        <v>4.148828731491985E-4</v>
      </c>
      <c r="AR41" s="85">
        <f t="shared" si="18"/>
        <v>5.0313820461925429E-3</v>
      </c>
      <c r="AS41" s="81">
        <f>SUMIFS(FiancialTable[[#This Row],[Total]:[Other]],FiancialTable[[#Headers],[Total]:[Other]],LEFT(AS$4,LEN(AS$4)-4))/SUMIFS(ProductsCalcTable[#This Row],ProductsCalcTable[#Headers],"Volume")</f>
        <v>9.7499736955237624E-4</v>
      </c>
      <c r="AT41" s="81">
        <f>SUMIFS(FiancialTable[[#This Row],[Total]:[Other]],FiancialTable[[#Headers],[Total]:[Other]],LEFT(AT$4,LEN(AT$4)-4))/SUMIFS(ProductsCalcTable[#This Row],ProductsCalcTable[#Headers],"Volume")</f>
        <v>1.5957008093841058E-2</v>
      </c>
      <c r="AU41" s="81">
        <f>SUMIFS(FiancialTable[[#This Row],[Total]:[Other]],FiancialTable[[#Headers],[Total]:[Other]],LEFT(AU$4,LEN(AU$4)-4))/SUMIFS(ProductsCalcTable[#This Row],ProductsCalcTable[#Headers],"Volume")</f>
        <v>8.4511161408436387E-3</v>
      </c>
      <c r="AV41" s="81">
        <f>SUMIFS(FiancialTable[[#This Row],[Total]:[Other]],FiancialTable[[#Headers],[Total]:[Other]],LEFT(AV$4,LEN(AV$4)-4))/SUMIFS(ProductsCalcTable[#This Row],ProductsCalcTable[#Headers],"Volume")</f>
        <v>7.6559627393516187E-3</v>
      </c>
      <c r="AW41" s="81">
        <f>SUMIFS(FiancialTable[[#This Row],[Total]:[Other]],FiancialTable[[#Headers],[Total]:[Other]],LEFT(AW$4,LEN(AW$4)-4))/SUMIFS(ProductsCalcTable[#This Row],ProductsCalcTable[#Headers],"Volume")</f>
        <v>9.124156767551881E-3</v>
      </c>
    </row>
    <row r="42" spans="1:49" x14ac:dyDescent="0.3">
      <c r="A42" t="s">
        <v>16</v>
      </c>
      <c r="B42" s="3" t="s">
        <v>73</v>
      </c>
      <c r="C42" t="s">
        <v>11</v>
      </c>
      <c r="D42">
        <v>2020</v>
      </c>
      <c r="E42" s="20" cm="1">
        <f t="array" ref="E42">_xlfn.XLOOKUP(ProductsCalcTable[[#This Row],[Products]]&amp;ProductsCalcTable[[#This Row],[Year]],ProductRatesTable[Products]&amp;ProductRatesTable[Year],ProductRatesTable[Retail Price],"Not Found",0)</f>
        <v>7.8118936000000003</v>
      </c>
      <c r="F42" s="7" cm="1">
        <f t="array" ref="F42">_xlfn.XLOOKUP(ProductsCalcTable[[#This Row],[Products]]&amp;ProductsCalcTable[[#This Row],[Year]],ProductRatesTable[Products]&amp;ProductRatesTable[Year],ProductRatesTable[Share of Retail Costs],"Not Found",0)</f>
        <v>0.5</v>
      </c>
      <c r="G42" s="4">
        <f>SUMIFS(VolumesTable[Volume],VolumesTable[Products],$A42,VolumesTable[Year],ProductsCalcTable[[#This Row],[Year]])</f>
        <v>288200</v>
      </c>
      <c r="H42" s="18">
        <f>ProductsCalcTable[[#This Row],[Retail Price]]*ProductsCalcTable[[#This Row],[Volume]]</f>
        <v>2251387.7355200001</v>
      </c>
      <c r="I42" s="18">
        <f t="shared" si="10"/>
        <v>1163332.7135756207</v>
      </c>
      <c r="J42" s="27">
        <f>ProductsCalcTable[[#This Row],[Actual Costs]]/ProductsCalcTable[[#This Row],[Volume]]</f>
        <v>4.0365465425941034</v>
      </c>
      <c r="K42" s="27">
        <f>SUMIFS(ProductsCalcTable[Cost Per Unit],ProductsCalcTable[Products],$A42,ProductsCalcTable[Year],$D42-1)</f>
        <v>0</v>
      </c>
      <c r="M42" s="23">
        <f>INDEX(Costs!$F$5:$J$30,MATCH(M$4,Costs!$C$5:$C$30,0),MATCH($D42,Costs!$F$4:$J$4,0))</f>
        <v>120000</v>
      </c>
      <c r="N42" s="23">
        <f>INDEX(Costs!$F$5:$J$30,MATCH(N$4,Costs!$C$5:$C$30,0),MATCH($D42,Costs!$F$4:$J$4,0))</f>
        <v>70000</v>
      </c>
      <c r="O42" s="31"/>
      <c r="P42" s="55">
        <f t="shared" si="30"/>
        <v>4.2900485377582998</v>
      </c>
      <c r="Q42" s="51"/>
      <c r="R42" s="121" t="str">
        <f t="shared" si="13"/>
        <v>Spur Gears 8MM</v>
      </c>
      <c r="S42" s="122">
        <f t="shared" si="14"/>
        <v>2020</v>
      </c>
      <c r="T42"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0.21682598111975304</v>
      </c>
      <c r="U42"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4.3907261176749994</v>
      </c>
      <c r="V42" s="124">
        <f t="shared" si="15"/>
        <v>1163332.7135756207</v>
      </c>
      <c r="W42" s="124">
        <f>FiancialTable[[#This Row],[Mngmt FTEs]]*M42</f>
        <v>26019.117734370364</v>
      </c>
      <c r="X42" s="124">
        <f>FiancialTable[[#This Row],[Prod''n FTEs]]*N42</f>
        <v>307350.82823724998</v>
      </c>
      <c r="Y42" s="124">
        <f>SUMIFS(INDEX(Costs!$AA$15:$AC$29,0,MATCH($B42,Costs!$AA$4:$AC$4,0)),Costs!$A$15:$A$29,Y$4,Costs!$E$15:$E$29,$B42)*SUMIFS(Y:Y,$D:$D,($D42+1),$A:$A,$A42)/SUMIFS(Y:Y,$D:$D,($D42+1),$B:$B,$B42)</f>
        <v>158914.00139654501</v>
      </c>
      <c r="Z42"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13773.480163866298</v>
      </c>
      <c r="AA42" s="124">
        <f>SUMIFS(INDEX(Costs!$O$5:$AI$30,MATCH(AA$4,Costs!$A$5:$A$30,0),0),Costs!$O$2:$AI$2,$D42,Costs!$O$4:$AI$4,$B42)*SUMIFS(AA:AA,$D:$D,($D42+1),$A:$A,$A42)/SUMIFS(AA:AA,$D:$D,($D42+1),$B:$B,$B42)</f>
        <v>35119.116330728182</v>
      </c>
      <c r="AB42" s="124">
        <f>SUMIFS(ProductRatesTable[Materials CPU],ProductRatesTable[Year],$D42,ProductRatesTable[Products],$A42)*ProductsCalcTable[[#This Row],[Volume]]</f>
        <v>530140.56640213111</v>
      </c>
      <c r="AC42" s="124">
        <f>SUMIFS(INDEX(Costs!$F$5:$I$30,0,MATCH(ProductsCalcTable[[#This Row],[Year]],Costs!$F$4:$I$4,0)),Costs!$A$5:$A$30,AC$4,Costs!$E$5:$E$30,$B42)/SUMIFS(ProductsCalcTable[Volume],ProductsCalcTable[Year],ProductsCalcTable[[#This Row],[Year]],ProductsCalcTable[Department Name],ProductsCalcTable[[#This Row],[Department Name]])*ProductsCalcTable[[#This Row],[Volume]]</f>
        <v>29876.605504587154</v>
      </c>
      <c r="AD42" s="124">
        <f>SUMIFS(INDEX(Costs!$F$5:$I$30,0,MATCH(ProductsCalcTable[[#This Row],[Year]],Costs!$F$4:$I$4,0)),Costs!$A$5:$A$30,AD$4,Costs!$E$5:$E$30,$B42)/SUMIFS(ProductsCalcTable[Volume],ProductsCalcTable[Year],ProductsCalcTable[[#This Row],[Year]],ProductsCalcTable[Department Name],ProductsCalcTable[[#This Row],[Department Name]])*ProductsCalcTable[[#This Row],[Volume]]</f>
        <v>28414.564220183489</v>
      </c>
      <c r="AE42" s="124">
        <f>INDEX(Costs!$AF$15:$AH$29,MATCH(AE$4,Costs!$A$15:$A$29,0),MATCH($B42,Costs!$AF$4:$AH$4,0))/SUMIFS(ProductsCalcTable[Volume],ProductsCalcTable[Year],ProductsCalcTable[[#This Row],[Year]],ProductsCalcTable[Department Name],ProductsCalcTable[[#This Row],[Department Name]])*ProductsCalcTable[[#This Row],[Volume]]</f>
        <v>33724.433585959319</v>
      </c>
      <c r="AK42" s="80">
        <f>SUMIFS(ProductsCalcTable[#This Row],ProductsCalcTable[#Headers],"Cost Per Unit")-AL42</f>
        <v>0</v>
      </c>
      <c r="AL42" s="80">
        <f t="shared" si="16"/>
        <v>4.0365465425941052</v>
      </c>
      <c r="AM42" s="81">
        <f>SUMIFS(FiancialTable[[#This Row],[Total]:[Other]],FiancialTable[[#Headers],[Total]:[Other]],LEFT(AM$4,LEN(AM$4)-4))/SUMIFS(ProductsCalcTable[#This Row],ProductsCalcTable[#Headers],"Volume")</f>
        <v>9.0281463339244847E-2</v>
      </c>
      <c r="AN42" s="81">
        <f>SUMIFS(FiancialTable[[#This Row],[Total]:[Other]],FiancialTable[[#Headers],[Total]:[Other]],LEFT(AN$4,LEN(AN$4)-4))/SUMIFS(ProductsCalcTable[#This Row],ProductsCalcTable[#Headers],"Volume")</f>
        <v>1.0664497856948298</v>
      </c>
      <c r="AO42" s="85">
        <f t="shared" si="17"/>
        <v>1.1567312490340746</v>
      </c>
      <c r="AP42" s="81">
        <f>SUMIFS(FiancialTable[[#This Row],[Total]:[Other]],FiancialTable[[#Headers],[Total]:[Other]],LEFT(AP$4,LEN(AP$4)-4))/SUMIFS(ProductsCalcTable[#This Row],ProductsCalcTable[#Headers],"Volume")</f>
        <v>0.55140180914831716</v>
      </c>
      <c r="AQ42" s="81">
        <f>SUMIFS(FiancialTable[[#This Row],[Total]:[Other]],FiancialTable[[#Headers],[Total]:[Other]],LEFT(AQ$4,LEN(AQ$4)-4))/SUMIFS(ProductsCalcTable[#This Row],ProductsCalcTable[#Headers],"Volume")</f>
        <v>4.7791395433262655E-2</v>
      </c>
      <c r="AR42" s="85">
        <f t="shared" si="18"/>
        <v>0.59919320458157976</v>
      </c>
      <c r="AS42" s="81">
        <f>SUMIFS(FiancialTable[[#This Row],[Total]:[Other]],FiancialTable[[#Headers],[Total]:[Other]],LEFT(AS$4,LEN(AS$4)-4))/SUMIFS(ProductsCalcTable[#This Row],ProductsCalcTable[#Headers],"Volume")</f>
        <v>0.12185675340294304</v>
      </c>
      <c r="AT42" s="81">
        <f>SUMIFS(FiancialTable[[#This Row],[Total]:[Other]],FiancialTable[[#Headers],[Total]:[Other]],LEFT(AT$4,LEN(AT$4)-4))/SUMIFS(ProductsCalcTable[#This Row],ProductsCalcTable[#Headers],"Volume")</f>
        <v>1.8394884330400108</v>
      </c>
      <c r="AU42" s="81">
        <f>SUMIFS(FiancialTable[[#This Row],[Total]:[Other]],FiancialTable[[#Headers],[Total]:[Other]],LEFT(AU$4,LEN(AU$4)-4))/SUMIFS(ProductsCalcTable[#This Row],ProductsCalcTable[#Headers],"Volume")</f>
        <v>0.10366622312486869</v>
      </c>
      <c r="AV42" s="81">
        <f>SUMIFS(FiancialTable[[#This Row],[Total]:[Other]],FiancialTable[[#Headers],[Total]:[Other]],LEFT(AV$4,LEN(AV$4)-4))/SUMIFS(ProductsCalcTable[#This Row],ProductsCalcTable[#Headers],"Volume")</f>
        <v>9.8593213810490937E-2</v>
      </c>
      <c r="AW42" s="81">
        <f>SUMIFS(FiancialTable[[#This Row],[Total]:[Other]],FiancialTable[[#Headers],[Total]:[Other]],LEFT(AW$4,LEN(AW$4)-4))/SUMIFS(ProductsCalcTable[#This Row],ProductsCalcTable[#Headers],"Volume")</f>
        <v>0.11701746560013643</v>
      </c>
    </row>
    <row r="43" spans="1:49" x14ac:dyDescent="0.3">
      <c r="A43" t="s">
        <v>15</v>
      </c>
      <c r="B43" s="3" t="s">
        <v>73</v>
      </c>
      <c r="C43" t="s">
        <v>11</v>
      </c>
      <c r="D43">
        <v>2020</v>
      </c>
      <c r="E43" s="20" cm="1">
        <f t="array" ref="E43">_xlfn.XLOOKUP(ProductsCalcTable[[#This Row],[Products]]&amp;ProductsCalcTable[[#This Row],[Year]],ProductRatesTable[Products]&amp;ProductRatesTable[Year],ProductRatesTable[Retail Price],"Not Found",0)</f>
        <v>8.4707279999999994</v>
      </c>
      <c r="F43" s="7" cm="1">
        <f t="array" ref="F43">_xlfn.XLOOKUP(ProductsCalcTable[[#This Row],[Products]]&amp;ProductsCalcTable[[#This Row],[Year]],ProductRatesTable[Products]&amp;ProductRatesTable[Year],ProductRatesTable[Share of Retail Costs],"Not Found",0)</f>
        <v>0.5</v>
      </c>
      <c r="G43" s="4">
        <f>SUMIFS(VolumesTable[Volume],VolumesTable[Products],$A43,VolumesTable[Year],ProductsCalcTable[[#This Row],[Year]])</f>
        <v>419200</v>
      </c>
      <c r="H43" s="18">
        <f>ProductsCalcTable[[#This Row],[Retail Price]]*ProductsCalcTable[[#This Row],[Volume]]</f>
        <v>3550929.1775999996</v>
      </c>
      <c r="I43" s="18">
        <f t="shared" si="10"/>
        <v>1819339.4931342003</v>
      </c>
      <c r="J43" s="27">
        <f>ProductsCalcTable[[#This Row],[Actual Costs]]/ProductsCalcTable[[#This Row],[Volume]]</f>
        <v>4.3400274168277679</v>
      </c>
      <c r="K43" s="27">
        <f>SUMIFS(ProductsCalcTable[Cost Per Unit],ProductsCalcTable[Products],$A43,ProductsCalcTable[Year],$D43-1)</f>
        <v>0</v>
      </c>
      <c r="M43" s="23">
        <f>INDEX(Costs!$F$5:$J$30,MATCH(M$4,Costs!$C$5:$C$30,0),MATCH($D43,Costs!$F$4:$J$4,0))</f>
        <v>120000</v>
      </c>
      <c r="N43" s="23">
        <f>INDEX(Costs!$F$5:$J$30,MATCH(N$4,Costs!$C$5:$C$30,0),MATCH($D43,Costs!$F$4:$J$4,0))</f>
        <v>70000</v>
      </c>
      <c r="O43" s="31"/>
      <c r="P43" s="55">
        <f t="shared" si="30"/>
        <v>6.7663416148652251</v>
      </c>
      <c r="Q43" s="51"/>
      <c r="R43" s="121" t="str">
        <f t="shared" si="13"/>
        <v>Helical Gears 8MM</v>
      </c>
      <c r="S43" s="122">
        <f t="shared" si="14"/>
        <v>2020</v>
      </c>
      <c r="T43"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0.34198183221516359</v>
      </c>
      <c r="U43"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6.9251321023570629</v>
      </c>
      <c r="V43" s="124">
        <f t="shared" si="15"/>
        <v>1819339.4931342003</v>
      </c>
      <c r="W43" s="124">
        <f>FiancialTable[[#This Row],[Mngmt FTEs]]*M43</f>
        <v>41037.819865819634</v>
      </c>
      <c r="X43" s="124">
        <f>FiancialTable[[#This Row],[Prod''n FTEs]]*N43</f>
        <v>484759.24716499442</v>
      </c>
      <c r="Y43" s="124">
        <f>SUMIFS(INDEX(Costs!$AA$15:$AC$29,0,MATCH($B43,Costs!$AA$4:$AC$4,0)),Costs!$A$15:$A$29,Y$4,Costs!$E$15:$E$29,$B43)*SUMIFS(Y:Y,$D:$D,($D43+1),$A:$A,$A43)/SUMIFS(Y:Y,$D:$D,($D43+1),$B:$B,$B43)</f>
        <v>247200.5813825824</v>
      </c>
      <c r="Z43"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21723.780324170279</v>
      </c>
      <c r="AA43" s="124">
        <f>SUMIFS(INDEX(Costs!$O$5:$AI$30,MATCH(AA$4,Costs!$A$5:$A$30,0),0),Costs!$O$2:$AI$2,$D43,Costs!$O$4:$AI$4,$B43)*SUMIFS(AA:AA,$D:$D,($D43+1),$A:$A,$A43)/SUMIFS(AA:AA,$D:$D,($D43+1),$B:$B,$B43)</f>
        <v>54629.962736482295</v>
      </c>
      <c r="AB43" s="124">
        <f>SUMIFS(ProductRatesTable[Materials CPU],ProductRatesTable[Year],$D43,ProductRatesTable[Products],$A43)*ProductsCalcTable[[#This Row],[Volume]]</f>
        <v>836147.22411727137</v>
      </c>
      <c r="AC43" s="124">
        <f>SUMIFS(INDEX(Costs!$F$5:$I$30,0,MATCH(ProductsCalcTable[[#This Row],[Year]],Costs!$F$4:$I$4,0)),Costs!$A$5:$A$30,AC$4,Costs!$E$5:$E$30,$B43)/SUMIFS(ProductsCalcTable[Volume],ProductsCalcTable[Year],ProductsCalcTable[[#This Row],[Year]],ProductsCalcTable[Department Name],ProductsCalcTable[[#This Row],[Department Name]])*ProductsCalcTable[[#This Row],[Volume]]</f>
        <v>43456.880733944956</v>
      </c>
      <c r="AD43" s="124">
        <f>SUMIFS(INDEX(Costs!$F$5:$I$30,0,MATCH(ProductsCalcTable[[#This Row],[Year]],Costs!$F$4:$I$4,0)),Costs!$A$5:$A$30,AD$4,Costs!$E$5:$E$30,$B43)/SUMIFS(ProductsCalcTable[Volume],ProductsCalcTable[Year],ProductsCalcTable[[#This Row],[Year]],ProductsCalcTable[Department Name],ProductsCalcTable[[#This Row],[Department Name]])*ProductsCalcTable[[#This Row],[Volume]]</f>
        <v>41330.275229357801</v>
      </c>
      <c r="AE43" s="124">
        <f>INDEX(Costs!$AF$15:$AH$29,MATCH(AE$4,Costs!$A$15:$A$29,0),MATCH($B43,Costs!$AF$4:$AH$4,0))/SUMIFS(ProductsCalcTable[Volume],ProductsCalcTable[Year],ProductsCalcTable[[#This Row],[Year]],ProductsCalcTable[Department Name],ProductsCalcTable[[#This Row],[Department Name]])*ProductsCalcTable[[#This Row],[Volume]]</f>
        <v>49053.721579577199</v>
      </c>
      <c r="AK43" s="80">
        <f>SUMIFS(ProductsCalcTable[#This Row],ProductsCalcTable[#Headers],"Cost Per Unit")-AL43</f>
        <v>0</v>
      </c>
      <c r="AL43" s="80">
        <f t="shared" si="16"/>
        <v>4.3400274168277679</v>
      </c>
      <c r="AM43" s="81">
        <f>SUMIFS(FiancialTable[[#This Row],[Total]:[Other]],FiancialTable[[#Headers],[Total]:[Other]],LEFT(AM$4,LEN(AM$4)-4))/SUMIFS(ProductsCalcTable[#This Row],ProductsCalcTable[#Headers],"Volume")</f>
        <v>9.7895562657012491E-2</v>
      </c>
      <c r="AN43" s="81">
        <f>SUMIFS(FiancialTable[[#This Row],[Total]:[Other]],FiancialTable[[#Headers],[Total]:[Other]],LEFT(AN$4,LEN(AN$4)-4))/SUMIFS(ProductsCalcTable[#This Row],ProductsCalcTable[#Headers],"Volume")</f>
        <v>1.1563913338859599</v>
      </c>
      <c r="AO43" s="85">
        <f t="shared" si="17"/>
        <v>1.2542868965429723</v>
      </c>
      <c r="AP43" s="81">
        <f>SUMIFS(FiancialTable[[#This Row],[Total]:[Other]],FiancialTable[[#Headers],[Total]:[Other]],LEFT(AP$4,LEN(AP$4)-4))/SUMIFS(ProductsCalcTable[#This Row],ProductsCalcTable[#Headers],"Volume")</f>
        <v>0.58969604337448089</v>
      </c>
      <c r="AQ43" s="81">
        <f>SUMIFS(FiancialTable[[#This Row],[Total]:[Other]],FiancialTable[[#Headers],[Total]:[Other]],LEFT(AQ$4,LEN(AQ$4)-4))/SUMIFS(ProductsCalcTable[#This Row],ProductsCalcTable[#Headers],"Volume")</f>
        <v>5.1821995048116125E-2</v>
      </c>
      <c r="AR43" s="85">
        <f t="shared" si="18"/>
        <v>0.64151803842259703</v>
      </c>
      <c r="AS43" s="81">
        <f>SUMIFS(FiancialTable[[#This Row],[Total]:[Other]],FiancialTable[[#Headers],[Total]:[Other]],LEFT(AS$4,LEN(AS$4)-4))/SUMIFS(ProductsCalcTable[#This Row],ProductsCalcTable[#Headers],"Volume")</f>
        <v>0.13031956759657037</v>
      </c>
      <c r="AT43" s="81">
        <f>SUMIFS(FiancialTable[[#This Row],[Total]:[Other]],FiancialTable[[#Headers],[Total]:[Other]],LEFT(AT$4,LEN(AT$4)-4))/SUMIFS(ProductsCalcTable[#This Row],ProductsCalcTable[#Headers],"Volume")</f>
        <v>1.994626011730132</v>
      </c>
      <c r="AU43" s="81">
        <f>SUMIFS(FiancialTable[[#This Row],[Total]:[Other]],FiancialTable[[#Headers],[Total]:[Other]],LEFT(AU$4,LEN(AU$4)-4))/SUMIFS(ProductsCalcTable[#This Row],ProductsCalcTable[#Headers],"Volume")</f>
        <v>0.10366622312486869</v>
      </c>
      <c r="AV43" s="81">
        <f>SUMIFS(FiancialTable[[#This Row],[Total]:[Other]],FiancialTable[[#Headers],[Total]:[Other]],LEFT(AV$4,LEN(AV$4)-4))/SUMIFS(ProductsCalcTable[#This Row],ProductsCalcTable[#Headers],"Volume")</f>
        <v>9.8593213810490937E-2</v>
      </c>
      <c r="AW43" s="81">
        <f>SUMIFS(FiancialTable[[#This Row],[Total]:[Other]],FiancialTable[[#Headers],[Total]:[Other]],LEFT(AW$4,LEN(AW$4)-4))/SUMIFS(ProductsCalcTable[#This Row],ProductsCalcTable[#Headers],"Volume")</f>
        <v>0.11701746560013644</v>
      </c>
    </row>
    <row r="44" spans="1:49" x14ac:dyDescent="0.3">
      <c r="A44" t="s">
        <v>13</v>
      </c>
      <c r="B44" s="3" t="s">
        <v>73</v>
      </c>
      <c r="C44" t="s">
        <v>11</v>
      </c>
      <c r="D44">
        <v>2020</v>
      </c>
      <c r="E44" s="20" cm="1">
        <f t="array" ref="E44">_xlfn.XLOOKUP(ProductsCalcTable[[#This Row],[Products]]&amp;ProductsCalcTable[[#This Row],[Year]],ProductRatesTable[Products]&amp;ProductRatesTable[Year],ProductRatesTable[Retail Price],"Not Found",0)</f>
        <v>9.882515999999999</v>
      </c>
      <c r="F44" s="7" cm="1">
        <f t="array" ref="F44">_xlfn.XLOOKUP(ProductsCalcTable[[#This Row],[Products]]&amp;ProductsCalcTable[[#This Row],[Year]],ProductRatesTable[Products]&amp;ProductRatesTable[Year],ProductRatesTable[Share of Retail Costs],"Not Found",0)</f>
        <v>0.5</v>
      </c>
      <c r="G44" s="4">
        <f>SUMIFS(VolumesTable[Volume],VolumesTable[Products],$A44,VolumesTable[Year],ProductsCalcTable[[#This Row],[Year]])</f>
        <v>234490</v>
      </c>
      <c r="H44" s="18">
        <f>ProductsCalcTable[[#This Row],[Retail Price]]*ProductsCalcTable[[#This Row],[Volume]]</f>
        <v>2317351.1768399999</v>
      </c>
      <c r="I44" s="18">
        <f t="shared" si="10"/>
        <v>1178196.4024451191</v>
      </c>
      <c r="J44" s="27">
        <f>ProductsCalcTable[[#This Row],[Actual Costs]]/ProductsCalcTable[[#This Row],[Volume]]</f>
        <v>5.0245059595083763</v>
      </c>
      <c r="K44" s="27">
        <f>SUMIFS(ProductsCalcTable[Cost Per Unit],ProductsCalcTable[Products],$A44,ProductsCalcTable[Year],$D44-1)</f>
        <v>0</v>
      </c>
      <c r="M44" s="23">
        <f>INDEX(Costs!$F$5:$J$30,MATCH(M$4,Costs!$C$5:$C$30,0),MATCH($D44,Costs!$F$4:$J$4,0))</f>
        <v>120000</v>
      </c>
      <c r="N44" s="23">
        <f>INDEX(Costs!$F$5:$J$30,MATCH(N$4,Costs!$C$5:$C$30,0),MATCH($D44,Costs!$F$4:$J$4,0))</f>
        <v>70000</v>
      </c>
      <c r="O44" s="31"/>
      <c r="P44" s="55">
        <f t="shared" si="30"/>
        <v>4.4157427309511075</v>
      </c>
      <c r="Q44" s="51"/>
      <c r="R44" s="121" t="str">
        <f t="shared" si="13"/>
        <v>Bevel Gears</v>
      </c>
      <c r="S44" s="122">
        <f t="shared" si="14"/>
        <v>2020</v>
      </c>
      <c r="T44"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0.22317876862791661</v>
      </c>
      <c r="U44"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4.5193700647153117</v>
      </c>
      <c r="V44" s="124">
        <f t="shared" si="15"/>
        <v>1178196.4024451191</v>
      </c>
      <c r="W44" s="124">
        <f>FiancialTable[[#This Row],[Mngmt FTEs]]*M44</f>
        <v>26781.452235349992</v>
      </c>
      <c r="X44" s="124">
        <f>FiancialTable[[#This Row],[Prod''n FTEs]]*N44</f>
        <v>316355.90453007183</v>
      </c>
      <c r="Y44" s="124">
        <f>SUMIFS(INDEX(Costs!$AA$15:$AC$29,0,MATCH($B44,Costs!$AA$4:$AC$4,0)),Costs!$A$15:$A$29,Y$4,Costs!$E$15:$E$29,$B44)*SUMIFS(Y:Y,$D:$D,($D44+1),$A:$A,$A44)/SUMIFS(Y:Y,$D:$D,($D44+1),$B:$B,$B44)</f>
        <v>164080.68744167115</v>
      </c>
      <c r="Z44"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14177.029555304873</v>
      </c>
      <c r="AA44" s="124">
        <f>SUMIFS(INDEX(Costs!$O$5:$AI$30,MATCH(AA$4,Costs!$A$5:$A$30,0),0),Costs!$O$2:$AI$2,$D44,Costs!$O$4:$AI$4,$B44)*SUMIFS(AA:AA,$D:$D,($D44+1),$A:$A,$A44)/SUMIFS(AA:AA,$D:$D,($D44+1),$B:$B,$B44)</f>
        <v>36260.925401474284</v>
      </c>
      <c r="AB44" s="124">
        <f>SUMIFS(ProductRatesTable[Materials CPU],ProductRatesTable[Year],$D44,ProductRatesTable[Products],$A44)*ProductsCalcTable[[#This Row],[Volume]]</f>
        <v>545673.16240569844</v>
      </c>
      <c r="AC44" s="124">
        <f>SUMIFS(INDEX(Costs!$F$5:$I$30,0,MATCH(ProductsCalcTable[[#This Row],[Year]],Costs!$F$4:$I$4,0)),Costs!$A$5:$A$30,AC$4,Costs!$E$5:$E$30,$B44)/SUMIFS(ProductsCalcTable[Volume],ProductsCalcTable[Year],ProductsCalcTable[[#This Row],[Year]],ProductsCalcTable[Department Name],ProductsCalcTable[[#This Row],[Department Name]])*ProductsCalcTable[[#This Row],[Volume]]</f>
        <v>24308.69266055046</v>
      </c>
      <c r="AD44" s="124">
        <f>SUMIFS(INDEX(Costs!$F$5:$I$30,0,MATCH(ProductsCalcTable[[#This Row],[Year]],Costs!$F$4:$I$4,0)),Costs!$A$5:$A$30,AD$4,Costs!$E$5:$E$30,$B44)/SUMIFS(ProductsCalcTable[Volume],ProductsCalcTable[Year],ProductsCalcTable[[#This Row],[Year]],ProductsCalcTable[Department Name],ProductsCalcTable[[#This Row],[Department Name]])*ProductsCalcTable[[#This Row],[Volume]]</f>
        <v>23119.122706422018</v>
      </c>
      <c r="AE44" s="124">
        <f>INDEX(Costs!$AF$15:$AH$29,MATCH(AE$4,Costs!$A$15:$A$29,0),MATCH($B44,Costs!$AF$4:$AH$4,0))/SUMIFS(ProductsCalcTable[Volume],ProductsCalcTable[Year],ProductsCalcTable[[#This Row],[Year]],ProductsCalcTable[Department Name],ProductsCalcTable[[#This Row],[Department Name]])*ProductsCalcTable[[#This Row],[Volume]]</f>
        <v>27439.425508575994</v>
      </c>
      <c r="AK44" s="80">
        <f>SUMIFS(ProductsCalcTable[#This Row],ProductsCalcTable[#Headers],"Cost Per Unit")-AL44</f>
        <v>0</v>
      </c>
      <c r="AL44" s="80">
        <f t="shared" si="16"/>
        <v>5.0245059595083763</v>
      </c>
      <c r="AM44" s="81">
        <f>SUMIFS(FiancialTable[[#This Row],[Total]:[Other]],FiancialTable[[#Headers],[Total]:[Other]],LEFT(AM$4,LEN(AM$4)-4))/SUMIFS(ProductsCalcTable[#This Row],ProductsCalcTable[#Headers],"Volume")</f>
        <v>0.11421148976651453</v>
      </c>
      <c r="AN44" s="81">
        <f>SUMIFS(FiancialTable[[#This Row],[Total]:[Other]],FiancialTable[[#Headers],[Total]:[Other]],LEFT(AN$4,LEN(AN$4)-4))/SUMIFS(ProductsCalcTable[#This Row],ProductsCalcTable[#Headers],"Volume")</f>
        <v>1.3491232228669532</v>
      </c>
      <c r="AO44" s="85">
        <f t="shared" si="17"/>
        <v>1.4633347126334677</v>
      </c>
      <c r="AP44" s="81">
        <f>SUMIFS(FiancialTable[[#This Row],[Total]:[Other]],FiancialTable[[#Headers],[Total]:[Other]],LEFT(AP$4,LEN(AP$4)-4))/SUMIFS(ProductsCalcTable[#This Row],ProductsCalcTable[#Headers],"Volume")</f>
        <v>0.69973426347251977</v>
      </c>
      <c r="AQ44" s="81">
        <f>SUMIFS(FiancialTable[[#This Row],[Total]:[Other]],FiancialTable[[#Headers],[Total]:[Other]],LEFT(AQ$4,LEN(AQ$4)-4))/SUMIFS(ProductsCalcTable[#This Row],ProductsCalcTable[#Headers],"Volume")</f>
        <v>6.0458994222802133E-2</v>
      </c>
      <c r="AR44" s="85">
        <f t="shared" si="18"/>
        <v>0.76019325769532187</v>
      </c>
      <c r="AS44" s="81">
        <f>SUMIFS(FiancialTable[[#This Row],[Total]:[Other]],FiancialTable[[#Headers],[Total]:[Other]],LEFT(AS$4,LEN(AS$4)-4))/SUMIFS(ProductsCalcTable[#This Row],ProductsCalcTable[#Headers],"Volume")</f>
        <v>0.15463740629226955</v>
      </c>
      <c r="AT44" s="81">
        <f>SUMIFS(FiancialTable[[#This Row],[Total]:[Other]],FiancialTable[[#Headers],[Total]:[Other]],LEFT(AT$4,LEN(AT$4)-4))/SUMIFS(ProductsCalcTable[#This Row],ProductsCalcTable[#Headers],"Volume")</f>
        <v>2.3270636803518205</v>
      </c>
      <c r="AU44" s="81">
        <f>SUMIFS(FiancialTable[[#This Row],[Total]:[Other]],FiancialTable[[#Headers],[Total]:[Other]],LEFT(AU$4,LEN(AU$4)-4))/SUMIFS(ProductsCalcTable[#This Row],ProductsCalcTable[#Headers],"Volume")</f>
        <v>0.10366622312486869</v>
      </c>
      <c r="AV44" s="81">
        <f>SUMIFS(FiancialTable[[#This Row],[Total]:[Other]],FiancialTable[[#Headers],[Total]:[Other]],LEFT(AV$4,LEN(AV$4)-4))/SUMIFS(ProductsCalcTable[#This Row],ProductsCalcTable[#Headers],"Volume")</f>
        <v>9.8593213810490937E-2</v>
      </c>
      <c r="AW44" s="81">
        <f>SUMIFS(FiancialTable[[#This Row],[Total]:[Other]],FiancialTable[[#Headers],[Total]:[Other]],LEFT(AW$4,LEN(AW$4)-4))/SUMIFS(ProductsCalcTable[#This Row],ProductsCalcTable[#Headers],"Volume")</f>
        <v>0.11701746560013644</v>
      </c>
    </row>
    <row r="45" spans="1:49" x14ac:dyDescent="0.3">
      <c r="A45" t="s">
        <v>14</v>
      </c>
      <c r="B45" s="3" t="s">
        <v>73</v>
      </c>
      <c r="C45" t="s">
        <v>11</v>
      </c>
      <c r="D45">
        <v>2020</v>
      </c>
      <c r="E45" s="20" cm="1">
        <f t="array" ref="E45">_xlfn.XLOOKUP(ProductsCalcTable[[#This Row],[Products]]&amp;ProductsCalcTable[[#This Row],[Year]],ProductRatesTable[Products]&amp;ProductRatesTable[Year],ProductRatesTable[Retail Price],"Not Found",0)</f>
        <v>11.294303999999999</v>
      </c>
      <c r="F45" s="7" cm="1">
        <f t="array" ref="F45">_xlfn.XLOOKUP(ProductsCalcTable[[#This Row],[Products]]&amp;ProductsCalcTable[[#This Row],[Year]],ProductRatesTable[Products]&amp;ProductRatesTable[Year],ProductRatesTable[Share of Retail Costs],"Not Found",0)</f>
        <v>0.5</v>
      </c>
      <c r="G45" s="4">
        <f>SUMIFS(VolumesTable[Volume],VolumesTable[Products],$A45,VolumesTable[Year],ProductsCalcTable[[#This Row],[Year]])</f>
        <v>200430</v>
      </c>
      <c r="H45" s="18">
        <f>ProductsCalcTable[[#This Row],[Retail Price]]*ProductsCalcTable[[#This Row],[Volume]]</f>
        <v>2263717.3507199995</v>
      </c>
      <c r="I45" s="18">
        <f t="shared" si="10"/>
        <v>1133875.7904492693</v>
      </c>
      <c r="J45" s="27">
        <f>ProductsCalcTable[[#This Row],[Actual Costs]]/ProductsCalcTable[[#This Row],[Volume]]</f>
        <v>5.6572159379796902</v>
      </c>
      <c r="K45" s="27">
        <f>SUMIFS(ProductsCalcTable[Cost Per Unit],ProductsCalcTable[Products],$A45,ProductsCalcTable[Year],$D45-1)</f>
        <v>0</v>
      </c>
      <c r="M45" s="23">
        <f>INDEX(Costs!$F$5:$J$30,MATCH(M$4,Costs!$C$5:$C$30,0),MATCH($D45,Costs!$F$4:$J$4,0))</f>
        <v>120000</v>
      </c>
      <c r="N45" s="23">
        <f>INDEX(Costs!$F$5:$J$30,MATCH(N$4,Costs!$C$5:$C$30,0),MATCH($D45,Costs!$F$4:$J$4,0))</f>
        <v>70000</v>
      </c>
      <c r="O45" s="31"/>
      <c r="P45" s="55">
        <f t="shared" si="30"/>
        <v>4.3135427794765802</v>
      </c>
      <c r="Q45" s="51"/>
      <c r="R45" s="121" t="str">
        <f t="shared" si="13"/>
        <v>Worm Gears 2mm Hole 6mmx8mm</v>
      </c>
      <c r="S45" s="122">
        <f t="shared" si="14"/>
        <v>2020</v>
      </c>
      <c r="T45"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0.21801341803716676</v>
      </c>
      <c r="U45"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4.4147717152526269</v>
      </c>
      <c r="V45" s="124">
        <f t="shared" si="15"/>
        <v>1133875.7904492693</v>
      </c>
      <c r="W45" s="124">
        <f>FiancialTable[[#This Row],[Mngmt FTEs]]*M45</f>
        <v>26161.610164460009</v>
      </c>
      <c r="X45" s="124">
        <f>FiancialTable[[#This Row],[Prod''n FTEs]]*N45</f>
        <v>309034.02006768389</v>
      </c>
      <c r="Y45" s="124">
        <f>SUMIFS(INDEX(Costs!$AA$15:$AC$29,0,MATCH($B45,Costs!$AA$4:$AC$4,0)),Costs!$A$15:$A$29,Y$4,Costs!$E$15:$E$29,$B45)*SUMIFS(Y:Y,$D:$D,($D45+1),$A:$A,$A45)/SUMIFS(Y:Y,$D:$D,($D45+1),$B:$B,$B45)</f>
        <v>153804.72977920147</v>
      </c>
      <c r="Z45"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13848.90995665855</v>
      </c>
      <c r="AA45" s="124">
        <f>SUMIFS(INDEX(Costs!$O$5:$AI$30,MATCH(AA$4,Costs!$A$5:$A$30,0),0),Costs!$O$2:$AI$2,$D45,Costs!$O$4:$AI$4,$B45)*SUMIFS(AA:AA,$D:$D,($D45+1),$A:$A,$A45)/SUMIFS(AA:AA,$D:$D,($D45+1),$B:$B,$B45)</f>
        <v>33989.995531315239</v>
      </c>
      <c r="AB45" s="124">
        <f>SUMIFS(ProductRatesTable[Materials CPU],ProductRatesTable[Year],$D45,ProductRatesTable[Products],$A45)*ProductsCalcTable[[#This Row],[Volume]]</f>
        <v>533043.85537476058</v>
      </c>
      <c r="AC45" s="124">
        <f>SUMIFS(INDEX(Costs!$F$5:$I$30,0,MATCH(ProductsCalcTable[[#This Row],[Year]],Costs!$F$4:$I$4,0)),Costs!$A$5:$A$30,AC$4,Costs!$E$5:$E$30,$B45)/SUMIFS(ProductsCalcTable[Volume],ProductsCalcTable[Year],ProductsCalcTable[[#This Row],[Year]],ProductsCalcTable[Department Name],ProductsCalcTable[[#This Row],[Department Name]])*ProductsCalcTable[[#This Row],[Volume]]</f>
        <v>20777.82110091743</v>
      </c>
      <c r="AD45" s="124">
        <f>SUMIFS(INDEX(Costs!$F$5:$I$30,0,MATCH(ProductsCalcTable[[#This Row],[Year]],Costs!$F$4:$I$4,0)),Costs!$A$5:$A$30,AD$4,Costs!$E$5:$E$30,$B45)/SUMIFS(ProductsCalcTable[Volume],ProductsCalcTable[Year],ProductsCalcTable[[#This Row],[Year]],ProductsCalcTable[Department Name],ProductsCalcTable[[#This Row],[Department Name]])*ProductsCalcTable[[#This Row],[Volume]]</f>
        <v>19761.037844036699</v>
      </c>
      <c r="AE45" s="124">
        <f>INDEX(Costs!$AF$15:$AH$29,MATCH(AE$4,Costs!$A$15:$A$29,0),MATCH($B45,Costs!$AF$4:$AH$4,0))/SUMIFS(ProductsCalcTable[Volume],ProductsCalcTable[Year],ProductsCalcTable[[#This Row],[Year]],ProductsCalcTable[Department Name],ProductsCalcTable[[#This Row],[Department Name]])*ProductsCalcTable[[#This Row],[Volume]]</f>
        <v>23453.810630235348</v>
      </c>
      <c r="AK45" s="80">
        <f>SUMIFS(ProductsCalcTable[#This Row],ProductsCalcTable[#Headers],"Cost Per Unit")-AL45</f>
        <v>0</v>
      </c>
      <c r="AL45" s="80">
        <f t="shared" si="16"/>
        <v>5.6572159379796902</v>
      </c>
      <c r="AM45" s="81">
        <f>SUMIFS(FiancialTable[[#This Row],[Total]:[Other]],FiancialTable[[#Headers],[Total]:[Other]],LEFT(AM$4,LEN(AM$4)-4))/SUMIFS(ProductsCalcTable[#This Row],ProductsCalcTable[#Headers],"Volume")</f>
        <v>0.1305274168760166</v>
      </c>
      <c r="AN45" s="81">
        <f>SUMIFS(FiancialTable[[#This Row],[Total]:[Other]],FiancialTable[[#Headers],[Total]:[Other]],LEFT(AN$4,LEN(AN$4)-4))/SUMIFS(ProductsCalcTable[#This Row],ProductsCalcTable[#Headers],"Volume")</f>
        <v>1.5418551118479464</v>
      </c>
      <c r="AO45" s="85">
        <f t="shared" si="17"/>
        <v>1.6723825287239631</v>
      </c>
      <c r="AP45" s="81">
        <f>SUMIFS(FiancialTable[[#This Row],[Total]:[Other]],FiancialTable[[#Headers],[Total]:[Other]],LEFT(AP$4,LEN(AP$4)-4))/SUMIFS(ProductsCalcTable[#This Row],ProductsCalcTable[#Headers],"Volume")</f>
        <v>0.76737379523624938</v>
      </c>
      <c r="AQ45" s="81">
        <f>SUMIFS(FiancialTable[[#This Row],[Total]:[Other]],FiancialTable[[#Headers],[Total]:[Other]],LEFT(AQ$4,LEN(AQ$4)-4))/SUMIFS(ProductsCalcTable[#This Row],ProductsCalcTable[#Headers],"Volume")</f>
        <v>6.9095993397488148E-2</v>
      </c>
      <c r="AR45" s="85">
        <f t="shared" si="18"/>
        <v>0.83646978863373755</v>
      </c>
      <c r="AS45" s="81">
        <f>SUMIFS(FiancialTable[[#This Row],[Total]:[Other]],FiancialTable[[#Headers],[Total]:[Other]],LEFT(AS$4,LEN(AS$4)-4))/SUMIFS(ProductsCalcTable[#This Row],ProductsCalcTable[#Headers],"Volume")</f>
        <v>0.16958536911298328</v>
      </c>
      <c r="AT45" s="81">
        <f>SUMIFS(FiancialTable[[#This Row],[Total]:[Other]],FiancialTable[[#Headers],[Total]:[Other]],LEFT(AT$4,LEN(AT$4)-4))/SUMIFS(ProductsCalcTable[#This Row],ProductsCalcTable[#Headers],"Volume")</f>
        <v>2.6595013489735098</v>
      </c>
      <c r="AU45" s="81">
        <f>SUMIFS(FiancialTable[[#This Row],[Total]:[Other]],FiancialTable[[#Headers],[Total]:[Other]],LEFT(AU$4,LEN(AU$4)-4))/SUMIFS(ProductsCalcTable[#This Row],ProductsCalcTable[#Headers],"Volume")</f>
        <v>0.10366622312486869</v>
      </c>
      <c r="AV45" s="81">
        <f>SUMIFS(FiancialTable[[#This Row],[Total]:[Other]],FiancialTable[[#Headers],[Total]:[Other]],LEFT(AV$4,LEN(AV$4)-4))/SUMIFS(ProductsCalcTable[#This Row],ProductsCalcTable[#Headers],"Volume")</f>
        <v>9.8593213810490937E-2</v>
      </c>
      <c r="AW45" s="81">
        <f>SUMIFS(FiancialTable[[#This Row],[Total]:[Other]],FiancialTable[[#Headers],[Total]:[Other]],LEFT(AW$4,LEN(AW$4)-4))/SUMIFS(ProductsCalcTable[#This Row],ProductsCalcTable[#Headers],"Volume")</f>
        <v>0.11701746560013644</v>
      </c>
    </row>
    <row r="46" spans="1:49" x14ac:dyDescent="0.3">
      <c r="A46" t="s">
        <v>17</v>
      </c>
      <c r="B46" s="3" t="s">
        <v>21</v>
      </c>
      <c r="C46" t="s">
        <v>12</v>
      </c>
      <c r="D46">
        <v>2020</v>
      </c>
      <c r="E46" s="20" cm="1">
        <f t="array" ref="E46">_xlfn.XLOOKUP(ProductsCalcTable[[#This Row],[Products]]&amp;ProductsCalcTable[[#This Row],[Year]],ProductRatesTable[Products]&amp;ProductRatesTable[Year],ProductRatesTable[Retail Price],"Not Found",0)</f>
        <v>20.706223999999999</v>
      </c>
      <c r="F46" s="7" cm="1">
        <f t="array" ref="F46">_xlfn.XLOOKUP(ProductsCalcTable[[#This Row],[Products]]&amp;ProductsCalcTable[[#This Row],[Year]],ProductRatesTable[Products]&amp;ProductRatesTable[Year],ProductRatesTable[Share of Retail Costs],"Not Found",0)</f>
        <v>0.5</v>
      </c>
      <c r="G46" s="4">
        <f>SUMIFS(VolumesTable[Volume],VolumesTable[Products],$A46,VolumesTable[Year],ProductsCalcTable[[#This Row],[Year]])</f>
        <v>239730</v>
      </c>
      <c r="H46" s="18">
        <f>ProductsCalcTable[[#This Row],[Retail Price]]*ProductsCalcTable[[#This Row],[Volume]]</f>
        <v>4963903.0795200001</v>
      </c>
      <c r="I46" s="18">
        <f t="shared" si="10"/>
        <v>2655116.7938056746</v>
      </c>
      <c r="J46" s="27">
        <f>ProductsCalcTable[[#This Row],[Actual Costs]]/ProductsCalcTable[[#This Row],[Volume]]</f>
        <v>11.075446518189942</v>
      </c>
      <c r="K46" s="27">
        <f>SUMIFS(ProductsCalcTable[Cost Per Unit],ProductsCalcTable[Products],$A46,ProductsCalcTable[Year],$D46-1)</f>
        <v>0</v>
      </c>
      <c r="M46" s="23">
        <f>INDEX(Costs!$F$5:$J$30,MATCH(M$4,Costs!$C$5:$C$30,0),MATCH($D46,Costs!$F$4:$J$4,0))</f>
        <v>120000</v>
      </c>
      <c r="N46" s="23">
        <f>INDEX(Costs!$F$5:$J$30,MATCH(N$4,Costs!$C$5:$C$30,0),MATCH($D46,Costs!$F$4:$J$4,0))</f>
        <v>70000</v>
      </c>
      <c r="O46" s="32"/>
      <c r="P46" s="55">
        <f t="shared" si="30"/>
        <v>9.7854118988842398</v>
      </c>
      <c r="Q46" s="51"/>
      <c r="R46" s="121" t="str">
        <f t="shared" si="13"/>
        <v>60-Tooth Saw blade</v>
      </c>
      <c r="S46" s="122">
        <f t="shared" si="14"/>
        <v>2020</v>
      </c>
      <c r="T46"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0.52013583847034051</v>
      </c>
      <c r="U46"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9.9568860507179462</v>
      </c>
      <c r="V46" s="124">
        <f t="shared" si="15"/>
        <v>2655116.7938056746</v>
      </c>
      <c r="W46" s="124">
        <f>FiancialTable[[#This Row],[Mngmt FTEs]]*M46</f>
        <v>62416.300616440858</v>
      </c>
      <c r="X46" s="124">
        <f>FiancialTable[[#This Row],[Prod''n FTEs]]*N46</f>
        <v>696982.02355025627</v>
      </c>
      <c r="Y46" s="124">
        <f>SUMIFS(INDEX(Costs!$AA$15:$AC$29,0,MATCH($B46,Costs!$AA$4:$AC$4,0)),Costs!$A$15:$A$29,Y$4,Costs!$E$15:$E$29,$B46)*SUMIFS(Y:Y,$D:$D,($D46+1),$A:$A,$A46)/SUMIFS(Y:Y,$D:$D,($D46+1),$B:$B,$B46)</f>
        <v>289343.28679392504</v>
      </c>
      <c r="Z46"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30378.072954117586</v>
      </c>
      <c r="AA46" s="124">
        <f>SUMIFS(INDEX(Costs!$O$5:$AI$30,MATCH(AA$4,Costs!$A$5:$A$30,0),0),Costs!$O$2:$AI$2,$D46,Costs!$O$4:$AI$4,$B46)*SUMIFS(AA:AA,$D:$D,($D46+1),$A:$A,$A46)/SUMIFS(AA:AA,$D:$D,($D46+1),$B:$B,$B46)</f>
        <v>72047.631173786111</v>
      </c>
      <c r="AB46" s="124">
        <f>SUMIFS(ProductRatesTable[Materials CPU],ProductRatesTable[Year],$D46,ProductRatesTable[Products],$A46)*ProductsCalcTable[[#This Row],[Volume]]</f>
        <v>1151418.4069420861</v>
      </c>
      <c r="AC46" s="124">
        <f>SUMIFS(INDEX(Costs!$F$5:$I$30,0,MATCH(ProductsCalcTable[[#This Row],[Year]],Costs!$F$4:$I$4,0)),Costs!$A$5:$A$30,AC$4,Costs!$E$5:$E$30,$B46)/SUMIFS(ProductsCalcTable[Volume],ProductsCalcTable[Year],ProductsCalcTable[[#This Row],[Year]],ProductsCalcTable[Department Name],ProductsCalcTable[[#This Row],[Department Name]])*ProductsCalcTable[[#This Row],[Volume]]</f>
        <v>49777.890495867767</v>
      </c>
      <c r="AD46" s="124">
        <f>SUMIFS(INDEX(Costs!$F$5:$I$30,0,MATCH(ProductsCalcTable[[#This Row],[Year]],Costs!$F$4:$I$4,0)),Costs!$A$5:$A$30,AD$4,Costs!$E$5:$E$30,$B46)/SUMIFS(ProductsCalcTable[Volume],ProductsCalcTable[Year],ProductsCalcTable[[#This Row],[Year]],ProductsCalcTable[Department Name],ProductsCalcTable[[#This Row],[Department Name]])*ProductsCalcTable[[#This Row],[Volume]]</f>
        <v>141276.75619834711</v>
      </c>
      <c r="AE46" s="124">
        <f>INDEX(Costs!$AF$15:$AH$29,MATCH(AE$4,Costs!$A$15:$A$29,0),MATCH($B46,Costs!$AF$4:$AH$4,0))/SUMIFS(ProductsCalcTable[Volume],ProductsCalcTable[Year],ProductsCalcTable[[#This Row],[Year]],ProductsCalcTable[Department Name],ProductsCalcTable[[#This Row],[Department Name]])*ProductsCalcTable[[#This Row],[Volume]]</f>
        <v>161476.42508084801</v>
      </c>
      <c r="AK46" s="80">
        <f>SUMIFS(ProductsCalcTable[#This Row],ProductsCalcTable[#Headers],"Cost Per Unit")-AL46</f>
        <v>0</v>
      </c>
      <c r="AL46" s="80">
        <f t="shared" si="16"/>
        <v>11.075446518189942</v>
      </c>
      <c r="AM46" s="81">
        <f>SUMIFS(FiancialTable[[#This Row],[Total]:[Other]],FiancialTable[[#Headers],[Total]:[Other]],LEFT(AM$4,LEN(AM$4)-4))/SUMIFS(ProductsCalcTable[#This Row],ProductsCalcTable[#Headers],"Volume")</f>
        <v>0.26036082516347914</v>
      </c>
      <c r="AN46" s="81">
        <f>SUMIFS(FiancialTable[[#This Row],[Total]:[Other]],FiancialTable[[#Headers],[Total]:[Other]],LEFT(AN$4,LEN(AN$4)-4))/SUMIFS(ProductsCalcTable[#This Row],ProductsCalcTable[#Headers],"Volume")</f>
        <v>2.9073625476588507</v>
      </c>
      <c r="AO46" s="85">
        <f t="shared" si="17"/>
        <v>3.16772337282233</v>
      </c>
      <c r="AP46" s="81">
        <f>SUMIFS(FiancialTable[[#This Row],[Total]:[Other]],FiancialTable[[#Headers],[Total]:[Other]],LEFT(AP$4,LEN(AP$4)-4))/SUMIFS(ProductsCalcTable[#This Row],ProductsCalcTable[#Headers],"Volume")</f>
        <v>1.2069548525171028</v>
      </c>
      <c r="AQ46" s="81">
        <f>SUMIFS(FiancialTable[[#This Row],[Total]:[Other]],FiancialTable[[#Headers],[Total]:[Other]],LEFT(AQ$4,LEN(AQ$4)-4))/SUMIFS(ProductsCalcTable[#This Row],ProductsCalcTable[#Headers],"Volume")</f>
        <v>0.12671786156975592</v>
      </c>
      <c r="AR46" s="85">
        <f t="shared" si="18"/>
        <v>1.3336727140868587</v>
      </c>
      <c r="AS46" s="81">
        <f>SUMIFS(FiancialTable[[#This Row],[Total]:[Other]],FiancialTable[[#Headers],[Total]:[Other]],LEFT(AS$4,LEN(AS$4)-4))/SUMIFS(ProductsCalcTable[#This Row],ProductsCalcTable[#Headers],"Volume")</f>
        <v>0.30053656686182834</v>
      </c>
      <c r="AT46" s="81">
        <f>SUMIFS(FiancialTable[[#This Row],[Total]:[Other]],FiancialTable[[#Headers],[Total]:[Other]],LEFT(AT$4,LEN(AT$4)-4))/SUMIFS(ProductsCalcTable[#This Row],ProductsCalcTable[#Headers],"Volume")</f>
        <v>4.80298004814619</v>
      </c>
      <c r="AU46" s="81">
        <f>SUMIFS(FiancialTable[[#This Row],[Total]:[Other]],FiancialTable[[#Headers],[Total]:[Other]],LEFT(AU$4,LEN(AU$4)-4))/SUMIFS(ProductsCalcTable[#This Row],ProductsCalcTable[#Headers],"Volume")</f>
        <v>0.20764147372405525</v>
      </c>
      <c r="AV46" s="81">
        <f>SUMIFS(FiancialTable[[#This Row],[Total]:[Other]],FiancialTable[[#Headers],[Total]:[Other]],LEFT(AV$4,LEN(AV$4)-4))/SUMIFS(ProductsCalcTable[#This Row],ProductsCalcTable[#Headers],"Volume")</f>
        <v>0.58931613147435491</v>
      </c>
      <c r="AW46" s="81">
        <f>SUMIFS(FiancialTable[[#This Row],[Total]:[Other]],FiancialTable[[#Headers],[Total]:[Other]],LEFT(AW$4,LEN(AW$4)-4))/SUMIFS(ProductsCalcTable[#This Row],ProductsCalcTable[#Headers],"Volume")</f>
        <v>0.6735762110743253</v>
      </c>
    </row>
    <row r="47" spans="1:49" x14ac:dyDescent="0.3">
      <c r="A47" t="s">
        <v>19</v>
      </c>
      <c r="B47" s="3" t="s">
        <v>21</v>
      </c>
      <c r="C47" t="s">
        <v>12</v>
      </c>
      <c r="D47">
        <v>2020</v>
      </c>
      <c r="E47" s="20" cm="1">
        <f t="array" ref="E47">_xlfn.XLOOKUP(ProductsCalcTable[[#This Row],[Products]]&amp;ProductsCalcTable[[#This Row],[Year]],ProductRatesTable[Products]&amp;ProductRatesTable[Year],ProductRatesTable[Retail Price],"Not Found",0)</f>
        <v>42.353640000000006</v>
      </c>
      <c r="F47" s="7" cm="1">
        <f t="array" ref="F47">_xlfn.XLOOKUP(ProductsCalcTable[[#This Row],[Products]]&amp;ProductsCalcTable[[#This Row],[Year]],ProductRatesTable[Products]&amp;ProductRatesTable[Year],ProductRatesTable[Share of Retail Costs],"Not Found",0)</f>
        <v>0.5</v>
      </c>
      <c r="G47" s="4">
        <f>SUMIFS(VolumesTable[Volume],VolumesTable[Products],$A47,VolumesTable[Year],ProductsCalcTable[[#This Row],[Year]])</f>
        <v>216150</v>
      </c>
      <c r="H47" s="18">
        <f>ProductsCalcTable[[#This Row],[Retail Price]]*ProductsCalcTable[[#This Row],[Volume]]</f>
        <v>9154739.2860000003</v>
      </c>
      <c r="I47" s="18">
        <f t="shared" si="10"/>
        <v>4615932.4530239431</v>
      </c>
      <c r="J47" s="27">
        <f>ProductsCalcTable[[#This Row],[Actual Costs]]/ProductsCalcTable[[#This Row],[Volume]]</f>
        <v>21.355227633698558</v>
      </c>
      <c r="K47" s="27">
        <f>SUMIFS(ProductsCalcTable[Cost Per Unit],ProductsCalcTable[Products],$A47,ProductsCalcTable[Year],$D47-1)</f>
        <v>0</v>
      </c>
      <c r="M47" s="23">
        <f>INDEX(Costs!$F$5:$J$30,MATCH(M$4,Costs!$C$5:$C$30,0),MATCH($D47,Costs!$F$4:$J$4,0))</f>
        <v>120000</v>
      </c>
      <c r="N47" s="23">
        <f>INDEX(Costs!$F$5:$J$30,MATCH(N$4,Costs!$C$5:$C$30,0),MATCH($D47,Costs!$F$4:$J$4,0))</f>
        <v>70000</v>
      </c>
      <c r="O47" s="32"/>
      <c r="P47" s="55">
        <f t="shared" si="30"/>
        <v>18.046866206958651</v>
      </c>
      <c r="Q47" s="51"/>
      <c r="R47" s="121" t="str">
        <f t="shared" si="13"/>
        <v>Metal Cutting Circular Saw Blade</v>
      </c>
      <c r="S47" s="122">
        <f t="shared" si="14"/>
        <v>2020</v>
      </c>
      <c r="T47"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0.95926691521169416</v>
      </c>
      <c r="U47"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18.363109519766716</v>
      </c>
      <c r="V47" s="124">
        <f t="shared" si="15"/>
        <v>4615932.4530239431</v>
      </c>
      <c r="W47" s="124">
        <f>FiancialTable[[#This Row],[Mngmt FTEs]]*M47</f>
        <v>115112.0298254033</v>
      </c>
      <c r="X47" s="124">
        <f>FiancialTable[[#This Row],[Prod''n FTEs]]*N47</f>
        <v>1285417.6663836702</v>
      </c>
      <c r="Y47" s="124">
        <f>SUMIFS(INDEX(Costs!$AA$15:$AC$29,0,MATCH($B47,Costs!$AA$4:$AC$4,0)),Costs!$A$15:$A$29,Y$4,Costs!$E$15:$E$29,$B47)*SUMIFS(Y:Y,$D:$D,($D47+1),$A:$A,$A47)/SUMIFS(Y:Y,$D:$D,($D47+1),$B:$B,$B47)</f>
        <v>549101.27145651029</v>
      </c>
      <c r="Z47"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56025.134546528374</v>
      </c>
      <c r="AA47" s="124">
        <f>SUMIFS(INDEX(Costs!$O$5:$AI$30,MATCH(AA$4,Costs!$A$5:$A$30,0),0),Costs!$O$2:$AI$2,$D47,Costs!$O$4:$AI$4,$B47)*SUMIFS(AA:AA,$D:$D,($D47+1),$A:$A,$A47)/SUMIFS(AA:AA,$D:$D,($D47+1),$B:$B,$B47)</f>
        <v>136728.40424713903</v>
      </c>
      <c r="AB47" s="124">
        <f>SUMIFS(ProductRatesTable[Materials CPU],ProductRatesTable[Year],$D47,ProductRatesTable[Products],$A47)*ProductsCalcTable[[#This Row],[Volume]]</f>
        <v>2155692.0621773405</v>
      </c>
      <c r="AC47" s="124">
        <f>SUMIFS(INDEX(Costs!$F$5:$I$30,0,MATCH(ProductsCalcTable[[#This Row],[Year]],Costs!$F$4:$I$4,0)),Costs!$A$5:$A$30,AC$4,Costs!$E$5:$E$30,$B47)/SUMIFS(ProductsCalcTable[Volume],ProductsCalcTable[Year],ProductsCalcTable[[#This Row],[Year]],ProductsCalcTable[Department Name],ProductsCalcTable[[#This Row],[Department Name]])*ProductsCalcTable[[#This Row],[Volume]]</f>
        <v>44881.704545454544</v>
      </c>
      <c r="AD47" s="124">
        <f>SUMIFS(INDEX(Costs!$F$5:$I$30,0,MATCH(ProductsCalcTable[[#This Row],[Year]],Costs!$F$4:$I$4,0)),Costs!$A$5:$A$30,AD$4,Costs!$E$5:$E$30,$B47)/SUMIFS(ProductsCalcTable[Volume],ProductsCalcTable[Year],ProductsCalcTable[[#This Row],[Year]],ProductsCalcTable[Department Name],ProductsCalcTable[[#This Row],[Department Name]])*ProductsCalcTable[[#This Row],[Volume]]</f>
        <v>127380.68181818181</v>
      </c>
      <c r="AE47" s="124">
        <f>INDEX(Costs!$AF$15:$AH$29,MATCH(AE$4,Costs!$A$15:$A$29,0),MATCH($B47,Costs!$AF$4:$AH$4,0))/SUMIFS(ProductsCalcTable[Volume],ProductsCalcTable[Year],ProductsCalcTable[[#This Row],[Year]],ProductsCalcTable[Department Name],ProductsCalcTable[[#This Row],[Department Name]])*ProductsCalcTable[[#This Row],[Volume]]</f>
        <v>145593.49802371542</v>
      </c>
      <c r="AK47" s="80">
        <f>SUMIFS(ProductsCalcTable[#This Row],ProductsCalcTable[#Headers],"Cost Per Unit")-AL47</f>
        <v>0</v>
      </c>
      <c r="AL47" s="80">
        <f t="shared" si="16"/>
        <v>21.355227633698561</v>
      </c>
      <c r="AM47" s="81">
        <f>SUMIFS(FiancialTable[[#This Row],[Total]:[Other]],FiancialTable[[#Headers],[Total]:[Other]],LEFT(AM$4,LEN(AM$4)-4))/SUMIFS(ProductsCalcTable[#This Row],ProductsCalcTable[#Headers],"Volume")</f>
        <v>0.53255623328893498</v>
      </c>
      <c r="AN47" s="81">
        <f>SUMIFS(FiancialTable[[#This Row],[Total]:[Other]],FiancialTable[[#Headers],[Total]:[Other]],LEFT(AN$4,LEN(AN$4)-4))/SUMIFS(ProductsCalcTable[#This Row],ProductsCalcTable[#Headers],"Volume")</f>
        <v>5.9468779383931079</v>
      </c>
      <c r="AO47" s="85">
        <f t="shared" si="17"/>
        <v>6.4794341716820432</v>
      </c>
      <c r="AP47" s="81">
        <f>SUMIFS(FiancialTable[[#This Row],[Total]:[Other]],FiancialTable[[#Headers],[Total]:[Other]],LEFT(AP$4,LEN(AP$4)-4))/SUMIFS(ProductsCalcTable[#This Row],ProductsCalcTable[#Headers],"Volume")</f>
        <v>2.5403713692181831</v>
      </c>
      <c r="AQ47" s="81">
        <f>SUMIFS(FiancialTable[[#This Row],[Total]:[Other]],FiancialTable[[#Headers],[Total]:[Other]],LEFT(AQ$4,LEN(AQ$4)-4))/SUMIFS(ProductsCalcTable[#This Row],ProductsCalcTable[#Headers],"Volume")</f>
        <v>0.25919562593813728</v>
      </c>
      <c r="AR47" s="85">
        <f t="shared" si="18"/>
        <v>2.7995669951563205</v>
      </c>
      <c r="AS47" s="81">
        <f>SUMIFS(FiancialTable[[#This Row],[Total]:[Other]],FiancialTable[[#Headers],[Total]:[Other]],LEFT(AS$4,LEN(AS$4)-4))/SUMIFS(ProductsCalcTable[#This Row],ProductsCalcTable[#Headers],"Volume")</f>
        <v>0.63256259193679865</v>
      </c>
      <c r="AT47" s="81">
        <f>SUMIFS(FiancialTable[[#This Row],[Total]:[Other]],FiancialTable[[#Headers],[Total]:[Other]],LEFT(AT$4,LEN(AT$4)-4))/SUMIFS(ProductsCalcTable[#This Row],ProductsCalcTable[#Headers],"Volume")</f>
        <v>9.9731300586506624</v>
      </c>
      <c r="AU47" s="81">
        <f>SUMIFS(FiancialTable[[#This Row],[Total]:[Other]],FiancialTable[[#Headers],[Total]:[Other]],LEFT(AU$4,LEN(AU$4)-4))/SUMIFS(ProductsCalcTable[#This Row],ProductsCalcTable[#Headers],"Volume")</f>
        <v>0.20764147372405525</v>
      </c>
      <c r="AV47" s="81">
        <f>SUMIFS(FiancialTable[[#This Row],[Total]:[Other]],FiancialTable[[#Headers],[Total]:[Other]],LEFT(AV$4,LEN(AV$4)-4))/SUMIFS(ProductsCalcTable[#This Row],ProductsCalcTable[#Headers],"Volume")</f>
        <v>0.58931613147435491</v>
      </c>
      <c r="AW47" s="81">
        <f>SUMIFS(FiancialTable[[#This Row],[Total]:[Other]],FiancialTable[[#Headers],[Total]:[Other]],LEFT(AW$4,LEN(AW$4)-4))/SUMIFS(ProductsCalcTable[#This Row],ProductsCalcTable[#Headers],"Volume")</f>
        <v>0.6735762110743253</v>
      </c>
    </row>
    <row r="48" spans="1:49" x14ac:dyDescent="0.3">
      <c r="A48" t="s">
        <v>18</v>
      </c>
      <c r="B48" s="3" t="s">
        <v>21</v>
      </c>
      <c r="C48" t="s">
        <v>12</v>
      </c>
      <c r="D48">
        <v>2020</v>
      </c>
      <c r="E48" s="20" cm="1">
        <f t="array" ref="E48">_xlfn.XLOOKUP(ProductsCalcTable[[#This Row],[Products]]&amp;ProductsCalcTable[[#This Row],[Year]],ProductRatesTable[Products]&amp;ProductRatesTable[Year],ProductRatesTable[Retail Price],"Not Found",0)</f>
        <v>108.23707999999999</v>
      </c>
      <c r="F48" s="7" cm="1">
        <f t="array" ref="F48">_xlfn.XLOOKUP(ProductsCalcTable[[#This Row],[Products]]&amp;ProductsCalcTable[[#This Row],[Year]],ProductRatesTable[Products]&amp;ProductRatesTable[Year],ProductRatesTable[Share of Retail Costs],"Not Found",0)</f>
        <v>0.5</v>
      </c>
      <c r="G48" s="4">
        <f>SUMIFS(VolumesTable[Volume],VolumesTable[Products],$A48,VolumesTable[Year],ProductsCalcTable[[#This Row],[Year]])</f>
        <v>178160</v>
      </c>
      <c r="H48" s="18">
        <f>ProductsCalcTable[[#This Row],[Retail Price]]*ProductsCalcTable[[#This Row],[Volume]]</f>
        <v>19283518.172799997</v>
      </c>
      <c r="I48" s="18">
        <f t="shared" si="10"/>
        <v>9331596.8363517802</v>
      </c>
      <c r="J48" s="27">
        <f>ProductsCalcTable[[#This Row],[Actual Costs]]/ProductsCalcTable[[#This Row],[Volume]]</f>
        <v>52.37762032078907</v>
      </c>
      <c r="K48" s="27">
        <f>SUMIFS(ProductsCalcTable[Cost Per Unit],ProductsCalcTable[Products],$A48,ProductsCalcTable[Year],$D48-1)</f>
        <v>0</v>
      </c>
      <c r="M48" s="23">
        <f>INDEX(Costs!$F$5:$J$30,MATCH(M$4,Costs!$C$5:$C$30,0),MATCH($D48,Costs!$F$4:$J$4,0))</f>
        <v>120000</v>
      </c>
      <c r="N48" s="23">
        <f>INDEX(Costs!$F$5:$J$30,MATCH(N$4,Costs!$C$5:$C$30,0),MATCH($D48,Costs!$F$4:$J$4,0))</f>
        <v>70000</v>
      </c>
      <c r="O48" s="32"/>
      <c r="P48" s="55">
        <f t="shared" si="30"/>
        <v>38.013870367250277</v>
      </c>
      <c r="Q48" s="51"/>
      <c r="R48" s="121" t="str">
        <f t="shared" si="13"/>
        <v>Diamond Circular Saw Blade</v>
      </c>
      <c r="S48" s="122">
        <f t="shared" si="14"/>
        <v>2020</v>
      </c>
      <c r="T48" s="125">
        <f>SUMIFS(INDEX(Costs!$O$6:$AI$30,MATCH(T$4,Costs!$C$6:$C$30,0),0),Costs!$O$2:$AI$2,FiancialTable[[#This Row],[Year]],Costs!$O$4:$AI$4,ProductsCalcTable[[#This Row],[Department Name]])/SUMIFS(FiancialTable[Prod''n FTEs],ProductsCalcTable[Department Name],ProductsCalcTable[[#This Row],[Department Name]],FiancialTable[Year],FiancialTable[[#This Row],[Year]])*FiancialTable[[#This Row],[Prod''n FTEs]]</f>
        <v>2.0205972463179656</v>
      </c>
      <c r="U48" s="125">
        <f>SUMIFS(VolumesTable[Volume],VolumesTable[Products],FiancialTable[[#This Row],[Products]],VolumesTable[Year],FiancialTable[[#This Row],[Year]])/SUMIFS(ProductRatesTable[Production FTE Items per Hour],ProductRatesTable[Products],FiancialTable[[#This Row],[Products]],ProductRatesTable[Year],FiancialTable[[#This Row],[Year]])/2080</f>
        <v>38.680004429515343</v>
      </c>
      <c r="V48" s="124">
        <f t="shared" si="15"/>
        <v>9331596.8363517802</v>
      </c>
      <c r="W48" s="124">
        <f>FiancialTable[[#This Row],[Mngmt FTEs]]*M48</f>
        <v>242471.66955815587</v>
      </c>
      <c r="X48" s="124">
        <f>FiancialTable[[#This Row],[Prod''n FTEs]]*N48</f>
        <v>2707600.3100660741</v>
      </c>
      <c r="Y48" s="124">
        <f>SUMIFS(INDEX(Costs!$AA$15:$AC$29,0,MATCH($B48,Costs!$AA$4:$AC$4,0)),Costs!$A$15:$A$29,Y$4,Costs!$E$15:$E$29,$B48)*SUMIFS(Y:Y,$D:$D,($D48+1),$A:$A,$A48)/SUMIFS(Y:Y,$D:$D,($D48+1),$B:$B,$B48)</f>
        <v>1169555.4417495644</v>
      </c>
      <c r="Z48" s="124">
        <f>SUMIFS(INDEX(Costs!$O$6:$AI$30,MATCH(Z$4,Costs!$A$6:$A$30,0),0),Costs!$O$2:$AI$2,FiancialTable[[#This Row],[Year]],Costs!$O$4:$AI$4,ProductsCalcTable[[#This Row],[Department Name]])/SUMIFS(FiancialTable[Prod''n FTEs],ProductsCalcTable[Department Name],ProductsCalcTable[[#This Row],[Department Name]],FiancialTable[Year],FiancialTable[[#This Row],[Year]])*FiancialTable[[#This Row],[Prod''n FTEs]]</f>
        <v>118011.19249935403</v>
      </c>
      <c r="AA48" s="124">
        <f>SUMIFS(INDEX(Costs!$O$5:$AI$30,MATCH(AA$4,Costs!$A$5:$A$30,0),0),Costs!$O$2:$AI$2,$D48,Costs!$O$4:$AI$4,$B48)*SUMIFS(AA:AA,$D:$D,($D48+1),$A:$A,$A48)/SUMIFS(AA:AA,$D:$D,($D48+1),$B:$B,$B48)</f>
        <v>291223.96457907488</v>
      </c>
      <c r="AB48" s="124">
        <f>SUMIFS(ProductRatesTable[Materials CPU],ProductRatesTable[Year],$D48,ProductRatesTable[Products],$A48)*ProductsCalcTable[[#This Row],[Volume]]</f>
        <v>4540743.9531924054</v>
      </c>
      <c r="AC48" s="124">
        <f>SUMIFS(INDEX(Costs!$F$5:$I$30,0,MATCH(ProductsCalcTable[[#This Row],[Year]],Costs!$F$4:$I$4,0)),Costs!$A$5:$A$30,AC$4,Costs!$E$5:$E$30,$B48)/SUMIFS(ProductsCalcTable[Volume],ProductsCalcTable[Year],ProductsCalcTable[[#This Row],[Year]],ProductsCalcTable[Department Name],ProductsCalcTable[[#This Row],[Department Name]])*ProductsCalcTable[[#This Row],[Volume]]</f>
        <v>36993.404958677682</v>
      </c>
      <c r="AD48" s="124">
        <f>SUMIFS(INDEX(Costs!$F$5:$I$30,0,MATCH(ProductsCalcTable[[#This Row],[Year]],Costs!$F$4:$I$4,0)),Costs!$A$5:$A$30,AD$4,Costs!$E$5:$E$30,$B48)/SUMIFS(ProductsCalcTable[Volume],ProductsCalcTable[Year],ProductsCalcTable[[#This Row],[Year]],ProductsCalcTable[Department Name],ProductsCalcTable[[#This Row],[Department Name]])*ProductsCalcTable[[#This Row],[Volume]]</f>
        <v>104992.56198347107</v>
      </c>
      <c r="AE48" s="124">
        <f>INDEX(Costs!$AF$15:$AH$29,MATCH(AE$4,Costs!$A$15:$A$29,0),MATCH($B48,Costs!$AF$4:$AH$4,0))/SUMIFS(ProductsCalcTable[Volume],ProductsCalcTable[Year],ProductsCalcTable[[#This Row],[Year]],ProductsCalcTable[Department Name],ProductsCalcTable[[#This Row],[Department Name]])*ProductsCalcTable[[#This Row],[Volume]]</f>
        <v>120004.33776500179</v>
      </c>
      <c r="AK48" s="80">
        <f>SUMIFS(ProductsCalcTable[#This Row],ProductsCalcTable[#Headers],"Cost Per Unit")-AL48</f>
        <v>0</v>
      </c>
      <c r="AL48" s="80">
        <f t="shared" si="16"/>
        <v>52.377620320789063</v>
      </c>
      <c r="AM48" s="81">
        <f>SUMIFS(FiancialTable[[#This Row],[Total]:[Other]],FiancialTable[[#Headers],[Total]:[Other]],LEFT(AM$4,LEN(AM$4)-4))/SUMIFS(ProductsCalcTable[#This Row],ProductsCalcTable[#Headers],"Volume")</f>
        <v>1.3609770406272781</v>
      </c>
      <c r="AN48" s="81">
        <f>SUMIFS(FiancialTable[[#This Row],[Total]:[Other]],FiancialTable[[#Headers],[Total]:[Other]],LEFT(AN$4,LEN(AN$4)-4))/SUMIFS(ProductsCalcTable[#This Row],ProductsCalcTable[#Headers],"Volume")</f>
        <v>15.197576953671273</v>
      </c>
      <c r="AO48" s="85">
        <f t="shared" si="17"/>
        <v>16.558553994298553</v>
      </c>
      <c r="AP48" s="81">
        <f>SUMIFS(FiancialTable[[#This Row],[Total]:[Other]],FiancialTable[[#Headers],[Total]:[Other]],LEFT(AP$4,LEN(AP$4)-4))/SUMIFS(ProductsCalcTable[#This Row],ProductsCalcTable[#Headers],"Volume")</f>
        <v>6.5646353937447488</v>
      </c>
      <c r="AQ48" s="81">
        <f>SUMIFS(FiancialTable[[#This Row],[Total]:[Other]],FiancialTable[[#Headers],[Total]:[Other]],LEFT(AQ$4,LEN(AQ$4)-4))/SUMIFS(ProductsCalcTable[#This Row],ProductsCalcTable[#Headers],"Volume")</f>
        <v>0.66238882184190628</v>
      </c>
      <c r="AR48" s="85">
        <f t="shared" si="18"/>
        <v>7.2270242155866553</v>
      </c>
      <c r="AS48" s="81">
        <f>SUMIFS(FiancialTable[[#This Row],[Total]:[Other]],FiancialTable[[#Headers],[Total]:[Other]],LEFT(AS$4,LEN(AS$4)-4))/SUMIFS(ProductsCalcTable[#This Row],ProductsCalcTable[#Headers],"Volume")</f>
        <v>1.6346203669683144</v>
      </c>
      <c r="AT48" s="81">
        <f>SUMIFS(FiancialTable[[#This Row],[Total]:[Other]],FiancialTable[[#Headers],[Total]:[Other]],LEFT(AT$4,LEN(AT$4)-4))/SUMIFS(ProductsCalcTable[#This Row],ProductsCalcTable[#Headers],"Volume")</f>
        <v>25.486887927662806</v>
      </c>
      <c r="AU48" s="81">
        <f>SUMIFS(FiancialTable[[#This Row],[Total]:[Other]],FiancialTable[[#Headers],[Total]:[Other]],LEFT(AU$4,LEN(AU$4)-4))/SUMIFS(ProductsCalcTable[#This Row],ProductsCalcTable[#Headers],"Volume")</f>
        <v>0.20764147372405525</v>
      </c>
      <c r="AV48" s="81">
        <f>SUMIFS(FiancialTable[[#This Row],[Total]:[Other]],FiancialTable[[#Headers],[Total]:[Other]],LEFT(AV$4,LEN(AV$4)-4))/SUMIFS(ProductsCalcTable[#This Row],ProductsCalcTable[#Headers],"Volume")</f>
        <v>0.58931613147435491</v>
      </c>
      <c r="AW48" s="81">
        <f>SUMIFS(FiancialTable[[#This Row],[Total]:[Other]],FiancialTable[[#Headers],[Total]:[Other]],LEFT(AW$4,LEN(AW$4)-4))/SUMIFS(ProductsCalcTable[#This Row],ProductsCalcTable[#Headers],"Volume")</f>
        <v>0.6735762110743253</v>
      </c>
    </row>
    <row r="49" spans="1:31" ht="15" thickBot="1" x14ac:dyDescent="0.35">
      <c r="A49" t="s">
        <v>78</v>
      </c>
      <c r="H49" s="19">
        <f>SUBTOTAL(109,ProductsCalcTable[Retail Sales])</f>
        <v>243474214.43325949</v>
      </c>
      <c r="I49" s="19">
        <f>SUBTOTAL(109,ProductsCalcTable[Actual Costs])</f>
        <v>121327684.20789324</v>
      </c>
      <c r="S49" s="126"/>
      <c r="T49" s="127">
        <f t="shared" ref="T49:U49" si="31">SUBTOTAL(9,T5:T48)</f>
        <v>25.000000000000004</v>
      </c>
      <c r="U49" s="127">
        <f t="shared" si="31"/>
        <v>467.00000000000006</v>
      </c>
      <c r="V49" s="128">
        <f>SUBTOTAL(9,V5:V48)</f>
        <v>121327684.20789324</v>
      </c>
      <c r="W49" s="128">
        <f t="shared" ref="W49:AE49" si="32">SUBTOTAL(9,W5:W48)</f>
        <v>3139519.4399999985</v>
      </c>
      <c r="X49" s="128">
        <f t="shared" si="32"/>
        <v>34193712.349999994</v>
      </c>
      <c r="Y49" s="128">
        <f t="shared" si="32"/>
        <v>14749999.999999996</v>
      </c>
      <c r="Z49" s="128">
        <f t="shared" si="32"/>
        <v>1535697.9999999995</v>
      </c>
      <c r="AA49" s="128">
        <f t="shared" si="32"/>
        <v>3500000.0000000009</v>
      </c>
      <c r="AB49" s="128">
        <f t="shared" si="32"/>
        <v>56651900.755393274</v>
      </c>
      <c r="AC49" s="128">
        <f t="shared" si="32"/>
        <v>1764580.9999999998</v>
      </c>
      <c r="AD49" s="128">
        <f t="shared" si="32"/>
        <v>2810272.6625000001</v>
      </c>
      <c r="AE49" s="128">
        <f t="shared" si="32"/>
        <v>2982000</v>
      </c>
    </row>
    <row r="50" spans="1:31" ht="15" thickTop="1" x14ac:dyDescent="0.3"/>
  </sheetData>
  <sheetProtection algorithmName="SHA-512" hashValue="l7jxVVyIYa8BM1s3SXxywXs/qh4XuAMtjKJ2XuZfzN/TRkzFHBlxOQrVZmwVMkqPYN5FtzMKmm2DDIVp5yBqUg==" saltValue="P9kPrf8gDT0PJFEq8wX8Rg==" spinCount="100000" sheet="1" objects="1" scenarios="1"/>
  <phoneticPr fontId="5" type="noConversion"/>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48C65-9C3A-4A47-98F7-C2C5FBF74F8A}">
  <sheetPr>
    <tabColor theme="3" tint="0.89999084444715716"/>
  </sheetPr>
  <dimension ref="A1:H532"/>
  <sheetViews>
    <sheetView showGridLines="0" workbookViewId="0">
      <pane xSplit="3" ySplit="4" topLeftCell="D5" activePane="bottomRight" state="frozen"/>
      <selection pane="topRight" activeCell="D1" sqref="D1"/>
      <selection pane="bottomLeft" activeCell="A5" sqref="A5"/>
      <selection pane="bottomRight" activeCell="C13" sqref="C13"/>
    </sheetView>
  </sheetViews>
  <sheetFormatPr defaultRowHeight="14.4" x14ac:dyDescent="0.3"/>
  <cols>
    <col min="1" max="1" width="16.88671875" bestFit="1" customWidth="1"/>
    <col min="2" max="2" width="11.33203125" bestFit="1" customWidth="1"/>
    <col min="3" max="3" width="16.88671875" bestFit="1" customWidth="1"/>
    <col min="4" max="4" width="9.44140625" bestFit="1" customWidth="1"/>
    <col min="5" max="5" width="10" bestFit="1" customWidth="1"/>
    <col min="6" max="6" width="7.21875" bestFit="1" customWidth="1"/>
    <col min="7" max="7" width="8.88671875" bestFit="1" customWidth="1"/>
    <col min="8" max="8" width="14.5546875" bestFit="1" customWidth="1"/>
  </cols>
  <sheetData>
    <row r="1" spans="1:8" x14ac:dyDescent="0.3">
      <c r="A1" s="12" t="s">
        <v>3</v>
      </c>
    </row>
    <row r="2" spans="1:8" x14ac:dyDescent="0.3">
      <c r="A2" s="12" t="s">
        <v>72</v>
      </c>
    </row>
    <row r="4" spans="1:8" x14ac:dyDescent="0.3">
      <c r="A4" t="s">
        <v>0</v>
      </c>
      <c r="B4" t="s">
        <v>20</v>
      </c>
      <c r="C4" t="s">
        <v>23</v>
      </c>
      <c r="D4" t="s">
        <v>110</v>
      </c>
      <c r="E4" t="s">
        <v>80</v>
      </c>
      <c r="F4" t="s">
        <v>76</v>
      </c>
      <c r="G4" t="s">
        <v>77</v>
      </c>
      <c r="H4" t="s">
        <v>121</v>
      </c>
    </row>
    <row r="5" spans="1:8" x14ac:dyDescent="0.3">
      <c r="A5" t="s">
        <v>6</v>
      </c>
      <c r="B5" t="s">
        <v>12</v>
      </c>
      <c r="C5" t="s">
        <v>9</v>
      </c>
      <c r="D5" s="3">
        <v>44927</v>
      </c>
      <c r="E5">
        <v>581152</v>
      </c>
      <c r="F5">
        <v>2023</v>
      </c>
      <c r="G5">
        <v>1</v>
      </c>
      <c r="H5" s="4">
        <f>SUMIFS(VolumesTable[Volume],VolumesTable[Products],$C5,VolumesTable[Period],EDATE($D5,-12))</f>
        <v>552540</v>
      </c>
    </row>
    <row r="6" spans="1:8" x14ac:dyDescent="0.3">
      <c r="A6" t="s">
        <v>6</v>
      </c>
      <c r="B6" t="s">
        <v>12</v>
      </c>
      <c r="C6" t="s">
        <v>9</v>
      </c>
      <c r="D6" s="3">
        <v>44958</v>
      </c>
      <c r="E6">
        <v>528464</v>
      </c>
      <c r="F6">
        <v>2023</v>
      </c>
      <c r="G6">
        <v>2</v>
      </c>
      <c r="H6" s="4">
        <f>SUMIFS(VolumesTable[Volume],VolumesTable[Products],$C6,VolumesTable[Period],EDATE($D6,-12))</f>
        <v>526431</v>
      </c>
    </row>
    <row r="7" spans="1:8" x14ac:dyDescent="0.3">
      <c r="A7" t="s">
        <v>6</v>
      </c>
      <c r="B7" t="s">
        <v>12</v>
      </c>
      <c r="C7" t="s">
        <v>9</v>
      </c>
      <c r="D7" s="3">
        <v>44986</v>
      </c>
      <c r="E7">
        <v>607881</v>
      </c>
      <c r="F7">
        <v>2023</v>
      </c>
      <c r="G7">
        <v>3</v>
      </c>
      <c r="H7" s="4">
        <f>SUMIFS(VolumesTable[Volume],VolumesTable[Products],$C7,VolumesTable[Period],EDATE($D7,-12))</f>
        <v>605611</v>
      </c>
    </row>
    <row r="8" spans="1:8" x14ac:dyDescent="0.3">
      <c r="A8" t="s">
        <v>6</v>
      </c>
      <c r="B8" t="s">
        <v>12</v>
      </c>
      <c r="C8" t="s">
        <v>9</v>
      </c>
      <c r="D8" s="3">
        <v>45017</v>
      </c>
      <c r="E8">
        <v>528736</v>
      </c>
      <c r="F8">
        <v>2023</v>
      </c>
      <c r="G8">
        <v>4</v>
      </c>
      <c r="H8" s="4">
        <f>SUMIFS(VolumesTable[Volume],VolumesTable[Products],$C8,VolumesTable[Period],EDATE($D8,-12))</f>
        <v>553166</v>
      </c>
    </row>
    <row r="9" spans="1:8" x14ac:dyDescent="0.3">
      <c r="A9" t="s">
        <v>6</v>
      </c>
      <c r="B9" t="s">
        <v>12</v>
      </c>
      <c r="C9" t="s">
        <v>9</v>
      </c>
      <c r="D9" s="3">
        <v>45047</v>
      </c>
      <c r="E9">
        <v>608186</v>
      </c>
      <c r="F9">
        <v>2023</v>
      </c>
      <c r="G9">
        <v>5</v>
      </c>
      <c r="H9" s="4">
        <f>SUMIFS(VolumesTable[Volume],VolumesTable[Products],$C9,VolumesTable[Period],EDATE($D9,-12))</f>
        <v>579707</v>
      </c>
    </row>
    <row r="10" spans="1:8" x14ac:dyDescent="0.3">
      <c r="A10" t="s">
        <v>6</v>
      </c>
      <c r="B10" t="s">
        <v>12</v>
      </c>
      <c r="C10" t="s">
        <v>9</v>
      </c>
      <c r="D10" s="3">
        <v>45078</v>
      </c>
      <c r="E10">
        <v>581894</v>
      </c>
      <c r="F10">
        <v>2023</v>
      </c>
      <c r="G10">
        <v>6</v>
      </c>
      <c r="H10" s="4">
        <f>SUMIFS(VolumesTable[Volume],VolumesTable[Products],$C10,VolumesTable[Period],EDATE($D10,-12))</f>
        <v>579909</v>
      </c>
    </row>
    <row r="11" spans="1:8" x14ac:dyDescent="0.3">
      <c r="A11" t="s">
        <v>6</v>
      </c>
      <c r="B11" t="s">
        <v>12</v>
      </c>
      <c r="C11" t="s">
        <v>9</v>
      </c>
      <c r="D11" s="3">
        <v>45108</v>
      </c>
      <c r="E11">
        <v>555578</v>
      </c>
      <c r="F11">
        <v>2023</v>
      </c>
      <c r="G11">
        <v>7</v>
      </c>
      <c r="H11" s="4">
        <f>SUMIFS(VolumesTable[Volume],VolumesTable[Products],$C11,VolumesTable[Period],EDATE($D11,-12))</f>
        <v>553737</v>
      </c>
    </row>
    <row r="12" spans="1:8" x14ac:dyDescent="0.3">
      <c r="A12" t="s">
        <v>6</v>
      </c>
      <c r="B12" t="s">
        <v>12</v>
      </c>
      <c r="C12" t="s">
        <v>9</v>
      </c>
      <c r="D12" s="3">
        <v>45139</v>
      </c>
      <c r="E12">
        <v>608627</v>
      </c>
      <c r="F12">
        <v>2023</v>
      </c>
      <c r="G12">
        <v>8</v>
      </c>
      <c r="H12" s="4">
        <f>SUMIFS(VolumesTable[Volume],VolumesTable[Products],$C12,VolumesTable[Period],EDATE($D12,-12))</f>
        <v>606663</v>
      </c>
    </row>
    <row r="13" spans="1:8" x14ac:dyDescent="0.3">
      <c r="A13" t="s">
        <v>6</v>
      </c>
      <c r="B13" t="s">
        <v>12</v>
      </c>
      <c r="C13" t="s">
        <v>9</v>
      </c>
      <c r="D13" s="3">
        <v>45170</v>
      </c>
      <c r="E13">
        <v>555836</v>
      </c>
      <c r="F13">
        <v>2023</v>
      </c>
      <c r="G13">
        <v>9</v>
      </c>
      <c r="H13" s="4">
        <f>SUMIFS(VolumesTable[Volume],VolumesTable[Products],$C13,VolumesTable[Period],EDATE($D13,-12))</f>
        <v>580478</v>
      </c>
    </row>
    <row r="14" spans="1:8" x14ac:dyDescent="0.3">
      <c r="A14" t="s">
        <v>6</v>
      </c>
      <c r="B14" t="s">
        <v>12</v>
      </c>
      <c r="C14" t="s">
        <v>9</v>
      </c>
      <c r="D14" s="3">
        <v>45200</v>
      </c>
      <c r="E14">
        <v>582430</v>
      </c>
      <c r="F14">
        <v>2023</v>
      </c>
      <c r="G14">
        <v>10</v>
      </c>
      <c r="H14" s="4">
        <f>SUMIFS(VolumesTable[Volume],VolumesTable[Products],$C14,VolumesTable[Period],EDATE($D14,-12))</f>
        <v>554262</v>
      </c>
    </row>
    <row r="15" spans="1:8" x14ac:dyDescent="0.3">
      <c r="A15" t="s">
        <v>6</v>
      </c>
      <c r="B15" t="s">
        <v>12</v>
      </c>
      <c r="C15" t="s">
        <v>9</v>
      </c>
      <c r="D15" s="3">
        <v>45231</v>
      </c>
      <c r="E15">
        <v>582558</v>
      </c>
      <c r="F15">
        <v>2023</v>
      </c>
      <c r="G15">
        <v>11</v>
      </c>
      <c r="H15" s="4">
        <f>SUMIFS(VolumesTable[Volume],VolumesTable[Products],$C15,VolumesTable[Period],EDATE($D15,-12))</f>
        <v>580821</v>
      </c>
    </row>
    <row r="16" spans="1:8" x14ac:dyDescent="0.3">
      <c r="A16" t="s">
        <v>6</v>
      </c>
      <c r="B16" t="s">
        <v>12</v>
      </c>
      <c r="C16" t="s">
        <v>9</v>
      </c>
      <c r="D16" s="3">
        <v>45261</v>
      </c>
      <c r="E16">
        <v>556198</v>
      </c>
      <c r="F16">
        <v>2023</v>
      </c>
      <c r="G16">
        <v>12</v>
      </c>
      <c r="H16" s="4">
        <f>SUMIFS(VolumesTable[Volume],VolumesTable[Products],$C16,VolumesTable[Period],EDATE($D16,-12))</f>
        <v>580989</v>
      </c>
    </row>
    <row r="17" spans="1:8" x14ac:dyDescent="0.3">
      <c r="A17" t="s">
        <v>6</v>
      </c>
      <c r="B17" t="s">
        <v>12</v>
      </c>
      <c r="C17" t="s">
        <v>7</v>
      </c>
      <c r="D17" s="3">
        <v>44927</v>
      </c>
      <c r="E17">
        <v>571974</v>
      </c>
      <c r="F17">
        <v>2023</v>
      </c>
      <c r="G17">
        <v>1</v>
      </c>
      <c r="H17" s="4">
        <f>SUMIFS(VolumesTable[Volume],VolumesTable[Products],$C17,VolumesTable[Period],EDATE($D17,-12))</f>
        <v>567045</v>
      </c>
    </row>
    <row r="18" spans="1:8" x14ac:dyDescent="0.3">
      <c r="A18" t="s">
        <v>6</v>
      </c>
      <c r="B18" t="s">
        <v>12</v>
      </c>
      <c r="C18" t="s">
        <v>7</v>
      </c>
      <c r="D18" s="3">
        <v>44958</v>
      </c>
      <c r="E18">
        <v>519692</v>
      </c>
      <c r="F18">
        <v>2023</v>
      </c>
      <c r="G18">
        <v>2</v>
      </c>
      <c r="H18" s="4">
        <f>SUMIFS(VolumesTable[Volume],VolumesTable[Products],$C18,VolumesTable[Period],EDATE($D18,-12))</f>
        <v>540668</v>
      </c>
    </row>
    <row r="19" spans="1:8" x14ac:dyDescent="0.3">
      <c r="A19" t="s">
        <v>6</v>
      </c>
      <c r="B19" t="s">
        <v>12</v>
      </c>
      <c r="C19" t="s">
        <v>7</v>
      </c>
      <c r="D19" s="3">
        <v>44986</v>
      </c>
      <c r="E19">
        <v>597356</v>
      </c>
      <c r="F19">
        <v>2023</v>
      </c>
      <c r="G19">
        <v>3</v>
      </c>
      <c r="H19" s="4">
        <f>SUMIFS(VolumesTable[Volume],VolumesTable[Products],$C19,VolumesTable[Period],EDATE($D19,-12))</f>
        <v>622430</v>
      </c>
    </row>
    <row r="20" spans="1:8" x14ac:dyDescent="0.3">
      <c r="A20" t="s">
        <v>6</v>
      </c>
      <c r="B20" t="s">
        <v>12</v>
      </c>
      <c r="C20" t="s">
        <v>7</v>
      </c>
      <c r="D20" s="3">
        <v>45017</v>
      </c>
      <c r="E20">
        <v>519159</v>
      </c>
      <c r="F20">
        <v>2023</v>
      </c>
      <c r="G20">
        <v>4</v>
      </c>
      <c r="H20" s="4">
        <f>SUMIFS(VolumesTable[Volume],VolumesTable[Products],$C20,VolumesTable[Period],EDATE($D20,-12))</f>
        <v>568974</v>
      </c>
    </row>
    <row r="21" spans="1:8" x14ac:dyDescent="0.3">
      <c r="A21" t="s">
        <v>6</v>
      </c>
      <c r="B21" t="s">
        <v>12</v>
      </c>
      <c r="C21" t="s">
        <v>7</v>
      </c>
      <c r="D21" s="3">
        <v>45047</v>
      </c>
      <c r="E21">
        <v>596757</v>
      </c>
      <c r="F21">
        <v>2023</v>
      </c>
      <c r="G21">
        <v>5</v>
      </c>
      <c r="H21" s="4">
        <f>SUMIFS(VolumesTable[Volume],VolumesTable[Products],$C21,VolumesTable[Period],EDATE($D21,-12))</f>
        <v>596685</v>
      </c>
    </row>
    <row r="22" spans="1:8" x14ac:dyDescent="0.3">
      <c r="A22" t="s">
        <v>6</v>
      </c>
      <c r="B22" t="s">
        <v>12</v>
      </c>
      <c r="C22" t="s">
        <v>7</v>
      </c>
      <c r="D22" s="3">
        <v>45078</v>
      </c>
      <c r="E22">
        <v>570517</v>
      </c>
      <c r="F22">
        <v>2023</v>
      </c>
      <c r="G22">
        <v>6</v>
      </c>
      <c r="H22" s="4">
        <f>SUMIFS(VolumesTable[Volume],VolumesTable[Products],$C22,VolumesTable[Period],EDATE($D22,-12))</f>
        <v>597310</v>
      </c>
    </row>
    <row r="23" spans="1:8" x14ac:dyDescent="0.3">
      <c r="A23" t="s">
        <v>6</v>
      </c>
      <c r="B23" t="s">
        <v>12</v>
      </c>
      <c r="C23" t="s">
        <v>7</v>
      </c>
      <c r="D23" s="3">
        <v>45108</v>
      </c>
      <c r="E23">
        <v>544322</v>
      </c>
      <c r="F23">
        <v>2023</v>
      </c>
      <c r="G23">
        <v>7</v>
      </c>
      <c r="H23" s="4">
        <f>SUMIFS(VolumesTable[Volume],VolumesTable[Products],$C23,VolumesTable[Period],EDATE($D23,-12))</f>
        <v>570737</v>
      </c>
    </row>
    <row r="24" spans="1:8" x14ac:dyDescent="0.3">
      <c r="A24" t="s">
        <v>6</v>
      </c>
      <c r="B24" t="s">
        <v>12</v>
      </c>
      <c r="C24" t="s">
        <v>7</v>
      </c>
      <c r="D24" s="3">
        <v>45139</v>
      </c>
      <c r="E24">
        <v>595894</v>
      </c>
      <c r="F24">
        <v>2023</v>
      </c>
      <c r="G24">
        <v>8</v>
      </c>
      <c r="H24" s="4">
        <f>SUMIFS(VolumesTable[Volume],VolumesTable[Products],$C24,VolumesTable[Period],EDATE($D24,-12))</f>
        <v>625678</v>
      </c>
    </row>
    <row r="25" spans="1:8" x14ac:dyDescent="0.3">
      <c r="A25" t="s">
        <v>6</v>
      </c>
      <c r="B25" t="s">
        <v>12</v>
      </c>
      <c r="C25" t="s">
        <v>7</v>
      </c>
      <c r="D25" s="3">
        <v>45170</v>
      </c>
      <c r="E25">
        <v>543815</v>
      </c>
      <c r="F25">
        <v>2023</v>
      </c>
      <c r="G25">
        <v>9</v>
      </c>
      <c r="H25" s="4">
        <f>SUMIFS(VolumesTable[Volume],VolumesTable[Products],$C25,VolumesTable[Period],EDATE($D25,-12))</f>
        <v>599068</v>
      </c>
    </row>
    <row r="26" spans="1:8" x14ac:dyDescent="0.3">
      <c r="A26" t="s">
        <v>6</v>
      </c>
      <c r="B26" t="s">
        <v>12</v>
      </c>
      <c r="C26" t="s">
        <v>7</v>
      </c>
      <c r="D26" s="3">
        <v>45200</v>
      </c>
      <c r="E26">
        <v>569467</v>
      </c>
      <c r="F26">
        <v>2023</v>
      </c>
      <c r="G26">
        <v>10</v>
      </c>
      <c r="H26" s="4">
        <f>SUMIFS(VolumesTable[Volume],VolumesTable[Products],$C26,VolumesTable[Period],EDATE($D26,-12))</f>
        <v>572363</v>
      </c>
    </row>
    <row r="27" spans="1:8" x14ac:dyDescent="0.3">
      <c r="A27" t="s">
        <v>6</v>
      </c>
      <c r="B27" t="s">
        <v>12</v>
      </c>
      <c r="C27" t="s">
        <v>7</v>
      </c>
      <c r="D27" s="3">
        <v>45231</v>
      </c>
      <c r="E27">
        <v>569216</v>
      </c>
      <c r="F27">
        <v>2023</v>
      </c>
      <c r="G27">
        <v>11</v>
      </c>
      <c r="H27" s="4">
        <f>SUMIFS(VolumesTable[Volume],VolumesTable[Products],$C27,VolumesTable[Period],EDATE($D27,-12))</f>
        <v>600130</v>
      </c>
    </row>
    <row r="28" spans="1:8" x14ac:dyDescent="0.3">
      <c r="A28" t="s">
        <v>6</v>
      </c>
      <c r="B28" t="s">
        <v>12</v>
      </c>
      <c r="C28" t="s">
        <v>7</v>
      </c>
      <c r="D28" s="3">
        <v>45261</v>
      </c>
      <c r="E28">
        <v>543109</v>
      </c>
      <c r="F28">
        <v>2023</v>
      </c>
      <c r="G28">
        <v>12</v>
      </c>
      <c r="H28" s="4">
        <f>SUMIFS(VolumesTable[Volume],VolumesTable[Products],$C28,VolumesTable[Period],EDATE($D28,-12))</f>
        <v>600650</v>
      </c>
    </row>
    <row r="29" spans="1:8" x14ac:dyDescent="0.3">
      <c r="A29" t="s">
        <v>6</v>
      </c>
      <c r="B29" t="s">
        <v>12</v>
      </c>
      <c r="C29" t="s">
        <v>8</v>
      </c>
      <c r="D29" s="3">
        <v>44927</v>
      </c>
      <c r="E29">
        <v>14743</v>
      </c>
      <c r="F29">
        <v>2023</v>
      </c>
      <c r="G29">
        <v>1</v>
      </c>
      <c r="H29" s="4">
        <f>SUMIFS(VolumesTable[Volume],VolumesTable[Products],$C29,VolumesTable[Period],EDATE($D29,-12))</f>
        <v>13693</v>
      </c>
    </row>
    <row r="30" spans="1:8" x14ac:dyDescent="0.3">
      <c r="A30" t="s">
        <v>6</v>
      </c>
      <c r="B30" t="s">
        <v>12</v>
      </c>
      <c r="C30" t="s">
        <v>8</v>
      </c>
      <c r="D30" s="3">
        <v>44958</v>
      </c>
      <c r="E30">
        <v>13417</v>
      </c>
      <c r="F30">
        <v>2023</v>
      </c>
      <c r="G30">
        <v>2</v>
      </c>
      <c r="H30" s="4">
        <f>SUMIFS(VolumesTable[Volume],VolumesTable[Products],$C30,VolumesTable[Period],EDATE($D30,-12))</f>
        <v>13051</v>
      </c>
    </row>
    <row r="31" spans="1:8" x14ac:dyDescent="0.3">
      <c r="A31" t="s">
        <v>6</v>
      </c>
      <c r="B31" t="s">
        <v>12</v>
      </c>
      <c r="C31" t="s">
        <v>8</v>
      </c>
      <c r="D31" s="3">
        <v>44986</v>
      </c>
      <c r="E31">
        <v>15445</v>
      </c>
      <c r="F31">
        <v>2023</v>
      </c>
      <c r="G31">
        <v>3</v>
      </c>
      <c r="H31" s="4">
        <f>SUMIFS(VolumesTable[Volume],VolumesTable[Products],$C31,VolumesTable[Period],EDATE($D31,-12))</f>
        <v>15019</v>
      </c>
    </row>
    <row r="32" spans="1:8" x14ac:dyDescent="0.3">
      <c r="A32" t="s">
        <v>6</v>
      </c>
      <c r="B32" t="s">
        <v>12</v>
      </c>
      <c r="C32" t="s">
        <v>8</v>
      </c>
      <c r="D32" s="3">
        <v>45017</v>
      </c>
      <c r="E32">
        <v>13445</v>
      </c>
      <c r="F32">
        <v>2023</v>
      </c>
      <c r="G32">
        <v>4</v>
      </c>
      <c r="H32" s="4">
        <f>SUMIFS(VolumesTable[Volume],VolumesTable[Products],$C32,VolumesTable[Period],EDATE($D32,-12))</f>
        <v>13724</v>
      </c>
    </row>
    <row r="33" spans="1:8" x14ac:dyDescent="0.3">
      <c r="A33" t="s">
        <v>6</v>
      </c>
      <c r="B33" t="s">
        <v>12</v>
      </c>
      <c r="C33" t="s">
        <v>8</v>
      </c>
      <c r="D33" s="3">
        <v>45047</v>
      </c>
      <c r="E33">
        <v>15476</v>
      </c>
      <c r="F33">
        <v>2023</v>
      </c>
      <c r="G33">
        <v>5</v>
      </c>
      <c r="H33" s="4">
        <f>SUMIFS(VolumesTable[Volume],VolumesTable[Products],$C33,VolumesTable[Period],EDATE($D33,-12))</f>
        <v>14388</v>
      </c>
    </row>
    <row r="34" spans="1:8" x14ac:dyDescent="0.3">
      <c r="A34" t="s">
        <v>6</v>
      </c>
      <c r="B34" t="s">
        <v>12</v>
      </c>
      <c r="C34" t="s">
        <v>8</v>
      </c>
      <c r="D34" s="3">
        <v>45078</v>
      </c>
      <c r="E34">
        <v>14818</v>
      </c>
      <c r="F34">
        <v>2023</v>
      </c>
      <c r="G34">
        <v>6</v>
      </c>
      <c r="H34" s="4">
        <f>SUMIFS(VolumesTable[Volume],VolumesTable[Products],$C34,VolumesTable[Period],EDATE($D34,-12))</f>
        <v>14398</v>
      </c>
    </row>
    <row r="35" spans="1:8" x14ac:dyDescent="0.3">
      <c r="A35" t="s">
        <v>6</v>
      </c>
      <c r="B35" t="s">
        <v>12</v>
      </c>
      <c r="C35" t="s">
        <v>8</v>
      </c>
      <c r="D35" s="3">
        <v>45108</v>
      </c>
      <c r="E35">
        <v>14158</v>
      </c>
      <c r="F35">
        <v>2023</v>
      </c>
      <c r="G35">
        <v>7</v>
      </c>
      <c r="H35" s="4">
        <f>SUMIFS(VolumesTable[Volume],VolumesTable[Products],$C35,VolumesTable[Period],EDATE($D35,-12))</f>
        <v>13753</v>
      </c>
    </row>
    <row r="36" spans="1:8" x14ac:dyDescent="0.3">
      <c r="A36" t="s">
        <v>6</v>
      </c>
      <c r="B36" t="s">
        <v>12</v>
      </c>
      <c r="C36" t="s">
        <v>8</v>
      </c>
      <c r="D36" s="3">
        <v>45139</v>
      </c>
      <c r="E36">
        <v>15521</v>
      </c>
      <c r="F36">
        <v>2023</v>
      </c>
      <c r="G36">
        <v>8</v>
      </c>
      <c r="H36" s="4">
        <f>SUMIFS(VolumesTable[Volume],VolumesTable[Products],$C36,VolumesTable[Period],EDATE($D36,-12))</f>
        <v>15072</v>
      </c>
    </row>
    <row r="37" spans="1:8" x14ac:dyDescent="0.3">
      <c r="A37" t="s">
        <v>6</v>
      </c>
      <c r="B37" t="s">
        <v>12</v>
      </c>
      <c r="C37" t="s">
        <v>8</v>
      </c>
      <c r="D37" s="3">
        <v>45170</v>
      </c>
      <c r="E37">
        <v>14185</v>
      </c>
      <c r="F37">
        <v>2023</v>
      </c>
      <c r="G37">
        <v>9</v>
      </c>
      <c r="H37" s="4">
        <f>SUMIFS(VolumesTable[Volume],VolumesTable[Products],$C37,VolumesTable[Period],EDATE($D37,-12))</f>
        <v>14426</v>
      </c>
    </row>
    <row r="38" spans="1:8" x14ac:dyDescent="0.3">
      <c r="A38" t="s">
        <v>6</v>
      </c>
      <c r="B38" t="s">
        <v>12</v>
      </c>
      <c r="C38" t="s">
        <v>8</v>
      </c>
      <c r="D38" s="3">
        <v>45200</v>
      </c>
      <c r="E38">
        <v>14873</v>
      </c>
      <c r="F38">
        <v>2023</v>
      </c>
      <c r="G38">
        <v>10</v>
      </c>
      <c r="H38" s="4">
        <f>SUMIFS(VolumesTable[Volume],VolumesTable[Products],$C38,VolumesTable[Period],EDATE($D38,-12))</f>
        <v>13779</v>
      </c>
    </row>
    <row r="39" spans="1:8" x14ac:dyDescent="0.3">
      <c r="A39" t="s">
        <v>6</v>
      </c>
      <c r="B39" t="s">
        <v>12</v>
      </c>
      <c r="C39" t="s">
        <v>8</v>
      </c>
      <c r="D39" s="3">
        <v>45231</v>
      </c>
      <c r="E39">
        <v>14886</v>
      </c>
      <c r="F39">
        <v>2023</v>
      </c>
      <c r="G39">
        <v>11</v>
      </c>
      <c r="H39" s="4">
        <f>SUMIFS(VolumesTable[Volume],VolumesTable[Products],$C39,VolumesTable[Period],EDATE($D39,-12))</f>
        <v>14443</v>
      </c>
    </row>
    <row r="40" spans="1:8" x14ac:dyDescent="0.3">
      <c r="A40" t="s">
        <v>6</v>
      </c>
      <c r="B40" t="s">
        <v>12</v>
      </c>
      <c r="C40" t="s">
        <v>8</v>
      </c>
      <c r="D40" s="3">
        <v>45261</v>
      </c>
      <c r="E40">
        <v>14222</v>
      </c>
      <c r="F40">
        <v>2023</v>
      </c>
      <c r="G40">
        <v>12</v>
      </c>
      <c r="H40" s="4">
        <f>SUMIFS(VolumesTable[Volume],VolumesTable[Products],$C40,VolumesTable[Period],EDATE($D40,-12))</f>
        <v>14451</v>
      </c>
    </row>
    <row r="41" spans="1:8" x14ac:dyDescent="0.3">
      <c r="A41" t="s">
        <v>6</v>
      </c>
      <c r="B41" t="s">
        <v>12</v>
      </c>
      <c r="C41" t="s">
        <v>10</v>
      </c>
      <c r="D41" s="3">
        <v>44927</v>
      </c>
      <c r="E41">
        <v>571082</v>
      </c>
      <c r="F41">
        <v>2023</v>
      </c>
      <c r="G41">
        <v>1</v>
      </c>
      <c r="H41" s="4">
        <f>SUMIFS(VolumesTable[Volume],VolumesTable[Products],$C41,VolumesTable[Period],EDATE($D41,-12))</f>
        <v>553934</v>
      </c>
    </row>
    <row r="42" spans="1:8" x14ac:dyDescent="0.3">
      <c r="A42" t="s">
        <v>6</v>
      </c>
      <c r="B42" t="s">
        <v>12</v>
      </c>
      <c r="C42" t="s">
        <v>10</v>
      </c>
      <c r="D42" s="3">
        <v>44958</v>
      </c>
      <c r="E42">
        <v>519023</v>
      </c>
      <c r="F42">
        <v>2023</v>
      </c>
      <c r="G42">
        <v>2</v>
      </c>
      <c r="H42" s="4">
        <f>SUMIFS(VolumesTable[Volume],VolumesTable[Products],$C42,VolumesTable[Period],EDATE($D42,-12))</f>
        <v>527760</v>
      </c>
    </row>
    <row r="43" spans="1:8" x14ac:dyDescent="0.3">
      <c r="A43" t="s">
        <v>6</v>
      </c>
      <c r="B43" t="s">
        <v>12</v>
      </c>
      <c r="C43" t="s">
        <v>10</v>
      </c>
      <c r="D43" s="3">
        <v>44986</v>
      </c>
      <c r="E43">
        <v>596732</v>
      </c>
      <c r="F43">
        <v>2023</v>
      </c>
      <c r="G43">
        <v>3</v>
      </c>
      <c r="H43" s="4">
        <f>SUMIFS(VolumesTable[Volume],VolumesTable[Products],$C43,VolumesTable[Period],EDATE($D43,-12))</f>
        <v>607139</v>
      </c>
    </row>
    <row r="44" spans="1:8" x14ac:dyDescent="0.3">
      <c r="A44" t="s">
        <v>6</v>
      </c>
      <c r="B44" t="s">
        <v>12</v>
      </c>
      <c r="C44" t="s">
        <v>10</v>
      </c>
      <c r="D44" s="3">
        <v>45017</v>
      </c>
      <c r="E44">
        <v>518757</v>
      </c>
      <c r="F44">
        <v>2023</v>
      </c>
      <c r="G44">
        <v>4</v>
      </c>
      <c r="H44" s="4">
        <f>SUMIFS(VolumesTable[Volume],VolumesTable[Products],$C44,VolumesTable[Period],EDATE($D44,-12))</f>
        <v>554562</v>
      </c>
    </row>
    <row r="45" spans="1:8" x14ac:dyDescent="0.3">
      <c r="A45" t="s">
        <v>6</v>
      </c>
      <c r="B45" t="s">
        <v>12</v>
      </c>
      <c r="C45" t="s">
        <v>10</v>
      </c>
      <c r="D45" s="3">
        <v>45047</v>
      </c>
      <c r="E45">
        <v>596433</v>
      </c>
      <c r="F45">
        <v>2023</v>
      </c>
      <c r="G45">
        <v>5</v>
      </c>
      <c r="H45" s="4">
        <f>SUMIFS(VolumesTable[Volume],VolumesTable[Products],$C45,VolumesTable[Period],EDATE($D45,-12))</f>
        <v>581170</v>
      </c>
    </row>
    <row r="46" spans="1:8" x14ac:dyDescent="0.3">
      <c r="A46" t="s">
        <v>6</v>
      </c>
      <c r="B46" t="s">
        <v>12</v>
      </c>
      <c r="C46" t="s">
        <v>10</v>
      </c>
      <c r="D46" s="3">
        <v>45078</v>
      </c>
      <c r="E46">
        <v>570354</v>
      </c>
      <c r="F46">
        <v>2023</v>
      </c>
      <c r="G46">
        <v>6</v>
      </c>
      <c r="H46" s="4">
        <f>SUMIFS(VolumesTable[Volume],VolumesTable[Products],$C46,VolumesTable[Period],EDATE($D46,-12))</f>
        <v>581373</v>
      </c>
    </row>
    <row r="47" spans="1:8" x14ac:dyDescent="0.3">
      <c r="A47" t="s">
        <v>6</v>
      </c>
      <c r="B47" t="s">
        <v>12</v>
      </c>
      <c r="C47" t="s">
        <v>10</v>
      </c>
      <c r="D47" s="3">
        <v>45108</v>
      </c>
      <c r="E47">
        <v>544297</v>
      </c>
      <c r="F47">
        <v>2023</v>
      </c>
      <c r="G47">
        <v>7</v>
      </c>
      <c r="H47" s="4">
        <f>SUMIFS(VolumesTable[Volume],VolumesTable[Products],$C47,VolumesTable[Period],EDATE($D47,-12))</f>
        <v>555134</v>
      </c>
    </row>
    <row r="48" spans="1:8" x14ac:dyDescent="0.3">
      <c r="A48" t="s">
        <v>6</v>
      </c>
      <c r="B48" t="s">
        <v>12</v>
      </c>
      <c r="C48" t="s">
        <v>10</v>
      </c>
      <c r="D48" s="3">
        <v>45139</v>
      </c>
      <c r="E48">
        <v>596001</v>
      </c>
      <c r="F48">
        <v>2023</v>
      </c>
      <c r="G48">
        <v>8</v>
      </c>
      <c r="H48" s="4">
        <f>SUMIFS(VolumesTable[Volume],VolumesTable[Products],$C48,VolumesTable[Period],EDATE($D48,-12))</f>
        <v>608194</v>
      </c>
    </row>
    <row r="49" spans="1:8" x14ac:dyDescent="0.3">
      <c r="A49" t="s">
        <v>6</v>
      </c>
      <c r="B49" t="s">
        <v>12</v>
      </c>
      <c r="C49" t="s">
        <v>10</v>
      </c>
      <c r="D49" s="3">
        <v>45170</v>
      </c>
      <c r="E49">
        <v>544044</v>
      </c>
      <c r="F49">
        <v>2023</v>
      </c>
      <c r="G49">
        <v>9</v>
      </c>
      <c r="H49" s="4">
        <f>SUMIFS(VolumesTable[Volume],VolumesTable[Products],$C49,VolumesTable[Period],EDATE($D49,-12))</f>
        <v>581943</v>
      </c>
    </row>
    <row r="50" spans="1:8" x14ac:dyDescent="0.3">
      <c r="A50" t="s">
        <v>6</v>
      </c>
      <c r="B50" t="s">
        <v>12</v>
      </c>
      <c r="C50" t="s">
        <v>10</v>
      </c>
      <c r="D50" s="3">
        <v>45200</v>
      </c>
      <c r="E50">
        <v>569829</v>
      </c>
      <c r="F50">
        <v>2023</v>
      </c>
      <c r="G50">
        <v>10</v>
      </c>
      <c r="H50" s="4">
        <f>SUMIFS(VolumesTable[Volume],VolumesTable[Products],$C50,VolumesTable[Period],EDATE($D50,-12))</f>
        <v>555661</v>
      </c>
    </row>
    <row r="51" spans="1:8" x14ac:dyDescent="0.3">
      <c r="A51" t="s">
        <v>6</v>
      </c>
      <c r="B51" t="s">
        <v>12</v>
      </c>
      <c r="C51" t="s">
        <v>10</v>
      </c>
      <c r="D51" s="3">
        <v>45231</v>
      </c>
      <c r="E51">
        <v>569703</v>
      </c>
      <c r="F51">
        <v>2023</v>
      </c>
      <c r="G51">
        <v>11</v>
      </c>
      <c r="H51" s="4">
        <f>SUMIFS(VolumesTable[Volume],VolumesTable[Products],$C51,VolumesTable[Period],EDATE($D51,-12))</f>
        <v>582287</v>
      </c>
    </row>
    <row r="52" spans="1:8" x14ac:dyDescent="0.3">
      <c r="A52" t="s">
        <v>6</v>
      </c>
      <c r="B52" t="s">
        <v>12</v>
      </c>
      <c r="C52" t="s">
        <v>10</v>
      </c>
      <c r="D52" s="3">
        <v>45261</v>
      </c>
      <c r="E52">
        <v>543690</v>
      </c>
      <c r="F52">
        <v>2023</v>
      </c>
      <c r="G52">
        <v>12</v>
      </c>
      <c r="H52" s="4">
        <f>SUMIFS(VolumesTable[Volume],VolumesTable[Products],$C52,VolumesTable[Period],EDATE($D52,-12))</f>
        <v>582455</v>
      </c>
    </row>
    <row r="53" spans="1:8" x14ac:dyDescent="0.3">
      <c r="A53" t="s">
        <v>73</v>
      </c>
      <c r="B53" t="s">
        <v>11</v>
      </c>
      <c r="C53" t="s">
        <v>16</v>
      </c>
      <c r="D53" s="3">
        <v>44927</v>
      </c>
      <c r="E53">
        <v>24797</v>
      </c>
      <c r="F53">
        <v>2023</v>
      </c>
      <c r="G53">
        <v>1</v>
      </c>
      <c r="H53" s="4">
        <f>SUMIFS(VolumesTable[Volume],VolumesTable[Products],$C53,VolumesTable[Period],EDATE($D53,-12))</f>
        <v>23483</v>
      </c>
    </row>
    <row r="54" spans="1:8" x14ac:dyDescent="0.3">
      <c r="A54" t="s">
        <v>73</v>
      </c>
      <c r="B54" t="s">
        <v>11</v>
      </c>
      <c r="C54" t="s">
        <v>16</v>
      </c>
      <c r="D54" s="3">
        <v>44958</v>
      </c>
      <c r="E54">
        <v>22555</v>
      </c>
      <c r="F54">
        <v>2023</v>
      </c>
      <c r="G54">
        <v>2</v>
      </c>
      <c r="H54" s="4">
        <f>SUMIFS(VolumesTable[Volume],VolumesTable[Products],$C54,VolumesTable[Period],EDATE($D54,-12))</f>
        <v>22382</v>
      </c>
    </row>
    <row r="55" spans="1:8" x14ac:dyDescent="0.3">
      <c r="A55" t="s">
        <v>73</v>
      </c>
      <c r="B55" t="s">
        <v>11</v>
      </c>
      <c r="C55" t="s">
        <v>16</v>
      </c>
      <c r="D55" s="3">
        <v>44986</v>
      </c>
      <c r="E55">
        <v>25951</v>
      </c>
      <c r="F55">
        <v>2023</v>
      </c>
      <c r="G55">
        <v>3</v>
      </c>
      <c r="H55" s="4">
        <f>SUMIFS(VolumesTable[Volume],VolumesTable[Products],$C55,VolumesTable[Period],EDATE($D55,-12))</f>
        <v>25758</v>
      </c>
    </row>
    <row r="56" spans="1:8" x14ac:dyDescent="0.3">
      <c r="A56" t="s">
        <v>73</v>
      </c>
      <c r="B56" t="s">
        <v>11</v>
      </c>
      <c r="C56" t="s">
        <v>16</v>
      </c>
      <c r="D56" s="3">
        <v>45017</v>
      </c>
      <c r="E56">
        <v>22578</v>
      </c>
      <c r="F56">
        <v>2023</v>
      </c>
      <c r="G56">
        <v>4</v>
      </c>
      <c r="H56" s="4">
        <f>SUMIFS(VolumesTable[Volume],VolumesTable[Products],$C56,VolumesTable[Period],EDATE($D56,-12))</f>
        <v>23536</v>
      </c>
    </row>
    <row r="57" spans="1:8" x14ac:dyDescent="0.3">
      <c r="A57" t="s">
        <v>73</v>
      </c>
      <c r="B57" t="s">
        <v>11</v>
      </c>
      <c r="C57" t="s">
        <v>16</v>
      </c>
      <c r="D57" s="3">
        <v>45047</v>
      </c>
      <c r="E57">
        <v>25977</v>
      </c>
      <c r="F57">
        <v>2023</v>
      </c>
      <c r="G57">
        <v>5</v>
      </c>
      <c r="H57" s="4">
        <f>SUMIFS(VolumesTable[Volume],VolumesTable[Products],$C57,VolumesTable[Period],EDATE($D57,-12))</f>
        <v>24674</v>
      </c>
    </row>
    <row r="58" spans="1:8" x14ac:dyDescent="0.3">
      <c r="A58" t="s">
        <v>73</v>
      </c>
      <c r="B58" t="s">
        <v>11</v>
      </c>
      <c r="C58" t="s">
        <v>16</v>
      </c>
      <c r="D58" s="3">
        <v>45078</v>
      </c>
      <c r="E58">
        <v>24861</v>
      </c>
      <c r="F58">
        <v>2023</v>
      </c>
      <c r="G58">
        <v>6</v>
      </c>
      <c r="H58" s="4">
        <f>SUMIFS(VolumesTable[Volume],VolumesTable[Products],$C58,VolumesTable[Period],EDATE($D58,-12))</f>
        <v>24691</v>
      </c>
    </row>
    <row r="59" spans="1:8" x14ac:dyDescent="0.3">
      <c r="A59" t="s">
        <v>73</v>
      </c>
      <c r="B59" t="s">
        <v>11</v>
      </c>
      <c r="C59" t="s">
        <v>16</v>
      </c>
      <c r="D59" s="3">
        <v>45108</v>
      </c>
      <c r="E59">
        <v>23742</v>
      </c>
      <c r="F59">
        <v>2023</v>
      </c>
      <c r="G59">
        <v>7</v>
      </c>
      <c r="H59" s="4">
        <f>SUMIFS(VolumesTable[Volume],VolumesTable[Products],$C59,VolumesTable[Period],EDATE($D59,-12))</f>
        <v>23585</v>
      </c>
    </row>
    <row r="60" spans="1:8" x14ac:dyDescent="0.3">
      <c r="A60" t="s">
        <v>73</v>
      </c>
      <c r="B60" t="s">
        <v>11</v>
      </c>
      <c r="C60" t="s">
        <v>16</v>
      </c>
      <c r="D60" s="3">
        <v>45139</v>
      </c>
      <c r="E60">
        <v>26015</v>
      </c>
      <c r="F60">
        <v>2023</v>
      </c>
      <c r="G60">
        <v>8</v>
      </c>
      <c r="H60" s="4">
        <f>SUMIFS(VolumesTable[Volume],VolumesTable[Products],$C60,VolumesTable[Period],EDATE($D60,-12))</f>
        <v>25847</v>
      </c>
    </row>
    <row r="61" spans="1:8" x14ac:dyDescent="0.3">
      <c r="A61" t="s">
        <v>73</v>
      </c>
      <c r="B61" t="s">
        <v>11</v>
      </c>
      <c r="C61" t="s">
        <v>16</v>
      </c>
      <c r="D61" s="3">
        <v>45170</v>
      </c>
      <c r="E61">
        <v>23764</v>
      </c>
      <c r="F61">
        <v>2023</v>
      </c>
      <c r="G61">
        <v>9</v>
      </c>
      <c r="H61" s="4">
        <f>SUMIFS(VolumesTable[Volume],VolumesTable[Products],$C61,VolumesTable[Period],EDATE($D61,-12))</f>
        <v>24740</v>
      </c>
    </row>
    <row r="62" spans="1:8" x14ac:dyDescent="0.3">
      <c r="A62" t="s">
        <v>73</v>
      </c>
      <c r="B62" t="s">
        <v>11</v>
      </c>
      <c r="C62" t="s">
        <v>16</v>
      </c>
      <c r="D62" s="3">
        <v>45200</v>
      </c>
      <c r="E62">
        <v>24906</v>
      </c>
      <c r="F62">
        <v>2023</v>
      </c>
      <c r="G62">
        <v>10</v>
      </c>
      <c r="H62" s="4">
        <f>SUMIFS(VolumesTable[Volume],VolumesTable[Products],$C62,VolumesTable[Period],EDATE($D62,-12))</f>
        <v>23630</v>
      </c>
    </row>
    <row r="63" spans="1:8" x14ac:dyDescent="0.3">
      <c r="A63" t="s">
        <v>73</v>
      </c>
      <c r="B63" t="s">
        <v>11</v>
      </c>
      <c r="C63" t="s">
        <v>16</v>
      </c>
      <c r="D63" s="3">
        <v>45231</v>
      </c>
      <c r="E63">
        <v>24917</v>
      </c>
      <c r="F63">
        <v>2023</v>
      </c>
      <c r="G63">
        <v>11</v>
      </c>
      <c r="H63" s="4">
        <f>SUMIFS(VolumesTable[Volume],VolumesTable[Products],$C63,VolumesTable[Period],EDATE($D63,-12))</f>
        <v>24769</v>
      </c>
    </row>
    <row r="64" spans="1:8" x14ac:dyDescent="0.3">
      <c r="A64" t="s">
        <v>73</v>
      </c>
      <c r="B64" t="s">
        <v>11</v>
      </c>
      <c r="C64" t="s">
        <v>16</v>
      </c>
      <c r="D64" s="3">
        <v>45261</v>
      </c>
      <c r="E64">
        <v>23795</v>
      </c>
      <c r="F64">
        <v>2023</v>
      </c>
      <c r="G64">
        <v>12</v>
      </c>
      <c r="H64" s="4">
        <f>SUMIFS(VolumesTable[Volume],VolumesTable[Products],$C64,VolumesTable[Period],EDATE($D64,-12))</f>
        <v>24783</v>
      </c>
    </row>
    <row r="65" spans="1:8" x14ac:dyDescent="0.3">
      <c r="A65" t="s">
        <v>73</v>
      </c>
      <c r="B65" t="s">
        <v>11</v>
      </c>
      <c r="C65" t="s">
        <v>15</v>
      </c>
      <c r="D65" s="3">
        <v>44927</v>
      </c>
      <c r="E65">
        <v>35719</v>
      </c>
      <c r="F65">
        <v>2023</v>
      </c>
      <c r="G65">
        <v>1</v>
      </c>
      <c r="H65" s="4">
        <f>SUMIFS(VolumesTable[Volume],VolumesTable[Products],$C65,VolumesTable[Period],EDATE($D65,-12))</f>
        <v>34851</v>
      </c>
    </row>
    <row r="66" spans="1:8" x14ac:dyDescent="0.3">
      <c r="A66" t="s">
        <v>73</v>
      </c>
      <c r="B66" t="s">
        <v>11</v>
      </c>
      <c r="C66" t="s">
        <v>15</v>
      </c>
      <c r="D66" s="3">
        <v>44958</v>
      </c>
      <c r="E66">
        <v>32463</v>
      </c>
      <c r="F66">
        <v>2023</v>
      </c>
      <c r="G66">
        <v>2</v>
      </c>
      <c r="H66" s="4">
        <f>SUMIFS(VolumesTable[Volume],VolumesTable[Products],$C66,VolumesTable[Period],EDATE($D66,-12))</f>
        <v>33217</v>
      </c>
    </row>
    <row r="67" spans="1:8" x14ac:dyDescent="0.3">
      <c r="A67" t="s">
        <v>73</v>
      </c>
      <c r="B67" t="s">
        <v>11</v>
      </c>
      <c r="C67" t="s">
        <v>15</v>
      </c>
      <c r="D67" s="3">
        <v>44986</v>
      </c>
      <c r="E67">
        <v>37324</v>
      </c>
      <c r="F67">
        <v>2023</v>
      </c>
      <c r="G67">
        <v>3</v>
      </c>
      <c r="H67" s="4">
        <f>SUMIFS(VolumesTable[Volume],VolumesTable[Products],$C67,VolumesTable[Period],EDATE($D67,-12))</f>
        <v>38227</v>
      </c>
    </row>
    <row r="68" spans="1:8" x14ac:dyDescent="0.3">
      <c r="A68" t="s">
        <v>73</v>
      </c>
      <c r="B68" t="s">
        <v>11</v>
      </c>
      <c r="C68" t="s">
        <v>15</v>
      </c>
      <c r="D68" s="3">
        <v>45017</v>
      </c>
      <c r="E68">
        <v>32446</v>
      </c>
      <c r="F68">
        <v>2023</v>
      </c>
      <c r="G68">
        <v>4</v>
      </c>
      <c r="H68" s="4">
        <f>SUMIFS(VolumesTable[Volume],VolumesTable[Products],$C68,VolumesTable[Period],EDATE($D68,-12))</f>
        <v>34930</v>
      </c>
    </row>
    <row r="69" spans="1:8" x14ac:dyDescent="0.3">
      <c r="A69" t="s">
        <v>73</v>
      </c>
      <c r="B69" t="s">
        <v>11</v>
      </c>
      <c r="C69" t="s">
        <v>15</v>
      </c>
      <c r="D69" s="3">
        <v>45047</v>
      </c>
      <c r="E69">
        <v>37305</v>
      </c>
      <c r="F69">
        <v>2023</v>
      </c>
      <c r="G69">
        <v>5</v>
      </c>
      <c r="H69" s="4">
        <f>SUMIFS(VolumesTable[Volume],VolumesTable[Products],$C69,VolumesTable[Period],EDATE($D69,-12))</f>
        <v>36619</v>
      </c>
    </row>
    <row r="70" spans="1:8" x14ac:dyDescent="0.3">
      <c r="A70" t="s">
        <v>73</v>
      </c>
      <c r="B70" t="s">
        <v>11</v>
      </c>
      <c r="C70" t="s">
        <v>15</v>
      </c>
      <c r="D70" s="3">
        <v>45078</v>
      </c>
      <c r="E70">
        <v>35674</v>
      </c>
      <c r="F70">
        <v>2023</v>
      </c>
      <c r="G70">
        <v>6</v>
      </c>
      <c r="H70" s="4">
        <f>SUMIFS(VolumesTable[Volume],VolumesTable[Products],$C70,VolumesTable[Period],EDATE($D70,-12))</f>
        <v>36644</v>
      </c>
    </row>
    <row r="71" spans="1:8" x14ac:dyDescent="0.3">
      <c r="A71" t="s">
        <v>73</v>
      </c>
      <c r="B71" t="s">
        <v>11</v>
      </c>
      <c r="C71" t="s">
        <v>15</v>
      </c>
      <c r="D71" s="3">
        <v>45108</v>
      </c>
      <c r="E71">
        <v>34044</v>
      </c>
      <c r="F71">
        <v>2023</v>
      </c>
      <c r="G71">
        <v>7</v>
      </c>
      <c r="H71" s="4">
        <f>SUMIFS(VolumesTable[Volume],VolumesTable[Products],$C71,VolumesTable[Period],EDATE($D71,-12))</f>
        <v>35002</v>
      </c>
    </row>
    <row r="72" spans="1:8" x14ac:dyDescent="0.3">
      <c r="A72" t="s">
        <v>73</v>
      </c>
      <c r="B72" t="s">
        <v>11</v>
      </c>
      <c r="C72" t="s">
        <v>15</v>
      </c>
      <c r="D72" s="3">
        <v>45139</v>
      </c>
      <c r="E72">
        <v>37278</v>
      </c>
      <c r="F72">
        <v>2023</v>
      </c>
      <c r="G72">
        <v>8</v>
      </c>
      <c r="H72" s="4">
        <f>SUMIFS(VolumesTable[Volume],VolumesTable[Products],$C72,VolumesTable[Period],EDATE($D72,-12))</f>
        <v>38360</v>
      </c>
    </row>
    <row r="73" spans="1:8" x14ac:dyDescent="0.3">
      <c r="A73" t="s">
        <v>73</v>
      </c>
      <c r="B73" t="s">
        <v>11</v>
      </c>
      <c r="C73" t="s">
        <v>15</v>
      </c>
      <c r="D73" s="3">
        <v>45170</v>
      </c>
      <c r="E73">
        <v>34028</v>
      </c>
      <c r="F73">
        <v>2023</v>
      </c>
      <c r="G73">
        <v>9</v>
      </c>
      <c r="H73" s="4">
        <f>SUMIFS(VolumesTable[Volume],VolumesTable[Products],$C73,VolumesTable[Period],EDATE($D73,-12))</f>
        <v>36716</v>
      </c>
    </row>
    <row r="74" spans="1:8" x14ac:dyDescent="0.3">
      <c r="A74" t="s">
        <v>73</v>
      </c>
      <c r="B74" t="s">
        <v>11</v>
      </c>
      <c r="C74" t="s">
        <v>15</v>
      </c>
      <c r="D74" s="3">
        <v>45200</v>
      </c>
      <c r="E74">
        <v>35641</v>
      </c>
      <c r="F74">
        <v>2023</v>
      </c>
      <c r="G74">
        <v>10</v>
      </c>
      <c r="H74" s="4">
        <f>SUMIFS(VolumesTable[Volume],VolumesTable[Products],$C74,VolumesTable[Period],EDATE($D74,-12))</f>
        <v>35069</v>
      </c>
    </row>
    <row r="75" spans="1:8" x14ac:dyDescent="0.3">
      <c r="A75" t="s">
        <v>73</v>
      </c>
      <c r="B75" t="s">
        <v>11</v>
      </c>
      <c r="C75" t="s">
        <v>15</v>
      </c>
      <c r="D75" s="3">
        <v>45231</v>
      </c>
      <c r="E75">
        <v>35633</v>
      </c>
      <c r="F75">
        <v>2023</v>
      </c>
      <c r="G75">
        <v>11</v>
      </c>
      <c r="H75" s="4">
        <f>SUMIFS(VolumesTable[Volume],VolumesTable[Products],$C75,VolumesTable[Period],EDATE($D75,-12))</f>
        <v>36760</v>
      </c>
    </row>
    <row r="76" spans="1:8" x14ac:dyDescent="0.3">
      <c r="A76" t="s">
        <v>73</v>
      </c>
      <c r="B76" t="s">
        <v>11</v>
      </c>
      <c r="C76" t="s">
        <v>15</v>
      </c>
      <c r="D76" s="3">
        <v>45261</v>
      </c>
      <c r="E76">
        <v>34006</v>
      </c>
      <c r="F76">
        <v>2023</v>
      </c>
      <c r="G76">
        <v>12</v>
      </c>
      <c r="H76" s="4">
        <f>SUMIFS(VolumesTable[Volume],VolumesTable[Products],$C76,VolumesTable[Period],EDATE($D76,-12))</f>
        <v>36781</v>
      </c>
    </row>
    <row r="77" spans="1:8" x14ac:dyDescent="0.3">
      <c r="A77" t="s">
        <v>73</v>
      </c>
      <c r="B77" t="s">
        <v>11</v>
      </c>
      <c r="C77" t="s">
        <v>13</v>
      </c>
      <c r="D77" s="3">
        <v>44927</v>
      </c>
      <c r="E77">
        <v>20264</v>
      </c>
      <c r="F77">
        <v>2023</v>
      </c>
      <c r="G77">
        <v>1</v>
      </c>
      <c r="H77" s="4">
        <f>SUMIFS(VolumesTable[Volume],VolumesTable[Products],$C77,VolumesTable[Period],EDATE($D77,-12))</f>
        <v>19258</v>
      </c>
    </row>
    <row r="78" spans="1:8" x14ac:dyDescent="0.3">
      <c r="A78" t="s">
        <v>73</v>
      </c>
      <c r="B78" t="s">
        <v>11</v>
      </c>
      <c r="C78" t="s">
        <v>13</v>
      </c>
      <c r="D78" s="3">
        <v>44958</v>
      </c>
      <c r="E78">
        <v>18427</v>
      </c>
      <c r="F78">
        <v>2023</v>
      </c>
      <c r="G78">
        <v>2</v>
      </c>
      <c r="H78" s="4">
        <f>SUMIFS(VolumesTable[Volume],VolumesTable[Products],$C78,VolumesTable[Period],EDATE($D78,-12))</f>
        <v>18349</v>
      </c>
    </row>
    <row r="79" spans="1:8" x14ac:dyDescent="0.3">
      <c r="A79" t="s">
        <v>73</v>
      </c>
      <c r="B79" t="s">
        <v>11</v>
      </c>
      <c r="C79" t="s">
        <v>13</v>
      </c>
      <c r="D79" s="3">
        <v>44986</v>
      </c>
      <c r="E79">
        <v>21197</v>
      </c>
      <c r="F79">
        <v>2023</v>
      </c>
      <c r="G79">
        <v>3</v>
      </c>
      <c r="H79" s="4">
        <f>SUMIFS(VolumesTable[Volume],VolumesTable[Products],$C79,VolumesTable[Period],EDATE($D79,-12))</f>
        <v>21110</v>
      </c>
    </row>
    <row r="80" spans="1:8" x14ac:dyDescent="0.3">
      <c r="A80" t="s">
        <v>73</v>
      </c>
      <c r="B80" t="s">
        <v>11</v>
      </c>
      <c r="C80" t="s">
        <v>13</v>
      </c>
      <c r="D80" s="3">
        <v>45017</v>
      </c>
      <c r="E80">
        <v>18437</v>
      </c>
      <c r="F80">
        <v>2023</v>
      </c>
      <c r="G80">
        <v>4</v>
      </c>
      <c r="H80" s="4">
        <f>SUMIFS(VolumesTable[Volume],VolumesTable[Products],$C80,VolumesTable[Period],EDATE($D80,-12))</f>
        <v>19282</v>
      </c>
    </row>
    <row r="81" spans="1:8" x14ac:dyDescent="0.3">
      <c r="A81" t="s">
        <v>73</v>
      </c>
      <c r="B81" t="s">
        <v>11</v>
      </c>
      <c r="C81" t="s">
        <v>13</v>
      </c>
      <c r="D81" s="3">
        <v>45047</v>
      </c>
      <c r="E81">
        <v>21208</v>
      </c>
      <c r="F81">
        <v>2023</v>
      </c>
      <c r="G81">
        <v>5</v>
      </c>
      <c r="H81" s="4">
        <f>SUMIFS(VolumesTable[Volume],VolumesTable[Products],$C81,VolumesTable[Period],EDATE($D81,-12))</f>
        <v>20208</v>
      </c>
    </row>
    <row r="82" spans="1:8" x14ac:dyDescent="0.3">
      <c r="A82" t="s">
        <v>73</v>
      </c>
      <c r="B82" t="s">
        <v>11</v>
      </c>
      <c r="C82" t="s">
        <v>13</v>
      </c>
      <c r="D82" s="3">
        <v>45078</v>
      </c>
      <c r="E82">
        <v>20292</v>
      </c>
      <c r="F82">
        <v>2023</v>
      </c>
      <c r="G82">
        <v>6</v>
      </c>
      <c r="H82" s="4">
        <f>SUMIFS(VolumesTable[Volume],VolumesTable[Products],$C82,VolumesTable[Period],EDATE($D82,-12))</f>
        <v>20216</v>
      </c>
    </row>
    <row r="83" spans="1:8" x14ac:dyDescent="0.3">
      <c r="A83" t="s">
        <v>73</v>
      </c>
      <c r="B83" t="s">
        <v>11</v>
      </c>
      <c r="C83" t="s">
        <v>13</v>
      </c>
      <c r="D83" s="3">
        <v>45108</v>
      </c>
      <c r="E83">
        <v>19375</v>
      </c>
      <c r="F83">
        <v>2023</v>
      </c>
      <c r="G83">
        <v>7</v>
      </c>
      <c r="H83" s="4">
        <f>SUMIFS(VolumesTable[Volume],VolumesTable[Products],$C83,VolumesTable[Period],EDATE($D83,-12))</f>
        <v>19304</v>
      </c>
    </row>
    <row r="84" spans="1:8" x14ac:dyDescent="0.3">
      <c r="A84" t="s">
        <v>73</v>
      </c>
      <c r="B84" t="s">
        <v>11</v>
      </c>
      <c r="C84" t="s">
        <v>13</v>
      </c>
      <c r="D84" s="3">
        <v>45139</v>
      </c>
      <c r="E84">
        <v>21225</v>
      </c>
      <c r="F84">
        <v>2023</v>
      </c>
      <c r="G84">
        <v>8</v>
      </c>
      <c r="H84" s="4">
        <f>SUMIFS(VolumesTable[Volume],VolumesTable[Products],$C84,VolumesTable[Period],EDATE($D84,-12))</f>
        <v>21150</v>
      </c>
    </row>
    <row r="85" spans="1:8" x14ac:dyDescent="0.3">
      <c r="A85" t="s">
        <v>73</v>
      </c>
      <c r="B85" t="s">
        <v>11</v>
      </c>
      <c r="C85" t="s">
        <v>13</v>
      </c>
      <c r="D85" s="3">
        <v>45170</v>
      </c>
      <c r="E85">
        <v>19385</v>
      </c>
      <c r="F85">
        <v>2023</v>
      </c>
      <c r="G85">
        <v>9</v>
      </c>
      <c r="H85" s="4">
        <f>SUMIFS(VolumesTable[Volume],VolumesTable[Products],$C85,VolumesTable[Period],EDATE($D85,-12))</f>
        <v>20238</v>
      </c>
    </row>
    <row r="86" spans="1:8" x14ac:dyDescent="0.3">
      <c r="A86" t="s">
        <v>73</v>
      </c>
      <c r="B86" t="s">
        <v>11</v>
      </c>
      <c r="C86" t="s">
        <v>13</v>
      </c>
      <c r="D86" s="3">
        <v>45200</v>
      </c>
      <c r="E86">
        <v>20313</v>
      </c>
      <c r="F86">
        <v>2023</v>
      </c>
      <c r="G86">
        <v>10</v>
      </c>
      <c r="H86" s="4">
        <f>SUMIFS(VolumesTable[Volume],VolumesTable[Products],$C86,VolumesTable[Period],EDATE($D86,-12))</f>
        <v>19324</v>
      </c>
    </row>
    <row r="87" spans="1:8" x14ac:dyDescent="0.3">
      <c r="A87" t="s">
        <v>73</v>
      </c>
      <c r="B87" t="s">
        <v>11</v>
      </c>
      <c r="C87" t="s">
        <v>13</v>
      </c>
      <c r="D87" s="3">
        <v>45231</v>
      </c>
      <c r="E87">
        <v>20318</v>
      </c>
      <c r="F87">
        <v>2023</v>
      </c>
      <c r="G87">
        <v>11</v>
      </c>
      <c r="H87" s="4">
        <f>SUMIFS(VolumesTable[Volume],VolumesTable[Products],$C87,VolumesTable[Period],EDATE($D87,-12))</f>
        <v>20251</v>
      </c>
    </row>
    <row r="88" spans="1:8" x14ac:dyDescent="0.3">
      <c r="A88" t="s">
        <v>73</v>
      </c>
      <c r="B88" t="s">
        <v>11</v>
      </c>
      <c r="C88" t="s">
        <v>13</v>
      </c>
      <c r="D88" s="3">
        <v>45261</v>
      </c>
      <c r="E88">
        <v>19399</v>
      </c>
      <c r="F88">
        <v>2023</v>
      </c>
      <c r="G88">
        <v>12</v>
      </c>
      <c r="H88" s="4">
        <f>SUMIFS(VolumesTable[Volume],VolumesTable[Products],$C88,VolumesTable[Period],EDATE($D88,-12))</f>
        <v>20257</v>
      </c>
    </row>
    <row r="89" spans="1:8" x14ac:dyDescent="0.3">
      <c r="A89" t="s">
        <v>73</v>
      </c>
      <c r="B89" t="s">
        <v>11</v>
      </c>
      <c r="C89" t="s">
        <v>14</v>
      </c>
      <c r="D89" s="3">
        <v>44927</v>
      </c>
      <c r="E89">
        <v>16657</v>
      </c>
      <c r="F89">
        <v>2023</v>
      </c>
      <c r="G89">
        <v>1</v>
      </c>
      <c r="H89" s="4">
        <f>SUMIFS(VolumesTable[Volume],VolumesTable[Products],$C89,VolumesTable[Period],EDATE($D89,-12))</f>
        <v>15931</v>
      </c>
    </row>
    <row r="90" spans="1:8" x14ac:dyDescent="0.3">
      <c r="A90" t="s">
        <v>73</v>
      </c>
      <c r="B90" t="s">
        <v>11</v>
      </c>
      <c r="C90" t="s">
        <v>14</v>
      </c>
      <c r="D90" s="3">
        <v>44958</v>
      </c>
      <c r="E90">
        <v>15140</v>
      </c>
      <c r="F90">
        <v>2023</v>
      </c>
      <c r="G90">
        <v>2</v>
      </c>
      <c r="H90" s="4">
        <f>SUMIFS(VolumesTable[Volume],VolumesTable[Products],$C90,VolumesTable[Period],EDATE($D90,-12))</f>
        <v>15170</v>
      </c>
    </row>
    <row r="91" spans="1:8" x14ac:dyDescent="0.3">
      <c r="A91" t="s">
        <v>73</v>
      </c>
      <c r="B91" t="s">
        <v>11</v>
      </c>
      <c r="C91" t="s">
        <v>14</v>
      </c>
      <c r="D91" s="3">
        <v>44986</v>
      </c>
      <c r="E91">
        <v>17409</v>
      </c>
      <c r="F91">
        <v>2023</v>
      </c>
      <c r="G91">
        <v>3</v>
      </c>
      <c r="H91" s="4">
        <f>SUMIFS(VolumesTable[Volume],VolumesTable[Products],$C91,VolumesTable[Period],EDATE($D91,-12))</f>
        <v>17442</v>
      </c>
    </row>
    <row r="92" spans="1:8" x14ac:dyDescent="0.3">
      <c r="A92" t="s">
        <v>73</v>
      </c>
      <c r="B92" t="s">
        <v>11</v>
      </c>
      <c r="C92" t="s">
        <v>14</v>
      </c>
      <c r="D92" s="3">
        <v>45017</v>
      </c>
      <c r="E92">
        <v>15136</v>
      </c>
      <c r="F92">
        <v>2023</v>
      </c>
      <c r="G92">
        <v>4</v>
      </c>
      <c r="H92" s="4">
        <f>SUMIFS(VolumesTable[Volume],VolumesTable[Products],$C92,VolumesTable[Period],EDATE($D92,-12))</f>
        <v>15922</v>
      </c>
    </row>
    <row r="93" spans="1:8" x14ac:dyDescent="0.3">
      <c r="A93" t="s">
        <v>73</v>
      </c>
      <c r="B93" t="s">
        <v>11</v>
      </c>
      <c r="C93" t="s">
        <v>14</v>
      </c>
      <c r="D93" s="3">
        <v>45047</v>
      </c>
      <c r="E93">
        <v>17405</v>
      </c>
      <c r="F93">
        <v>2023</v>
      </c>
      <c r="G93">
        <v>5</v>
      </c>
      <c r="H93" s="4">
        <f>SUMIFS(VolumesTable[Volume],VolumesTable[Products],$C93,VolumesTable[Period],EDATE($D93,-12))</f>
        <v>16677</v>
      </c>
    </row>
    <row r="94" spans="1:8" x14ac:dyDescent="0.3">
      <c r="A94" t="s">
        <v>73</v>
      </c>
      <c r="B94" t="s">
        <v>11</v>
      </c>
      <c r="C94" t="s">
        <v>14</v>
      </c>
      <c r="D94" s="3">
        <v>45078</v>
      </c>
      <c r="E94">
        <v>16646</v>
      </c>
      <c r="F94">
        <v>2023</v>
      </c>
      <c r="G94">
        <v>6</v>
      </c>
      <c r="H94" s="4">
        <f>SUMIFS(VolumesTable[Volume],VolumesTable[Products],$C94,VolumesTable[Period],EDATE($D94,-12))</f>
        <v>16675</v>
      </c>
    </row>
    <row r="95" spans="1:8" x14ac:dyDescent="0.3">
      <c r="A95" t="s">
        <v>73</v>
      </c>
      <c r="B95" t="s">
        <v>11</v>
      </c>
      <c r="C95" t="s">
        <v>14</v>
      </c>
      <c r="D95" s="3">
        <v>45108</v>
      </c>
      <c r="E95">
        <v>15887</v>
      </c>
      <c r="F95">
        <v>2023</v>
      </c>
      <c r="G95">
        <v>7</v>
      </c>
      <c r="H95" s="4">
        <f>SUMIFS(VolumesTable[Volume],VolumesTable[Products],$C95,VolumesTable[Period],EDATE($D95,-12))</f>
        <v>15914</v>
      </c>
    </row>
    <row r="96" spans="1:8" x14ac:dyDescent="0.3">
      <c r="A96" t="s">
        <v>73</v>
      </c>
      <c r="B96" t="s">
        <v>11</v>
      </c>
      <c r="C96" t="s">
        <v>14</v>
      </c>
      <c r="D96" s="3">
        <v>45139</v>
      </c>
      <c r="E96">
        <v>17399</v>
      </c>
      <c r="F96">
        <v>2023</v>
      </c>
      <c r="G96">
        <v>8</v>
      </c>
      <c r="H96" s="4">
        <f>SUMIFS(VolumesTable[Volume],VolumesTable[Products],$C96,VolumesTable[Period],EDATE($D96,-12))</f>
        <v>17427</v>
      </c>
    </row>
    <row r="97" spans="1:8" x14ac:dyDescent="0.3">
      <c r="A97" t="s">
        <v>73</v>
      </c>
      <c r="B97" t="s">
        <v>11</v>
      </c>
      <c r="C97" t="s">
        <v>14</v>
      </c>
      <c r="D97" s="3">
        <v>45170</v>
      </c>
      <c r="E97">
        <v>15884</v>
      </c>
      <c r="F97">
        <v>2023</v>
      </c>
      <c r="G97">
        <v>9</v>
      </c>
      <c r="H97" s="4">
        <f>SUMIFS(VolumesTable[Volume],VolumesTable[Products],$C97,VolumesTable[Period],EDATE($D97,-12))</f>
        <v>16666</v>
      </c>
    </row>
    <row r="98" spans="1:8" x14ac:dyDescent="0.3">
      <c r="A98" t="s">
        <v>73</v>
      </c>
      <c r="B98" t="s">
        <v>11</v>
      </c>
      <c r="C98" t="s">
        <v>14</v>
      </c>
      <c r="D98" s="3">
        <v>45200</v>
      </c>
      <c r="E98">
        <v>16638</v>
      </c>
      <c r="F98">
        <v>2023</v>
      </c>
      <c r="G98">
        <v>10</v>
      </c>
      <c r="H98" s="4">
        <f>SUMIFS(VolumesTable[Volume],VolumesTable[Products],$C98,VolumesTable[Period],EDATE($D98,-12))</f>
        <v>15906</v>
      </c>
    </row>
    <row r="99" spans="1:8" x14ac:dyDescent="0.3">
      <c r="A99" t="s">
        <v>73</v>
      </c>
      <c r="B99" t="s">
        <v>11</v>
      </c>
      <c r="C99" t="s">
        <v>14</v>
      </c>
      <c r="D99" s="3">
        <v>45231</v>
      </c>
      <c r="E99">
        <v>16637</v>
      </c>
      <c r="F99">
        <v>2023</v>
      </c>
      <c r="G99">
        <v>11</v>
      </c>
      <c r="H99" s="4">
        <f>SUMIFS(VolumesTable[Volume],VolumesTable[Products],$C99,VolumesTable[Period],EDATE($D99,-12))</f>
        <v>16661</v>
      </c>
    </row>
    <row r="100" spans="1:8" x14ac:dyDescent="0.3">
      <c r="A100" t="s">
        <v>73</v>
      </c>
      <c r="B100" t="s">
        <v>11</v>
      </c>
      <c r="C100" t="s">
        <v>14</v>
      </c>
      <c r="D100" s="3">
        <v>45261</v>
      </c>
      <c r="E100">
        <v>15879</v>
      </c>
      <c r="F100">
        <v>2023</v>
      </c>
      <c r="G100">
        <v>12</v>
      </c>
      <c r="H100" s="4">
        <f>SUMIFS(VolumesTable[Volume],VolumesTable[Products],$C100,VolumesTable[Period],EDATE($D100,-12))</f>
        <v>16659</v>
      </c>
    </row>
    <row r="101" spans="1:8" x14ac:dyDescent="0.3">
      <c r="A101" t="s">
        <v>21</v>
      </c>
      <c r="B101" t="s">
        <v>12</v>
      </c>
      <c r="C101" t="s">
        <v>17</v>
      </c>
      <c r="D101" s="3">
        <v>44927</v>
      </c>
      <c r="E101">
        <v>20550</v>
      </c>
      <c r="F101">
        <v>2023</v>
      </c>
      <c r="G101">
        <v>1</v>
      </c>
      <c r="H101" s="4">
        <f>SUMIFS(VolumesTable[Volume],VolumesTable[Products],$C101,VolumesTable[Period],EDATE($D101,-12))</f>
        <v>19538</v>
      </c>
    </row>
    <row r="102" spans="1:8" x14ac:dyDescent="0.3">
      <c r="A102" t="s">
        <v>21</v>
      </c>
      <c r="B102" t="s">
        <v>12</v>
      </c>
      <c r="C102" t="s">
        <v>17</v>
      </c>
      <c r="D102" s="3">
        <v>44958</v>
      </c>
      <c r="E102">
        <v>18687</v>
      </c>
      <c r="F102">
        <v>2023</v>
      </c>
      <c r="G102">
        <v>2</v>
      </c>
      <c r="H102" s="4">
        <f>SUMIFS(VolumesTable[Volume],VolumesTable[Products],$C102,VolumesTable[Period],EDATE($D102,-12))</f>
        <v>18615</v>
      </c>
    </row>
    <row r="103" spans="1:8" x14ac:dyDescent="0.3">
      <c r="A103" t="s">
        <v>21</v>
      </c>
      <c r="B103" t="s">
        <v>12</v>
      </c>
      <c r="C103" t="s">
        <v>17</v>
      </c>
      <c r="D103" s="3">
        <v>44986</v>
      </c>
      <c r="E103">
        <v>21495</v>
      </c>
      <c r="F103">
        <v>2023</v>
      </c>
      <c r="G103">
        <v>3</v>
      </c>
      <c r="H103" s="4">
        <f>SUMIFS(VolumesTable[Volume],VolumesTable[Products],$C103,VolumesTable[Period],EDATE($D103,-12))</f>
        <v>21414</v>
      </c>
    </row>
    <row r="104" spans="1:8" x14ac:dyDescent="0.3">
      <c r="A104" t="s">
        <v>21</v>
      </c>
      <c r="B104" t="s">
        <v>12</v>
      </c>
      <c r="C104" t="s">
        <v>17</v>
      </c>
      <c r="D104" s="3">
        <v>45017</v>
      </c>
      <c r="E104">
        <v>18696</v>
      </c>
      <c r="F104">
        <v>2023</v>
      </c>
      <c r="G104">
        <v>4</v>
      </c>
      <c r="H104" s="4">
        <f>SUMIFS(VolumesTable[Volume],VolumesTable[Products],$C104,VolumesTable[Period],EDATE($D104,-12))</f>
        <v>19560</v>
      </c>
    </row>
    <row r="105" spans="1:8" x14ac:dyDescent="0.3">
      <c r="A105" t="s">
        <v>21</v>
      </c>
      <c r="B105" t="s">
        <v>12</v>
      </c>
      <c r="C105" t="s">
        <v>17</v>
      </c>
      <c r="D105" s="3">
        <v>45047</v>
      </c>
      <c r="E105">
        <v>21505</v>
      </c>
      <c r="F105">
        <v>2023</v>
      </c>
      <c r="G105">
        <v>5</v>
      </c>
      <c r="H105" s="4">
        <f>SUMIFS(VolumesTable[Volume],VolumesTable[Products],$C105,VolumesTable[Period],EDATE($D105,-12))</f>
        <v>20498</v>
      </c>
    </row>
    <row r="106" spans="1:8" x14ac:dyDescent="0.3">
      <c r="A106" t="s">
        <v>21</v>
      </c>
      <c r="B106" t="s">
        <v>12</v>
      </c>
      <c r="C106" t="s">
        <v>17</v>
      </c>
      <c r="D106" s="3">
        <v>45078</v>
      </c>
      <c r="E106">
        <v>20576</v>
      </c>
      <c r="F106">
        <v>2023</v>
      </c>
      <c r="G106">
        <v>6</v>
      </c>
      <c r="H106" s="4">
        <f>SUMIFS(VolumesTable[Volume],VolumesTable[Products],$C106,VolumesTable[Period],EDATE($D106,-12))</f>
        <v>20506</v>
      </c>
    </row>
    <row r="107" spans="1:8" x14ac:dyDescent="0.3">
      <c r="A107" t="s">
        <v>21</v>
      </c>
      <c r="B107" t="s">
        <v>12</v>
      </c>
      <c r="C107" t="s">
        <v>17</v>
      </c>
      <c r="D107" s="3">
        <v>45108</v>
      </c>
      <c r="E107">
        <v>19645</v>
      </c>
      <c r="F107">
        <v>2023</v>
      </c>
      <c r="G107">
        <v>7</v>
      </c>
      <c r="H107" s="4">
        <f>SUMIFS(VolumesTable[Volume],VolumesTable[Products],$C107,VolumesTable[Period],EDATE($D107,-12))</f>
        <v>19580</v>
      </c>
    </row>
    <row r="108" spans="1:8" x14ac:dyDescent="0.3">
      <c r="A108" t="s">
        <v>21</v>
      </c>
      <c r="B108" t="s">
        <v>12</v>
      </c>
      <c r="C108" t="s">
        <v>17</v>
      </c>
      <c r="D108" s="3">
        <v>45139</v>
      </c>
      <c r="E108">
        <v>21521</v>
      </c>
      <c r="F108">
        <v>2023</v>
      </c>
      <c r="G108">
        <v>8</v>
      </c>
      <c r="H108" s="4">
        <f>SUMIFS(VolumesTable[Volume],VolumesTable[Products],$C108,VolumesTable[Period],EDATE($D108,-12))</f>
        <v>21452</v>
      </c>
    </row>
    <row r="109" spans="1:8" x14ac:dyDescent="0.3">
      <c r="A109" t="s">
        <v>21</v>
      </c>
      <c r="B109" t="s">
        <v>12</v>
      </c>
      <c r="C109" t="s">
        <v>17</v>
      </c>
      <c r="D109" s="3">
        <v>45170</v>
      </c>
      <c r="E109">
        <v>19654</v>
      </c>
      <c r="F109">
        <v>2023</v>
      </c>
      <c r="G109">
        <v>9</v>
      </c>
      <c r="H109" s="4">
        <f>SUMIFS(VolumesTable[Volume],VolumesTable[Products],$C109,VolumesTable[Period],EDATE($D109,-12))</f>
        <v>20526</v>
      </c>
    </row>
    <row r="110" spans="1:8" x14ac:dyDescent="0.3">
      <c r="A110" t="s">
        <v>21</v>
      </c>
      <c r="B110" t="s">
        <v>12</v>
      </c>
      <c r="C110" t="s">
        <v>17</v>
      </c>
      <c r="D110" s="3">
        <v>45200</v>
      </c>
      <c r="E110">
        <v>20595</v>
      </c>
      <c r="F110">
        <v>2023</v>
      </c>
      <c r="G110">
        <v>10</v>
      </c>
      <c r="H110" s="4">
        <f>SUMIFS(VolumesTable[Volume],VolumesTable[Products],$C110,VolumesTable[Period],EDATE($D110,-12))</f>
        <v>19599</v>
      </c>
    </row>
    <row r="111" spans="1:8" x14ac:dyDescent="0.3">
      <c r="A111" t="s">
        <v>21</v>
      </c>
      <c r="B111" t="s">
        <v>12</v>
      </c>
      <c r="C111" t="s">
        <v>17</v>
      </c>
      <c r="D111" s="3">
        <v>45231</v>
      </c>
      <c r="E111">
        <v>20599</v>
      </c>
      <c r="F111">
        <v>2023</v>
      </c>
      <c r="G111">
        <v>11</v>
      </c>
      <c r="H111" s="4">
        <f>SUMIFS(VolumesTable[Volume],VolumesTable[Products],$C111,VolumesTable[Period],EDATE($D111,-12))</f>
        <v>20538</v>
      </c>
    </row>
    <row r="112" spans="1:8" x14ac:dyDescent="0.3">
      <c r="A112" t="s">
        <v>21</v>
      </c>
      <c r="B112" t="s">
        <v>12</v>
      </c>
      <c r="C112" t="s">
        <v>17</v>
      </c>
      <c r="D112" s="3">
        <v>45261</v>
      </c>
      <c r="E112">
        <v>19667</v>
      </c>
      <c r="F112">
        <v>2023</v>
      </c>
      <c r="G112">
        <v>12</v>
      </c>
      <c r="H112" s="4">
        <f>SUMIFS(VolumesTable[Volume],VolumesTable[Products],$C112,VolumesTable[Period],EDATE($D112,-12))</f>
        <v>20544</v>
      </c>
    </row>
    <row r="113" spans="1:8" x14ac:dyDescent="0.3">
      <c r="A113" t="s">
        <v>21</v>
      </c>
      <c r="B113" t="s">
        <v>12</v>
      </c>
      <c r="C113" t="s">
        <v>19</v>
      </c>
      <c r="D113" s="3">
        <v>44927</v>
      </c>
      <c r="E113">
        <v>19040</v>
      </c>
      <c r="F113">
        <v>2023</v>
      </c>
      <c r="G113">
        <v>1</v>
      </c>
      <c r="H113" s="4">
        <f>SUMIFS(VolumesTable[Volume],VolumesTable[Products],$C113,VolumesTable[Period],EDATE($D113,-12))</f>
        <v>18031</v>
      </c>
    </row>
    <row r="114" spans="1:8" x14ac:dyDescent="0.3">
      <c r="A114" t="s">
        <v>21</v>
      </c>
      <c r="B114" t="s">
        <v>12</v>
      </c>
      <c r="C114" t="s">
        <v>19</v>
      </c>
      <c r="D114" s="3">
        <v>44958</v>
      </c>
      <c r="E114">
        <v>17318</v>
      </c>
      <c r="F114">
        <v>2023</v>
      </c>
      <c r="G114">
        <v>2</v>
      </c>
      <c r="H114" s="4">
        <f>SUMIFS(VolumesTable[Volume],VolumesTable[Products],$C114,VolumesTable[Period],EDATE($D114,-12))</f>
        <v>17185</v>
      </c>
    </row>
    <row r="115" spans="1:8" x14ac:dyDescent="0.3">
      <c r="A115" t="s">
        <v>21</v>
      </c>
      <c r="B115" t="s">
        <v>12</v>
      </c>
      <c r="C115" t="s">
        <v>19</v>
      </c>
      <c r="D115" s="3">
        <v>44986</v>
      </c>
      <c r="E115">
        <v>19926</v>
      </c>
      <c r="F115">
        <v>2023</v>
      </c>
      <c r="G115">
        <v>3</v>
      </c>
      <c r="H115" s="4">
        <f>SUMIFS(VolumesTable[Volume],VolumesTable[Products],$C115,VolumesTable[Period],EDATE($D115,-12))</f>
        <v>19777</v>
      </c>
    </row>
    <row r="116" spans="1:8" x14ac:dyDescent="0.3">
      <c r="A116" t="s">
        <v>21</v>
      </c>
      <c r="B116" t="s">
        <v>12</v>
      </c>
      <c r="C116" t="s">
        <v>19</v>
      </c>
      <c r="D116" s="3">
        <v>45017</v>
      </c>
      <c r="E116">
        <v>17336</v>
      </c>
      <c r="F116">
        <v>2023</v>
      </c>
      <c r="G116">
        <v>4</v>
      </c>
      <c r="H116" s="4">
        <f>SUMIFS(VolumesTable[Volume],VolumesTable[Products],$C116,VolumesTable[Period],EDATE($D116,-12))</f>
        <v>18072</v>
      </c>
    </row>
    <row r="117" spans="1:8" x14ac:dyDescent="0.3">
      <c r="A117" t="s">
        <v>21</v>
      </c>
      <c r="B117" t="s">
        <v>12</v>
      </c>
      <c r="C117" t="s">
        <v>19</v>
      </c>
      <c r="D117" s="3">
        <v>45047</v>
      </c>
      <c r="E117">
        <v>19946</v>
      </c>
      <c r="F117">
        <v>2023</v>
      </c>
      <c r="G117">
        <v>5</v>
      </c>
      <c r="H117" s="4">
        <f>SUMIFS(VolumesTable[Volume],VolumesTable[Products],$C117,VolumesTable[Period],EDATE($D117,-12))</f>
        <v>18945</v>
      </c>
    </row>
    <row r="118" spans="1:8" x14ac:dyDescent="0.3">
      <c r="A118" t="s">
        <v>21</v>
      </c>
      <c r="B118" t="s">
        <v>12</v>
      </c>
      <c r="C118" t="s">
        <v>19</v>
      </c>
      <c r="D118" s="3">
        <v>45078</v>
      </c>
      <c r="E118">
        <v>19088</v>
      </c>
      <c r="F118">
        <v>2023</v>
      </c>
      <c r="G118">
        <v>6</v>
      </c>
      <c r="H118" s="4">
        <f>SUMIFS(VolumesTable[Volume],VolumesTable[Products],$C118,VolumesTable[Period],EDATE($D118,-12))</f>
        <v>18958</v>
      </c>
    </row>
    <row r="119" spans="1:8" x14ac:dyDescent="0.3">
      <c r="A119" t="s">
        <v>21</v>
      </c>
      <c r="B119" t="s">
        <v>12</v>
      </c>
      <c r="C119" t="s">
        <v>19</v>
      </c>
      <c r="D119" s="3">
        <v>45108</v>
      </c>
      <c r="E119">
        <v>18229</v>
      </c>
      <c r="F119">
        <v>2023</v>
      </c>
      <c r="G119">
        <v>7</v>
      </c>
      <c r="H119" s="4">
        <f>SUMIFS(VolumesTable[Volume],VolumesTable[Products],$C119,VolumesTable[Period],EDATE($D119,-12))</f>
        <v>18109</v>
      </c>
    </row>
    <row r="120" spans="1:8" x14ac:dyDescent="0.3">
      <c r="A120" t="s">
        <v>21</v>
      </c>
      <c r="B120" t="s">
        <v>12</v>
      </c>
      <c r="C120" t="s">
        <v>19</v>
      </c>
      <c r="D120" s="3">
        <v>45139</v>
      </c>
      <c r="E120">
        <v>19975</v>
      </c>
      <c r="F120">
        <v>2023</v>
      </c>
      <c r="G120">
        <v>8</v>
      </c>
      <c r="H120" s="4">
        <f>SUMIFS(VolumesTable[Volume],VolumesTable[Products],$C120,VolumesTable[Period],EDATE($D120,-12))</f>
        <v>19846</v>
      </c>
    </row>
    <row r="121" spans="1:8" x14ac:dyDescent="0.3">
      <c r="A121" t="s">
        <v>21</v>
      </c>
      <c r="B121" t="s">
        <v>12</v>
      </c>
      <c r="C121" t="s">
        <v>19</v>
      </c>
      <c r="D121" s="3">
        <v>45170</v>
      </c>
      <c r="E121">
        <v>18246</v>
      </c>
      <c r="F121">
        <v>2023</v>
      </c>
      <c r="G121">
        <v>9</v>
      </c>
      <c r="H121" s="4">
        <f>SUMIFS(VolumesTable[Volume],VolumesTable[Products],$C121,VolumesTable[Period],EDATE($D121,-12))</f>
        <v>18996</v>
      </c>
    </row>
    <row r="122" spans="1:8" x14ac:dyDescent="0.3">
      <c r="A122" t="s">
        <v>21</v>
      </c>
      <c r="B122" t="s">
        <v>12</v>
      </c>
      <c r="C122" t="s">
        <v>19</v>
      </c>
      <c r="D122" s="3">
        <v>45200</v>
      </c>
      <c r="E122">
        <v>19123</v>
      </c>
      <c r="F122">
        <v>2023</v>
      </c>
      <c r="G122">
        <v>10</v>
      </c>
      <c r="H122" s="4">
        <f>SUMIFS(VolumesTable[Volume],VolumesTable[Products],$C122,VolumesTable[Period],EDATE($D122,-12))</f>
        <v>18143</v>
      </c>
    </row>
    <row r="123" spans="1:8" x14ac:dyDescent="0.3">
      <c r="A123" t="s">
        <v>21</v>
      </c>
      <c r="B123" t="s">
        <v>12</v>
      </c>
      <c r="C123" t="s">
        <v>19</v>
      </c>
      <c r="D123" s="3">
        <v>45231</v>
      </c>
      <c r="E123">
        <v>19132</v>
      </c>
      <c r="F123">
        <v>2023</v>
      </c>
      <c r="G123">
        <v>11</v>
      </c>
      <c r="H123" s="4">
        <f>SUMIFS(VolumesTable[Volume],VolumesTable[Products],$C123,VolumesTable[Period],EDATE($D123,-12))</f>
        <v>19018</v>
      </c>
    </row>
    <row r="124" spans="1:8" x14ac:dyDescent="0.3">
      <c r="A124" t="s">
        <v>21</v>
      </c>
      <c r="B124" t="s">
        <v>12</v>
      </c>
      <c r="C124" t="s">
        <v>19</v>
      </c>
      <c r="D124" s="3">
        <v>45261</v>
      </c>
      <c r="E124">
        <v>18270</v>
      </c>
      <c r="F124">
        <v>2023</v>
      </c>
      <c r="G124">
        <v>12</v>
      </c>
      <c r="H124" s="4">
        <f>SUMIFS(VolumesTable[Volume],VolumesTable[Products],$C124,VolumesTable[Period],EDATE($D124,-12))</f>
        <v>19029</v>
      </c>
    </row>
    <row r="125" spans="1:8" x14ac:dyDescent="0.3">
      <c r="A125" t="s">
        <v>21</v>
      </c>
      <c r="B125" t="s">
        <v>12</v>
      </c>
      <c r="C125" t="s">
        <v>18</v>
      </c>
      <c r="D125" s="3">
        <v>44927</v>
      </c>
      <c r="E125">
        <v>15847</v>
      </c>
      <c r="F125">
        <v>2023</v>
      </c>
      <c r="G125">
        <v>1</v>
      </c>
      <c r="H125" s="4">
        <f>SUMIFS(VolumesTable[Volume],VolumesTable[Products],$C125,VolumesTable[Period],EDATE($D125,-12))</f>
        <v>14862</v>
      </c>
    </row>
    <row r="126" spans="1:8" x14ac:dyDescent="0.3">
      <c r="A126" t="s">
        <v>21</v>
      </c>
      <c r="B126" t="s">
        <v>12</v>
      </c>
      <c r="C126" t="s">
        <v>18</v>
      </c>
      <c r="D126" s="3">
        <v>44958</v>
      </c>
      <c r="E126">
        <v>14418</v>
      </c>
      <c r="F126">
        <v>2023</v>
      </c>
      <c r="G126">
        <v>2</v>
      </c>
      <c r="H126" s="4">
        <f>SUMIFS(VolumesTable[Volume],VolumesTable[Products],$C126,VolumesTable[Period],EDATE($D126,-12))</f>
        <v>14165</v>
      </c>
    </row>
    <row r="127" spans="1:8" x14ac:dyDescent="0.3">
      <c r="A127" t="s">
        <v>21</v>
      </c>
      <c r="B127" t="s">
        <v>12</v>
      </c>
      <c r="C127" t="s">
        <v>18</v>
      </c>
      <c r="D127" s="3">
        <v>44986</v>
      </c>
      <c r="E127">
        <v>16593</v>
      </c>
      <c r="F127">
        <v>2023</v>
      </c>
      <c r="G127">
        <v>3</v>
      </c>
      <c r="H127" s="4">
        <f>SUMIFS(VolumesTable[Volume],VolumesTable[Products],$C127,VolumesTable[Period],EDATE($D127,-12))</f>
        <v>16301</v>
      </c>
    </row>
    <row r="128" spans="1:8" x14ac:dyDescent="0.3">
      <c r="A128" t="s">
        <v>21</v>
      </c>
      <c r="B128" t="s">
        <v>12</v>
      </c>
      <c r="C128" t="s">
        <v>18</v>
      </c>
      <c r="D128" s="3">
        <v>45017</v>
      </c>
      <c r="E128">
        <v>14440</v>
      </c>
      <c r="F128">
        <v>2023</v>
      </c>
      <c r="G128">
        <v>4</v>
      </c>
      <c r="H128" s="4">
        <f>SUMIFS(VolumesTable[Volume],VolumesTable[Products],$C128,VolumesTable[Period],EDATE($D128,-12))</f>
        <v>14895</v>
      </c>
    </row>
    <row r="129" spans="1:8" x14ac:dyDescent="0.3">
      <c r="A129" t="s">
        <v>21</v>
      </c>
      <c r="B129" t="s">
        <v>12</v>
      </c>
      <c r="C129" t="s">
        <v>18</v>
      </c>
      <c r="D129" s="3">
        <v>45047</v>
      </c>
      <c r="E129">
        <v>16618</v>
      </c>
      <c r="F129">
        <v>2023</v>
      </c>
      <c r="G129">
        <v>5</v>
      </c>
      <c r="H129" s="4">
        <f>SUMIFS(VolumesTable[Volume],VolumesTable[Products],$C129,VolumesTable[Period],EDATE($D129,-12))</f>
        <v>15615</v>
      </c>
    </row>
    <row r="130" spans="1:8" x14ac:dyDescent="0.3">
      <c r="A130" t="s">
        <v>21</v>
      </c>
      <c r="B130" t="s">
        <v>12</v>
      </c>
      <c r="C130" t="s">
        <v>18</v>
      </c>
      <c r="D130" s="3">
        <v>45078</v>
      </c>
      <c r="E130">
        <v>15908</v>
      </c>
      <c r="F130">
        <v>2023</v>
      </c>
      <c r="G130">
        <v>6</v>
      </c>
      <c r="H130" s="4">
        <f>SUMIFS(VolumesTable[Volume],VolumesTable[Products],$C130,VolumesTable[Period],EDATE($D130,-12))</f>
        <v>15626</v>
      </c>
    </row>
    <row r="131" spans="1:8" x14ac:dyDescent="0.3">
      <c r="A131" t="s">
        <v>21</v>
      </c>
      <c r="B131" t="s">
        <v>12</v>
      </c>
      <c r="C131" t="s">
        <v>18</v>
      </c>
      <c r="D131" s="3">
        <v>45108</v>
      </c>
      <c r="E131">
        <v>15196</v>
      </c>
      <c r="F131">
        <v>2023</v>
      </c>
      <c r="G131">
        <v>7</v>
      </c>
      <c r="H131" s="4">
        <f>SUMIFS(VolumesTable[Volume],VolumesTable[Products],$C131,VolumesTable[Period],EDATE($D131,-12))</f>
        <v>14926</v>
      </c>
    </row>
    <row r="132" spans="1:8" x14ac:dyDescent="0.3">
      <c r="A132" t="s">
        <v>21</v>
      </c>
      <c r="B132" t="s">
        <v>12</v>
      </c>
      <c r="C132" t="s">
        <v>18</v>
      </c>
      <c r="D132" s="3">
        <v>45139</v>
      </c>
      <c r="E132">
        <v>16654</v>
      </c>
      <c r="F132">
        <v>2023</v>
      </c>
      <c r="G132">
        <v>8</v>
      </c>
      <c r="H132" s="4">
        <f>SUMIFS(VolumesTable[Volume],VolumesTable[Products],$C132,VolumesTable[Period],EDATE($D132,-12))</f>
        <v>16358</v>
      </c>
    </row>
    <row r="133" spans="1:8" x14ac:dyDescent="0.3">
      <c r="A133" t="s">
        <v>21</v>
      </c>
      <c r="B133" t="s">
        <v>12</v>
      </c>
      <c r="C133" t="s">
        <v>18</v>
      </c>
      <c r="D133" s="3">
        <v>45170</v>
      </c>
      <c r="E133">
        <v>15217</v>
      </c>
      <c r="F133">
        <v>2023</v>
      </c>
      <c r="G133">
        <v>9</v>
      </c>
      <c r="H133" s="4">
        <f>SUMIFS(VolumesTable[Volume],VolumesTable[Products],$C133,VolumesTable[Period],EDATE($D133,-12))</f>
        <v>15657</v>
      </c>
    </row>
    <row r="134" spans="1:8" x14ac:dyDescent="0.3">
      <c r="A134" t="s">
        <v>21</v>
      </c>
      <c r="B134" t="s">
        <v>12</v>
      </c>
      <c r="C134" t="s">
        <v>18</v>
      </c>
      <c r="D134" s="3">
        <v>45200</v>
      </c>
      <c r="E134">
        <v>15952</v>
      </c>
      <c r="F134">
        <v>2023</v>
      </c>
      <c r="G134">
        <v>10</v>
      </c>
      <c r="H134" s="4">
        <f>SUMIFS(VolumesTable[Volume],VolumesTable[Products],$C134,VolumesTable[Period],EDATE($D134,-12))</f>
        <v>14954</v>
      </c>
    </row>
    <row r="135" spans="1:8" x14ac:dyDescent="0.3">
      <c r="A135" t="s">
        <v>21</v>
      </c>
      <c r="B135" t="s">
        <v>12</v>
      </c>
      <c r="C135" t="s">
        <v>18</v>
      </c>
      <c r="D135" s="3">
        <v>45231</v>
      </c>
      <c r="E135">
        <v>15962</v>
      </c>
      <c r="F135">
        <v>2023</v>
      </c>
      <c r="G135">
        <v>11</v>
      </c>
      <c r="H135" s="4">
        <f>SUMIFS(VolumesTable[Volume],VolumesTable[Products],$C135,VolumesTable[Period],EDATE($D135,-12))</f>
        <v>15675</v>
      </c>
    </row>
    <row r="136" spans="1:8" x14ac:dyDescent="0.3">
      <c r="A136" t="s">
        <v>21</v>
      </c>
      <c r="B136" t="s">
        <v>12</v>
      </c>
      <c r="C136" t="s">
        <v>18</v>
      </c>
      <c r="D136" s="3">
        <v>45261</v>
      </c>
      <c r="E136">
        <v>15247</v>
      </c>
      <c r="F136">
        <v>2023</v>
      </c>
      <c r="G136">
        <v>12</v>
      </c>
      <c r="H136" s="4">
        <f>SUMIFS(VolumesTable[Volume],VolumesTable[Products],$C136,VolumesTable[Period],EDATE($D136,-12))</f>
        <v>15684</v>
      </c>
    </row>
    <row r="137" spans="1:8" x14ac:dyDescent="0.3">
      <c r="A137" t="s">
        <v>6</v>
      </c>
      <c r="B137" t="s">
        <v>12</v>
      </c>
      <c r="C137" t="s">
        <v>9</v>
      </c>
      <c r="D137" s="3">
        <v>44562</v>
      </c>
      <c r="E137">
        <v>552540</v>
      </c>
      <c r="F137">
        <v>2022</v>
      </c>
      <c r="G137">
        <v>1</v>
      </c>
      <c r="H137" s="4">
        <f>SUMIFS(VolumesTable[Volume],VolumesTable[Products],$C137,VolumesTable[Period],EDATE($D137,-12))</f>
        <v>551424</v>
      </c>
    </row>
    <row r="138" spans="1:8" x14ac:dyDescent="0.3">
      <c r="A138" t="s">
        <v>6</v>
      </c>
      <c r="B138" t="s">
        <v>12</v>
      </c>
      <c r="C138" t="s">
        <v>9</v>
      </c>
      <c r="D138" s="3">
        <v>44593</v>
      </c>
      <c r="E138">
        <v>526431</v>
      </c>
      <c r="F138">
        <v>2022</v>
      </c>
      <c r="G138">
        <v>2</v>
      </c>
      <c r="H138" s="4">
        <f>SUMIFS(VolumesTable[Volume],VolumesTable[Products],$C138,VolumesTable[Period],EDATE($D138,-12))</f>
        <v>526140</v>
      </c>
    </row>
    <row r="139" spans="1:8" x14ac:dyDescent="0.3">
      <c r="A139" t="s">
        <v>6</v>
      </c>
      <c r="B139" t="s">
        <v>12</v>
      </c>
      <c r="C139" t="s">
        <v>9</v>
      </c>
      <c r="D139" s="3">
        <v>44621</v>
      </c>
      <c r="E139">
        <v>605611</v>
      </c>
      <c r="F139">
        <v>2022</v>
      </c>
      <c r="G139">
        <v>3</v>
      </c>
      <c r="H139" s="4">
        <f>SUMIFS(VolumesTable[Volume],VolumesTable[Products],$C139,VolumesTable[Period],EDATE($D139,-12))</f>
        <v>606059</v>
      </c>
    </row>
    <row r="140" spans="1:8" x14ac:dyDescent="0.3">
      <c r="A140" t="s">
        <v>6</v>
      </c>
      <c r="B140" t="s">
        <v>12</v>
      </c>
      <c r="C140" t="s">
        <v>9</v>
      </c>
      <c r="D140" s="3">
        <v>44652</v>
      </c>
      <c r="E140">
        <v>553166</v>
      </c>
      <c r="F140">
        <v>2022</v>
      </c>
      <c r="G140">
        <v>4</v>
      </c>
      <c r="H140" s="4">
        <f>SUMIFS(VolumesTable[Volume],VolumesTable[Products],$C140,VolumesTable[Period],EDATE($D140,-12))</f>
        <v>580731</v>
      </c>
    </row>
    <row r="141" spans="1:8" x14ac:dyDescent="0.3">
      <c r="A141" t="s">
        <v>6</v>
      </c>
      <c r="B141" t="s">
        <v>12</v>
      </c>
      <c r="C141" t="s">
        <v>9</v>
      </c>
      <c r="D141" s="3">
        <v>44682</v>
      </c>
      <c r="E141">
        <v>579707</v>
      </c>
      <c r="F141">
        <v>2022</v>
      </c>
      <c r="G141">
        <v>5</v>
      </c>
      <c r="H141" s="4">
        <f>SUMIFS(VolumesTable[Volume],VolumesTable[Products],$C141,VolumesTable[Period],EDATE($D141,-12))</f>
        <v>555210</v>
      </c>
    </row>
    <row r="142" spans="1:8" x14ac:dyDescent="0.3">
      <c r="A142" t="s">
        <v>6</v>
      </c>
      <c r="B142" t="s">
        <v>12</v>
      </c>
      <c r="C142" t="s">
        <v>9</v>
      </c>
      <c r="D142" s="3">
        <v>44713</v>
      </c>
      <c r="E142">
        <v>579909</v>
      </c>
      <c r="F142">
        <v>2022</v>
      </c>
      <c r="G142">
        <v>6</v>
      </c>
      <c r="H142" s="4">
        <f>SUMIFS(VolumesTable[Volume],VolumesTable[Products],$C142,VolumesTable[Period],EDATE($D142,-12))</f>
        <v>582476</v>
      </c>
    </row>
    <row r="143" spans="1:8" x14ac:dyDescent="0.3">
      <c r="A143" t="s">
        <v>6</v>
      </c>
      <c r="B143" t="s">
        <v>12</v>
      </c>
      <c r="C143" t="s">
        <v>9</v>
      </c>
      <c r="D143" s="3">
        <v>44743</v>
      </c>
      <c r="E143">
        <v>553737</v>
      </c>
      <c r="F143">
        <v>2022</v>
      </c>
      <c r="G143">
        <v>7</v>
      </c>
      <c r="H143" s="4">
        <f>SUMIFS(VolumesTable[Volume],VolumesTable[Products],$C143,VolumesTable[Period],EDATE($D143,-12))</f>
        <v>583296</v>
      </c>
    </row>
    <row r="144" spans="1:8" x14ac:dyDescent="0.3">
      <c r="A144" t="s">
        <v>6</v>
      </c>
      <c r="B144" t="s">
        <v>12</v>
      </c>
      <c r="C144" t="s">
        <v>9</v>
      </c>
      <c r="D144" s="3">
        <v>44774</v>
      </c>
      <c r="E144">
        <v>606663</v>
      </c>
      <c r="F144">
        <v>2022</v>
      </c>
      <c r="G144">
        <v>8</v>
      </c>
      <c r="H144" s="4">
        <f>SUMIFS(VolumesTable[Volume],VolumesTable[Products],$C144,VolumesTable[Period],EDATE($D144,-12))</f>
        <v>584073</v>
      </c>
    </row>
    <row r="145" spans="1:8" x14ac:dyDescent="0.3">
      <c r="A145" t="s">
        <v>6</v>
      </c>
      <c r="B145" t="s">
        <v>12</v>
      </c>
      <c r="C145" t="s">
        <v>9</v>
      </c>
      <c r="D145" s="3">
        <v>44805</v>
      </c>
      <c r="E145">
        <v>580478</v>
      </c>
      <c r="F145">
        <v>2022</v>
      </c>
      <c r="G145">
        <v>9</v>
      </c>
      <c r="H145" s="4">
        <f>SUMIFS(VolumesTable[Volume],VolumesTable[Products],$C145,VolumesTable[Period],EDATE($D145,-12))</f>
        <v>584811</v>
      </c>
    </row>
    <row r="146" spans="1:8" x14ac:dyDescent="0.3">
      <c r="A146" t="s">
        <v>6</v>
      </c>
      <c r="B146" t="s">
        <v>12</v>
      </c>
      <c r="C146" t="s">
        <v>9</v>
      </c>
      <c r="D146" s="3">
        <v>44835</v>
      </c>
      <c r="E146">
        <v>554262</v>
      </c>
      <c r="F146">
        <v>2022</v>
      </c>
      <c r="G146">
        <v>10</v>
      </c>
      <c r="H146" s="4">
        <f>SUMIFS(VolumesTable[Volume],VolumesTable[Products],$C146,VolumesTable[Period],EDATE($D146,-12))</f>
        <v>558901</v>
      </c>
    </row>
    <row r="147" spans="1:8" x14ac:dyDescent="0.3">
      <c r="A147" t="s">
        <v>6</v>
      </c>
      <c r="B147" t="s">
        <v>12</v>
      </c>
      <c r="C147" t="s">
        <v>9</v>
      </c>
      <c r="D147" s="3">
        <v>44866</v>
      </c>
      <c r="E147">
        <v>580821</v>
      </c>
      <c r="F147">
        <v>2022</v>
      </c>
      <c r="G147">
        <v>11</v>
      </c>
      <c r="H147" s="4">
        <f>SUMIFS(VolumesTable[Volume],VolumesTable[Products],$C147,VolumesTable[Period],EDATE($D147,-12))</f>
        <v>586158</v>
      </c>
    </row>
    <row r="148" spans="1:8" x14ac:dyDescent="0.3">
      <c r="A148" t="s">
        <v>6</v>
      </c>
      <c r="B148" t="s">
        <v>12</v>
      </c>
      <c r="C148" t="s">
        <v>9</v>
      </c>
      <c r="D148" s="3">
        <v>44896</v>
      </c>
      <c r="E148">
        <v>580989</v>
      </c>
      <c r="F148">
        <v>2022</v>
      </c>
      <c r="G148">
        <v>12</v>
      </c>
      <c r="H148" s="4">
        <f>SUMIFS(VolumesTable[Volume],VolumesTable[Products],$C148,VolumesTable[Period],EDATE($D148,-12))</f>
        <v>613476</v>
      </c>
    </row>
    <row r="149" spans="1:8" x14ac:dyDescent="0.3">
      <c r="A149" t="s">
        <v>6</v>
      </c>
      <c r="B149" t="s">
        <v>12</v>
      </c>
      <c r="C149" t="s">
        <v>7</v>
      </c>
      <c r="D149" s="3">
        <v>44562</v>
      </c>
      <c r="E149">
        <v>567045</v>
      </c>
      <c r="F149">
        <v>2022</v>
      </c>
      <c r="G149">
        <v>1</v>
      </c>
      <c r="H149" s="4">
        <f>SUMIFS(VolumesTable[Volume],VolumesTable[Products],$C149,VolumesTable[Period],EDATE($D149,-12))</f>
        <v>557404</v>
      </c>
    </row>
    <row r="150" spans="1:8" x14ac:dyDescent="0.3">
      <c r="A150" t="s">
        <v>6</v>
      </c>
      <c r="B150" t="s">
        <v>12</v>
      </c>
      <c r="C150" t="s">
        <v>7</v>
      </c>
      <c r="D150" s="3">
        <v>44593</v>
      </c>
      <c r="E150">
        <v>540668</v>
      </c>
      <c r="F150">
        <v>2022</v>
      </c>
      <c r="G150">
        <v>2</v>
      </c>
      <c r="H150" s="4">
        <f>SUMIFS(VolumesTable[Volume],VolumesTable[Products],$C150,VolumesTable[Period],EDATE($D150,-12))</f>
        <v>532436</v>
      </c>
    </row>
    <row r="151" spans="1:8" x14ac:dyDescent="0.3">
      <c r="A151" t="s">
        <v>6</v>
      </c>
      <c r="B151" t="s">
        <v>12</v>
      </c>
      <c r="C151" t="s">
        <v>7</v>
      </c>
      <c r="D151" s="3">
        <v>44621</v>
      </c>
      <c r="E151">
        <v>622430</v>
      </c>
      <c r="F151">
        <v>2022</v>
      </c>
      <c r="G151">
        <v>3</v>
      </c>
      <c r="H151" s="4">
        <f>SUMIFS(VolumesTable[Volume],VolumesTable[Products],$C151,VolumesTable[Period],EDATE($D151,-12))</f>
        <v>613918</v>
      </c>
    </row>
    <row r="152" spans="1:8" x14ac:dyDescent="0.3">
      <c r="A152" t="s">
        <v>6</v>
      </c>
      <c r="B152" t="s">
        <v>12</v>
      </c>
      <c r="C152" t="s">
        <v>7</v>
      </c>
      <c r="D152" s="3">
        <v>44652</v>
      </c>
      <c r="E152">
        <v>568974</v>
      </c>
      <c r="F152">
        <v>2022</v>
      </c>
      <c r="G152">
        <v>4</v>
      </c>
      <c r="H152" s="4">
        <f>SUMIFS(VolumesTable[Volume],VolumesTable[Products],$C152,VolumesTable[Period],EDATE($D152,-12))</f>
        <v>588883</v>
      </c>
    </row>
    <row r="153" spans="1:8" x14ac:dyDescent="0.3">
      <c r="A153" t="s">
        <v>6</v>
      </c>
      <c r="B153" t="s">
        <v>12</v>
      </c>
      <c r="C153" t="s">
        <v>7</v>
      </c>
      <c r="D153" s="3">
        <v>44682</v>
      </c>
      <c r="E153">
        <v>596685</v>
      </c>
      <c r="F153">
        <v>2022</v>
      </c>
      <c r="G153">
        <v>5</v>
      </c>
      <c r="H153" s="4">
        <f>SUMIFS(VolumesTable[Volume],VolumesTable[Products],$C153,VolumesTable[Period],EDATE($D153,-12))</f>
        <v>563537</v>
      </c>
    </row>
    <row r="154" spans="1:8" x14ac:dyDescent="0.3">
      <c r="A154" t="s">
        <v>6</v>
      </c>
      <c r="B154" t="s">
        <v>12</v>
      </c>
      <c r="C154" t="s">
        <v>7</v>
      </c>
      <c r="D154" s="3">
        <v>44713</v>
      </c>
      <c r="E154">
        <v>597310</v>
      </c>
      <c r="F154">
        <v>2022</v>
      </c>
      <c r="G154">
        <v>6</v>
      </c>
      <c r="H154" s="4">
        <f>SUMIFS(VolumesTable[Volume],VolumesTable[Products],$C154,VolumesTable[Period],EDATE($D154,-12))</f>
        <v>591716</v>
      </c>
    </row>
    <row r="155" spans="1:8" x14ac:dyDescent="0.3">
      <c r="A155" t="s">
        <v>6</v>
      </c>
      <c r="B155" t="s">
        <v>12</v>
      </c>
      <c r="C155" t="s">
        <v>7</v>
      </c>
      <c r="D155" s="3">
        <v>44743</v>
      </c>
      <c r="E155">
        <v>570737</v>
      </c>
      <c r="F155">
        <v>2022</v>
      </c>
      <c r="G155">
        <v>7</v>
      </c>
      <c r="H155" s="4">
        <f>SUMIFS(VolumesTable[Volume],VolumesTable[Products],$C155,VolumesTable[Period],EDATE($D155,-12))</f>
        <v>593048</v>
      </c>
    </row>
    <row r="156" spans="1:8" x14ac:dyDescent="0.3">
      <c r="A156" t="s">
        <v>6</v>
      </c>
      <c r="B156" t="s">
        <v>12</v>
      </c>
      <c r="C156" t="s">
        <v>7</v>
      </c>
      <c r="D156" s="3">
        <v>44774</v>
      </c>
      <c r="E156">
        <v>625678</v>
      </c>
      <c r="F156">
        <v>2022</v>
      </c>
      <c r="G156">
        <v>8</v>
      </c>
      <c r="H156" s="4">
        <f>SUMIFS(VolumesTable[Volume],VolumesTable[Products],$C156,VolumesTable[Period],EDATE($D156,-12))</f>
        <v>594312</v>
      </c>
    </row>
    <row r="157" spans="1:8" x14ac:dyDescent="0.3">
      <c r="A157" t="s">
        <v>6</v>
      </c>
      <c r="B157" t="s">
        <v>12</v>
      </c>
      <c r="C157" t="s">
        <v>7</v>
      </c>
      <c r="D157" s="3">
        <v>44805</v>
      </c>
      <c r="E157">
        <v>599068</v>
      </c>
      <c r="F157">
        <v>2022</v>
      </c>
      <c r="G157">
        <v>9</v>
      </c>
      <c r="H157" s="4">
        <f>SUMIFS(VolumesTable[Volume],VolumesTable[Products],$C157,VolumesTable[Period],EDATE($D157,-12))</f>
        <v>595514</v>
      </c>
    </row>
    <row r="158" spans="1:8" x14ac:dyDescent="0.3">
      <c r="A158" t="s">
        <v>6</v>
      </c>
      <c r="B158" t="s">
        <v>12</v>
      </c>
      <c r="C158" t="s">
        <v>7</v>
      </c>
      <c r="D158" s="3">
        <v>44835</v>
      </c>
      <c r="E158">
        <v>572363</v>
      </c>
      <c r="F158">
        <v>2022</v>
      </c>
      <c r="G158">
        <v>10</v>
      </c>
      <c r="H158" s="4">
        <f>SUMIFS(VolumesTable[Volume],VolumesTable[Products],$C158,VolumesTable[Period],EDATE($D158,-12))</f>
        <v>569540</v>
      </c>
    </row>
    <row r="159" spans="1:8" x14ac:dyDescent="0.3">
      <c r="A159" t="s">
        <v>6</v>
      </c>
      <c r="B159" t="s">
        <v>12</v>
      </c>
      <c r="C159" t="s">
        <v>7</v>
      </c>
      <c r="D159" s="3">
        <v>44866</v>
      </c>
      <c r="E159">
        <v>600130</v>
      </c>
      <c r="F159">
        <v>2022</v>
      </c>
      <c r="G159">
        <v>11</v>
      </c>
      <c r="H159" s="4">
        <f>SUMIFS(VolumesTable[Volume],VolumesTable[Products],$C159,VolumesTable[Period],EDATE($D159,-12))</f>
        <v>597709</v>
      </c>
    </row>
    <row r="160" spans="1:8" x14ac:dyDescent="0.3">
      <c r="A160" t="s">
        <v>6</v>
      </c>
      <c r="B160" t="s">
        <v>12</v>
      </c>
      <c r="C160" t="s">
        <v>7</v>
      </c>
      <c r="D160" s="3">
        <v>44896</v>
      </c>
      <c r="E160">
        <v>600650</v>
      </c>
      <c r="F160">
        <v>2022</v>
      </c>
      <c r="G160">
        <v>12</v>
      </c>
      <c r="H160" s="4">
        <f>SUMIFS(VolumesTable[Volume],VolumesTable[Products],$C160,VolumesTable[Period],EDATE($D160,-12))</f>
        <v>625978</v>
      </c>
    </row>
    <row r="161" spans="1:8" x14ac:dyDescent="0.3">
      <c r="A161" t="s">
        <v>6</v>
      </c>
      <c r="B161" t="s">
        <v>12</v>
      </c>
      <c r="C161" t="s">
        <v>8</v>
      </c>
      <c r="D161" s="3">
        <v>44562</v>
      </c>
      <c r="E161">
        <v>13693</v>
      </c>
      <c r="F161">
        <v>2022</v>
      </c>
      <c r="G161">
        <v>1</v>
      </c>
      <c r="H161" s="4">
        <f>SUMIFS(VolumesTable[Volume],VolumesTable[Products],$C161,VolumesTable[Period],EDATE($D161,-12))</f>
        <v>13468</v>
      </c>
    </row>
    <row r="162" spans="1:8" x14ac:dyDescent="0.3">
      <c r="A162" t="s">
        <v>6</v>
      </c>
      <c r="B162" t="s">
        <v>12</v>
      </c>
      <c r="C162" t="s">
        <v>8</v>
      </c>
      <c r="D162" s="3">
        <v>44593</v>
      </c>
      <c r="E162">
        <v>13051</v>
      </c>
      <c r="F162">
        <v>2022</v>
      </c>
      <c r="G162">
        <v>2</v>
      </c>
      <c r="H162" s="4">
        <f>SUMIFS(VolumesTable[Volume],VolumesTable[Products],$C162,VolumesTable[Period],EDATE($D162,-12))</f>
        <v>12836</v>
      </c>
    </row>
    <row r="163" spans="1:8" x14ac:dyDescent="0.3">
      <c r="A163" t="s">
        <v>6</v>
      </c>
      <c r="B163" t="s">
        <v>12</v>
      </c>
      <c r="C163" t="s">
        <v>8</v>
      </c>
      <c r="D163" s="3">
        <v>44621</v>
      </c>
      <c r="E163">
        <v>15019</v>
      </c>
      <c r="F163">
        <v>2022</v>
      </c>
      <c r="G163">
        <v>3</v>
      </c>
      <c r="H163" s="4">
        <f>SUMIFS(VolumesTable[Volume],VolumesTable[Products],$C163,VolumesTable[Period],EDATE($D163,-12))</f>
        <v>14772</v>
      </c>
    </row>
    <row r="164" spans="1:8" x14ac:dyDescent="0.3">
      <c r="A164" t="s">
        <v>6</v>
      </c>
      <c r="B164" t="s">
        <v>12</v>
      </c>
      <c r="C164" t="s">
        <v>8</v>
      </c>
      <c r="D164" s="3">
        <v>44652</v>
      </c>
      <c r="E164">
        <v>13724</v>
      </c>
      <c r="F164">
        <v>2022</v>
      </c>
      <c r="G164">
        <v>4</v>
      </c>
      <c r="H164" s="4">
        <f>SUMIFS(VolumesTable[Volume],VolumesTable[Products],$C164,VolumesTable[Period],EDATE($D164,-12))</f>
        <v>14139</v>
      </c>
    </row>
    <row r="165" spans="1:8" x14ac:dyDescent="0.3">
      <c r="A165" t="s">
        <v>6</v>
      </c>
      <c r="B165" t="s">
        <v>12</v>
      </c>
      <c r="C165" t="s">
        <v>8</v>
      </c>
      <c r="D165" s="3">
        <v>44682</v>
      </c>
      <c r="E165">
        <v>14388</v>
      </c>
      <c r="F165">
        <v>2022</v>
      </c>
      <c r="G165">
        <v>5</v>
      </c>
      <c r="H165" s="4">
        <f>SUMIFS(VolumesTable[Volume],VolumesTable[Products],$C165,VolumesTable[Period],EDATE($D165,-12))</f>
        <v>13505</v>
      </c>
    </row>
    <row r="166" spans="1:8" x14ac:dyDescent="0.3">
      <c r="A166" t="s">
        <v>6</v>
      </c>
      <c r="B166" t="s">
        <v>12</v>
      </c>
      <c r="C166" t="s">
        <v>8</v>
      </c>
      <c r="D166" s="3">
        <v>44713</v>
      </c>
      <c r="E166">
        <v>14398</v>
      </c>
      <c r="F166">
        <v>2022</v>
      </c>
      <c r="G166">
        <v>6</v>
      </c>
      <c r="H166" s="4">
        <f>SUMIFS(VolumesTable[Volume],VolumesTable[Products],$C166,VolumesTable[Period],EDATE($D166,-12))</f>
        <v>14156</v>
      </c>
    </row>
    <row r="167" spans="1:8" x14ac:dyDescent="0.3">
      <c r="A167" t="s">
        <v>6</v>
      </c>
      <c r="B167" t="s">
        <v>12</v>
      </c>
      <c r="C167" t="s">
        <v>8</v>
      </c>
      <c r="D167" s="3">
        <v>44743</v>
      </c>
      <c r="E167">
        <v>13753</v>
      </c>
      <c r="F167">
        <v>2022</v>
      </c>
      <c r="G167">
        <v>7</v>
      </c>
      <c r="H167" s="4">
        <f>SUMIFS(VolumesTable[Volume],VolumesTable[Products],$C167,VolumesTable[Period],EDATE($D167,-12))</f>
        <v>14164</v>
      </c>
    </row>
    <row r="168" spans="1:8" x14ac:dyDescent="0.3">
      <c r="A168" t="s">
        <v>6</v>
      </c>
      <c r="B168" t="s">
        <v>12</v>
      </c>
      <c r="C168" t="s">
        <v>8</v>
      </c>
      <c r="D168" s="3">
        <v>44774</v>
      </c>
      <c r="E168">
        <v>15072</v>
      </c>
      <c r="F168">
        <v>2022</v>
      </c>
      <c r="G168">
        <v>8</v>
      </c>
      <c r="H168" s="4">
        <f>SUMIFS(VolumesTable[Volume],VolumesTable[Products],$C168,VolumesTable[Period],EDATE($D168,-12))</f>
        <v>14172</v>
      </c>
    </row>
    <row r="169" spans="1:8" x14ac:dyDescent="0.3">
      <c r="A169" t="s">
        <v>6</v>
      </c>
      <c r="B169" t="s">
        <v>12</v>
      </c>
      <c r="C169" t="s">
        <v>8</v>
      </c>
      <c r="D169" s="3">
        <v>44805</v>
      </c>
      <c r="E169">
        <v>14426</v>
      </c>
      <c r="F169">
        <v>2022</v>
      </c>
      <c r="G169">
        <v>9</v>
      </c>
      <c r="H169" s="4">
        <f>SUMIFS(VolumesTable[Volume],VolumesTable[Products],$C169,VolumesTable[Period],EDATE($D169,-12))</f>
        <v>14179</v>
      </c>
    </row>
    <row r="170" spans="1:8" x14ac:dyDescent="0.3">
      <c r="A170" t="s">
        <v>6</v>
      </c>
      <c r="B170" t="s">
        <v>12</v>
      </c>
      <c r="C170" t="s">
        <v>8</v>
      </c>
      <c r="D170" s="3">
        <v>44835</v>
      </c>
      <c r="E170">
        <v>13779</v>
      </c>
      <c r="F170">
        <v>2022</v>
      </c>
      <c r="G170">
        <v>10</v>
      </c>
      <c r="H170" s="4">
        <f>SUMIFS(VolumesTable[Volume],VolumesTable[Products],$C170,VolumesTable[Period],EDATE($D170,-12))</f>
        <v>13541</v>
      </c>
    </row>
    <row r="171" spans="1:8" x14ac:dyDescent="0.3">
      <c r="A171" t="s">
        <v>6</v>
      </c>
      <c r="B171" t="s">
        <v>12</v>
      </c>
      <c r="C171" t="s">
        <v>8</v>
      </c>
      <c r="D171" s="3">
        <v>44866</v>
      </c>
      <c r="E171">
        <v>14443</v>
      </c>
      <c r="F171">
        <v>2022</v>
      </c>
      <c r="G171">
        <v>11</v>
      </c>
      <c r="H171" s="4">
        <f>SUMIFS(VolumesTable[Volume],VolumesTable[Products],$C171,VolumesTable[Period],EDATE($D171,-12))</f>
        <v>14192</v>
      </c>
    </row>
    <row r="172" spans="1:8" x14ac:dyDescent="0.3">
      <c r="A172" t="s">
        <v>6</v>
      </c>
      <c r="B172" t="s">
        <v>12</v>
      </c>
      <c r="C172" t="s">
        <v>8</v>
      </c>
      <c r="D172" s="3">
        <v>44896</v>
      </c>
      <c r="E172">
        <v>14451</v>
      </c>
      <c r="F172">
        <v>2022</v>
      </c>
      <c r="G172">
        <v>12</v>
      </c>
      <c r="H172" s="4">
        <f>SUMIFS(VolumesTable[Volume],VolumesTable[Products],$C172,VolumesTable[Period],EDATE($D172,-12))</f>
        <v>14844</v>
      </c>
    </row>
    <row r="173" spans="1:8" x14ac:dyDescent="0.3">
      <c r="A173" t="s">
        <v>6</v>
      </c>
      <c r="B173" t="s">
        <v>12</v>
      </c>
      <c r="C173" t="s">
        <v>10</v>
      </c>
      <c r="D173" s="3">
        <v>44562</v>
      </c>
      <c r="E173">
        <v>553934</v>
      </c>
      <c r="F173">
        <v>2022</v>
      </c>
      <c r="G173">
        <v>1</v>
      </c>
      <c r="H173" s="4">
        <f>SUMIFS(VolumesTable[Volume],VolumesTable[Products],$C173,VolumesTable[Period],EDATE($D173,-12))</f>
        <v>554482</v>
      </c>
    </row>
    <row r="174" spans="1:8" x14ac:dyDescent="0.3">
      <c r="A174" t="s">
        <v>6</v>
      </c>
      <c r="B174" t="s">
        <v>12</v>
      </c>
      <c r="C174" t="s">
        <v>10</v>
      </c>
      <c r="D174" s="3">
        <v>44593</v>
      </c>
      <c r="E174">
        <v>527760</v>
      </c>
      <c r="F174">
        <v>2022</v>
      </c>
      <c r="G174">
        <v>2</v>
      </c>
      <c r="H174" s="4">
        <f>SUMIFS(VolumesTable[Volume],VolumesTable[Products],$C174,VolumesTable[Period],EDATE($D174,-12))</f>
        <v>529449</v>
      </c>
    </row>
    <row r="175" spans="1:8" x14ac:dyDescent="0.3">
      <c r="A175" t="s">
        <v>6</v>
      </c>
      <c r="B175" t="s">
        <v>12</v>
      </c>
      <c r="C175" t="s">
        <v>10</v>
      </c>
      <c r="D175" s="3">
        <v>44621</v>
      </c>
      <c r="E175">
        <v>607139</v>
      </c>
      <c r="F175">
        <v>2022</v>
      </c>
      <c r="G175">
        <v>3</v>
      </c>
      <c r="H175" s="4">
        <f>SUMIFS(VolumesTable[Volume],VolumesTable[Products],$C175,VolumesTable[Period],EDATE($D175,-12))</f>
        <v>610273</v>
      </c>
    </row>
    <row r="176" spans="1:8" x14ac:dyDescent="0.3">
      <c r="A176" t="s">
        <v>6</v>
      </c>
      <c r="B176" t="s">
        <v>12</v>
      </c>
      <c r="C176" t="s">
        <v>10</v>
      </c>
      <c r="D176" s="3">
        <v>44652</v>
      </c>
      <c r="E176">
        <v>554562</v>
      </c>
      <c r="F176">
        <v>2022</v>
      </c>
      <c r="G176">
        <v>4</v>
      </c>
      <c r="H176" s="4">
        <f>SUMIFS(VolumesTable[Volume],VolumesTable[Products],$C176,VolumesTable[Period],EDATE($D176,-12))</f>
        <v>585181</v>
      </c>
    </row>
    <row r="177" spans="1:8" x14ac:dyDescent="0.3">
      <c r="A177" t="s">
        <v>6</v>
      </c>
      <c r="B177" t="s">
        <v>12</v>
      </c>
      <c r="C177" t="s">
        <v>10</v>
      </c>
      <c r="D177" s="3">
        <v>44682</v>
      </c>
      <c r="E177">
        <v>581170</v>
      </c>
      <c r="F177">
        <v>2022</v>
      </c>
      <c r="G177">
        <v>5</v>
      </c>
      <c r="H177" s="4">
        <f>SUMIFS(VolumesTable[Volume],VolumesTable[Products],$C177,VolumesTable[Period],EDATE($D177,-12))</f>
        <v>559818</v>
      </c>
    </row>
    <row r="178" spans="1:8" x14ac:dyDescent="0.3">
      <c r="A178" t="s">
        <v>6</v>
      </c>
      <c r="B178" t="s">
        <v>12</v>
      </c>
      <c r="C178" t="s">
        <v>10</v>
      </c>
      <c r="D178" s="3">
        <v>44713</v>
      </c>
      <c r="E178">
        <v>581373</v>
      </c>
      <c r="F178">
        <v>2022</v>
      </c>
      <c r="G178">
        <v>6</v>
      </c>
      <c r="H178" s="4">
        <f>SUMIFS(VolumesTable[Volume],VolumesTable[Products],$C178,VolumesTable[Period],EDATE($D178,-12))</f>
        <v>587644</v>
      </c>
    </row>
    <row r="179" spans="1:8" x14ac:dyDescent="0.3">
      <c r="A179" t="s">
        <v>6</v>
      </c>
      <c r="B179" t="s">
        <v>12</v>
      </c>
      <c r="C179" t="s">
        <v>10</v>
      </c>
      <c r="D179" s="3">
        <v>44743</v>
      </c>
      <c r="E179">
        <v>555134</v>
      </c>
      <c r="F179">
        <v>2022</v>
      </c>
      <c r="G179">
        <v>7</v>
      </c>
      <c r="H179" s="4">
        <f>SUMIFS(VolumesTable[Volume],VolumesTable[Products],$C179,VolumesTable[Period],EDATE($D179,-12))</f>
        <v>588801</v>
      </c>
    </row>
    <row r="180" spans="1:8" x14ac:dyDescent="0.3">
      <c r="A180" t="s">
        <v>6</v>
      </c>
      <c r="B180" t="s">
        <v>12</v>
      </c>
      <c r="C180" t="s">
        <v>10</v>
      </c>
      <c r="D180" s="3">
        <v>44774</v>
      </c>
      <c r="E180">
        <v>608194</v>
      </c>
      <c r="F180">
        <v>2022</v>
      </c>
      <c r="G180">
        <v>8</v>
      </c>
      <c r="H180" s="4">
        <f>SUMIFS(VolumesTable[Volume],VolumesTable[Products],$C180,VolumesTable[Period],EDATE($D180,-12))</f>
        <v>589899</v>
      </c>
    </row>
    <row r="181" spans="1:8" x14ac:dyDescent="0.3">
      <c r="A181" t="s">
        <v>6</v>
      </c>
      <c r="B181" t="s">
        <v>12</v>
      </c>
      <c r="C181" t="s">
        <v>10</v>
      </c>
      <c r="D181" s="3">
        <v>44805</v>
      </c>
      <c r="E181">
        <v>581943</v>
      </c>
      <c r="F181">
        <v>2022</v>
      </c>
      <c r="G181">
        <v>9</v>
      </c>
      <c r="H181" s="4">
        <f>SUMIFS(VolumesTable[Volume],VolumesTable[Products],$C181,VolumesTable[Period],EDATE($D181,-12))</f>
        <v>590943</v>
      </c>
    </row>
    <row r="182" spans="1:8" x14ac:dyDescent="0.3">
      <c r="A182" t="s">
        <v>6</v>
      </c>
      <c r="B182" t="s">
        <v>12</v>
      </c>
      <c r="C182" t="s">
        <v>10</v>
      </c>
      <c r="D182" s="3">
        <v>44835</v>
      </c>
      <c r="E182">
        <v>555661</v>
      </c>
      <c r="F182">
        <v>2022</v>
      </c>
      <c r="G182">
        <v>10</v>
      </c>
      <c r="H182" s="4">
        <f>SUMIFS(VolumesTable[Volume],VolumesTable[Products],$C182,VolumesTable[Period],EDATE($D182,-12))</f>
        <v>565033</v>
      </c>
    </row>
    <row r="183" spans="1:8" x14ac:dyDescent="0.3">
      <c r="A183" t="s">
        <v>6</v>
      </c>
      <c r="B183" t="s">
        <v>12</v>
      </c>
      <c r="C183" t="s">
        <v>10</v>
      </c>
      <c r="D183" s="3">
        <v>44866</v>
      </c>
      <c r="E183">
        <v>582287</v>
      </c>
      <c r="F183">
        <v>2022</v>
      </c>
      <c r="G183">
        <v>11</v>
      </c>
      <c r="H183" s="4">
        <f>SUMIFS(VolumesTable[Volume],VolumesTable[Products],$C183,VolumesTable[Period],EDATE($D183,-12))</f>
        <v>592849</v>
      </c>
    </row>
    <row r="184" spans="1:8" x14ac:dyDescent="0.3">
      <c r="A184" t="s">
        <v>6</v>
      </c>
      <c r="B184" t="s">
        <v>12</v>
      </c>
      <c r="C184" t="s">
        <v>10</v>
      </c>
      <c r="D184" s="3">
        <v>44896</v>
      </c>
      <c r="E184">
        <v>582455</v>
      </c>
      <c r="F184">
        <v>2022</v>
      </c>
      <c r="G184">
        <v>12</v>
      </c>
      <c r="H184" s="4">
        <f>SUMIFS(VolumesTable[Volume],VolumesTable[Products],$C184,VolumesTable[Period],EDATE($D184,-12))</f>
        <v>620751</v>
      </c>
    </row>
    <row r="185" spans="1:8" x14ac:dyDescent="0.3">
      <c r="A185" t="s">
        <v>73</v>
      </c>
      <c r="B185" t="s">
        <v>11</v>
      </c>
      <c r="C185" t="s">
        <v>16</v>
      </c>
      <c r="D185" s="3">
        <v>44562</v>
      </c>
      <c r="E185">
        <v>23483</v>
      </c>
      <c r="F185">
        <v>2022</v>
      </c>
      <c r="G185">
        <v>1</v>
      </c>
      <c r="H185" s="4">
        <f>SUMIFS(VolumesTable[Volume],VolumesTable[Products],$C185,VolumesTable[Period],EDATE($D185,-12))</f>
        <v>22985</v>
      </c>
    </row>
    <row r="186" spans="1:8" x14ac:dyDescent="0.3">
      <c r="A186" t="s">
        <v>73</v>
      </c>
      <c r="B186" t="s">
        <v>11</v>
      </c>
      <c r="C186" t="s">
        <v>16</v>
      </c>
      <c r="D186" s="3">
        <v>44593</v>
      </c>
      <c r="E186">
        <v>22382</v>
      </c>
      <c r="F186">
        <v>2022</v>
      </c>
      <c r="G186">
        <v>2</v>
      </c>
      <c r="H186" s="4">
        <f>SUMIFS(VolumesTable[Volume],VolumesTable[Products],$C186,VolumesTable[Period],EDATE($D186,-12))</f>
        <v>21882</v>
      </c>
    </row>
    <row r="187" spans="1:8" x14ac:dyDescent="0.3">
      <c r="A187" t="s">
        <v>73</v>
      </c>
      <c r="B187" t="s">
        <v>11</v>
      </c>
      <c r="C187" t="s">
        <v>16</v>
      </c>
      <c r="D187" s="3">
        <v>44621</v>
      </c>
      <c r="E187">
        <v>25758</v>
      </c>
      <c r="F187">
        <v>2022</v>
      </c>
      <c r="G187">
        <v>3</v>
      </c>
      <c r="H187" s="4">
        <f>SUMIFS(VolumesTable[Volume],VolumesTable[Products],$C187,VolumesTable[Period],EDATE($D187,-12))</f>
        <v>25156</v>
      </c>
    </row>
    <row r="188" spans="1:8" x14ac:dyDescent="0.3">
      <c r="A188" t="s">
        <v>73</v>
      </c>
      <c r="B188" t="s">
        <v>11</v>
      </c>
      <c r="C188" t="s">
        <v>16</v>
      </c>
      <c r="D188" s="3">
        <v>44652</v>
      </c>
      <c r="E188">
        <v>23536</v>
      </c>
      <c r="F188">
        <v>2022</v>
      </c>
      <c r="G188">
        <v>4</v>
      </c>
      <c r="H188" s="4">
        <f>SUMIFS(VolumesTable[Volume],VolumesTable[Products],$C188,VolumesTable[Period],EDATE($D188,-12))</f>
        <v>24054</v>
      </c>
    </row>
    <row r="189" spans="1:8" x14ac:dyDescent="0.3">
      <c r="A189" t="s">
        <v>73</v>
      </c>
      <c r="B189" t="s">
        <v>11</v>
      </c>
      <c r="C189" t="s">
        <v>16</v>
      </c>
      <c r="D189" s="3">
        <v>44682</v>
      </c>
      <c r="E189">
        <v>24674</v>
      </c>
      <c r="F189">
        <v>2022</v>
      </c>
      <c r="G189">
        <v>5</v>
      </c>
      <c r="H189" s="4">
        <f>SUMIFS(VolumesTable[Volume],VolumesTable[Products],$C189,VolumesTable[Period],EDATE($D189,-12))</f>
        <v>22953</v>
      </c>
    </row>
    <row r="190" spans="1:8" x14ac:dyDescent="0.3">
      <c r="A190" t="s">
        <v>73</v>
      </c>
      <c r="B190" t="s">
        <v>11</v>
      </c>
      <c r="C190" t="s">
        <v>16</v>
      </c>
      <c r="D190" s="3">
        <v>44713</v>
      </c>
      <c r="E190">
        <v>24691</v>
      </c>
      <c r="F190">
        <v>2022</v>
      </c>
      <c r="G190">
        <v>6</v>
      </c>
      <c r="H190" s="4">
        <f>SUMIFS(VolumesTable[Volume],VolumesTable[Products],$C190,VolumesTable[Period],EDATE($D190,-12))</f>
        <v>24039</v>
      </c>
    </row>
    <row r="191" spans="1:8" x14ac:dyDescent="0.3">
      <c r="A191" t="s">
        <v>73</v>
      </c>
      <c r="B191" t="s">
        <v>11</v>
      </c>
      <c r="C191" t="s">
        <v>16</v>
      </c>
      <c r="D191" s="3">
        <v>44743</v>
      </c>
      <c r="E191">
        <v>23585</v>
      </c>
      <c r="F191">
        <v>2022</v>
      </c>
      <c r="G191">
        <v>7</v>
      </c>
      <c r="H191" s="4">
        <f>SUMIFS(VolumesTable[Volume],VolumesTable[Products],$C191,VolumesTable[Period],EDATE($D191,-12))</f>
        <v>24032</v>
      </c>
    </row>
    <row r="192" spans="1:8" x14ac:dyDescent="0.3">
      <c r="A192" t="s">
        <v>73</v>
      </c>
      <c r="B192" t="s">
        <v>11</v>
      </c>
      <c r="C192" t="s">
        <v>16</v>
      </c>
      <c r="D192" s="3">
        <v>44774</v>
      </c>
      <c r="E192">
        <v>25847</v>
      </c>
      <c r="F192">
        <v>2022</v>
      </c>
      <c r="G192">
        <v>8</v>
      </c>
      <c r="H192" s="4">
        <f>SUMIFS(VolumesTable[Volume],VolumesTable[Products],$C192,VolumesTable[Period],EDATE($D192,-12))</f>
        <v>24026</v>
      </c>
    </row>
    <row r="193" spans="1:8" x14ac:dyDescent="0.3">
      <c r="A193" t="s">
        <v>73</v>
      </c>
      <c r="B193" t="s">
        <v>11</v>
      </c>
      <c r="C193" t="s">
        <v>16</v>
      </c>
      <c r="D193" s="3">
        <v>44805</v>
      </c>
      <c r="E193">
        <v>24740</v>
      </c>
      <c r="F193">
        <v>2022</v>
      </c>
      <c r="G193">
        <v>9</v>
      </c>
      <c r="H193" s="4">
        <f>SUMIFS(VolumesTable[Volume],VolumesTable[Products],$C193,VolumesTable[Period],EDATE($D193,-12))</f>
        <v>24020</v>
      </c>
    </row>
    <row r="194" spans="1:8" x14ac:dyDescent="0.3">
      <c r="A194" t="s">
        <v>73</v>
      </c>
      <c r="B194" t="s">
        <v>11</v>
      </c>
      <c r="C194" t="s">
        <v>16</v>
      </c>
      <c r="D194" s="3">
        <v>44835</v>
      </c>
      <c r="E194">
        <v>23630</v>
      </c>
      <c r="F194">
        <v>2022</v>
      </c>
      <c r="G194">
        <v>10</v>
      </c>
      <c r="H194" s="4">
        <f>SUMIFS(VolumesTable[Volume],VolumesTable[Products],$C194,VolumesTable[Period],EDATE($D194,-12))</f>
        <v>22923</v>
      </c>
    </row>
    <row r="195" spans="1:8" x14ac:dyDescent="0.3">
      <c r="A195" t="s">
        <v>73</v>
      </c>
      <c r="B195" t="s">
        <v>11</v>
      </c>
      <c r="C195" t="s">
        <v>16</v>
      </c>
      <c r="D195" s="3">
        <v>44866</v>
      </c>
      <c r="E195">
        <v>24769</v>
      </c>
      <c r="F195">
        <v>2022</v>
      </c>
      <c r="G195">
        <v>11</v>
      </c>
      <c r="H195" s="4">
        <f>SUMIFS(VolumesTable[Volume],VolumesTable[Products],$C195,VolumesTable[Period],EDATE($D195,-12))</f>
        <v>24009</v>
      </c>
    </row>
    <row r="196" spans="1:8" x14ac:dyDescent="0.3">
      <c r="A196" t="s">
        <v>73</v>
      </c>
      <c r="B196" t="s">
        <v>11</v>
      </c>
      <c r="C196" t="s">
        <v>16</v>
      </c>
      <c r="D196" s="3">
        <v>44896</v>
      </c>
      <c r="E196">
        <v>24783</v>
      </c>
      <c r="F196">
        <v>2022</v>
      </c>
      <c r="G196">
        <v>12</v>
      </c>
      <c r="H196" s="4">
        <f>SUMIFS(VolumesTable[Volume],VolumesTable[Products],$C196,VolumesTable[Period],EDATE($D196,-12))</f>
        <v>25095</v>
      </c>
    </row>
    <row r="197" spans="1:8" x14ac:dyDescent="0.3">
      <c r="A197" t="s">
        <v>73</v>
      </c>
      <c r="B197" t="s">
        <v>11</v>
      </c>
      <c r="C197" t="s">
        <v>15</v>
      </c>
      <c r="D197" s="3">
        <v>44562</v>
      </c>
      <c r="E197">
        <v>34851</v>
      </c>
      <c r="F197">
        <v>2022</v>
      </c>
      <c r="G197">
        <v>1</v>
      </c>
      <c r="H197" s="4">
        <f>SUMIFS(VolumesTable[Volume],VolumesTable[Products],$C197,VolumesTable[Period],EDATE($D197,-12))</f>
        <v>34440</v>
      </c>
    </row>
    <row r="198" spans="1:8" x14ac:dyDescent="0.3">
      <c r="A198" t="s">
        <v>73</v>
      </c>
      <c r="B198" t="s">
        <v>11</v>
      </c>
      <c r="C198" t="s">
        <v>15</v>
      </c>
      <c r="D198" s="3">
        <v>44593</v>
      </c>
      <c r="E198">
        <v>33217</v>
      </c>
      <c r="F198">
        <v>2022</v>
      </c>
      <c r="G198">
        <v>2</v>
      </c>
      <c r="H198" s="4">
        <f>SUMIFS(VolumesTable[Volume],VolumesTable[Products],$C198,VolumesTable[Period],EDATE($D198,-12))</f>
        <v>32861</v>
      </c>
    </row>
    <row r="199" spans="1:8" x14ac:dyDescent="0.3">
      <c r="A199" t="s">
        <v>73</v>
      </c>
      <c r="B199" t="s">
        <v>11</v>
      </c>
      <c r="C199" t="s">
        <v>15</v>
      </c>
      <c r="D199" s="3">
        <v>44621</v>
      </c>
      <c r="E199">
        <v>38227</v>
      </c>
      <c r="F199">
        <v>2022</v>
      </c>
      <c r="G199">
        <v>3</v>
      </c>
      <c r="H199" s="4">
        <f>SUMIFS(VolumesTable[Volume],VolumesTable[Products],$C199,VolumesTable[Period],EDATE($D199,-12))</f>
        <v>37852</v>
      </c>
    </row>
    <row r="200" spans="1:8" x14ac:dyDescent="0.3">
      <c r="A200" t="s">
        <v>73</v>
      </c>
      <c r="B200" t="s">
        <v>11</v>
      </c>
      <c r="C200" t="s">
        <v>15</v>
      </c>
      <c r="D200" s="3">
        <v>44652</v>
      </c>
      <c r="E200">
        <v>34930</v>
      </c>
      <c r="F200">
        <v>2022</v>
      </c>
      <c r="G200">
        <v>4</v>
      </c>
      <c r="H200" s="4">
        <f>SUMIFS(VolumesTable[Volume],VolumesTable[Products],$C200,VolumesTable[Period],EDATE($D200,-12))</f>
        <v>36270</v>
      </c>
    </row>
    <row r="201" spans="1:8" x14ac:dyDescent="0.3">
      <c r="A201" t="s">
        <v>73</v>
      </c>
      <c r="B201" t="s">
        <v>11</v>
      </c>
      <c r="C201" t="s">
        <v>15</v>
      </c>
      <c r="D201" s="3">
        <v>44682</v>
      </c>
      <c r="E201">
        <v>36619</v>
      </c>
      <c r="F201">
        <v>2022</v>
      </c>
      <c r="G201">
        <v>5</v>
      </c>
      <c r="H201" s="4">
        <f>SUMIFS(VolumesTable[Volume],VolumesTable[Products],$C201,VolumesTable[Period],EDATE($D201,-12))</f>
        <v>34676</v>
      </c>
    </row>
    <row r="202" spans="1:8" x14ac:dyDescent="0.3">
      <c r="A202" t="s">
        <v>73</v>
      </c>
      <c r="B202" t="s">
        <v>11</v>
      </c>
      <c r="C202" t="s">
        <v>15</v>
      </c>
      <c r="D202" s="3">
        <v>44713</v>
      </c>
      <c r="E202">
        <v>36644</v>
      </c>
      <c r="F202">
        <v>2022</v>
      </c>
      <c r="G202">
        <v>6</v>
      </c>
      <c r="H202" s="4">
        <f>SUMIFS(VolumesTable[Volume],VolumesTable[Products],$C202,VolumesTable[Period],EDATE($D202,-12))</f>
        <v>36379</v>
      </c>
    </row>
    <row r="203" spans="1:8" x14ac:dyDescent="0.3">
      <c r="A203" t="s">
        <v>73</v>
      </c>
      <c r="B203" t="s">
        <v>11</v>
      </c>
      <c r="C203" t="s">
        <v>15</v>
      </c>
      <c r="D203" s="3">
        <v>44743</v>
      </c>
      <c r="E203">
        <v>35002</v>
      </c>
      <c r="F203">
        <v>2022</v>
      </c>
      <c r="G203">
        <v>7</v>
      </c>
      <c r="H203" s="4">
        <f>SUMIFS(VolumesTable[Volume],VolumesTable[Products],$C203,VolumesTable[Period],EDATE($D203,-12))</f>
        <v>36431</v>
      </c>
    </row>
    <row r="204" spans="1:8" x14ac:dyDescent="0.3">
      <c r="A204" t="s">
        <v>73</v>
      </c>
      <c r="B204" t="s">
        <v>11</v>
      </c>
      <c r="C204" t="s">
        <v>15</v>
      </c>
      <c r="D204" s="3">
        <v>44774</v>
      </c>
      <c r="E204">
        <v>38360</v>
      </c>
      <c r="F204">
        <v>2022</v>
      </c>
      <c r="G204">
        <v>8</v>
      </c>
      <c r="H204" s="4">
        <f>SUMIFS(VolumesTable[Volume],VolumesTable[Products],$C204,VolumesTable[Period],EDATE($D204,-12))</f>
        <v>36479</v>
      </c>
    </row>
    <row r="205" spans="1:8" x14ac:dyDescent="0.3">
      <c r="A205" t="s">
        <v>73</v>
      </c>
      <c r="B205" t="s">
        <v>11</v>
      </c>
      <c r="C205" t="s">
        <v>15</v>
      </c>
      <c r="D205" s="3">
        <v>44805</v>
      </c>
      <c r="E205">
        <v>36716</v>
      </c>
      <c r="F205">
        <v>2022</v>
      </c>
      <c r="G205">
        <v>9</v>
      </c>
      <c r="H205" s="4">
        <f>SUMIFS(VolumesTable[Volume],VolumesTable[Products],$C205,VolumesTable[Period],EDATE($D205,-12))</f>
        <v>36525</v>
      </c>
    </row>
    <row r="206" spans="1:8" x14ac:dyDescent="0.3">
      <c r="A206" t="s">
        <v>73</v>
      </c>
      <c r="B206" t="s">
        <v>11</v>
      </c>
      <c r="C206" t="s">
        <v>15</v>
      </c>
      <c r="D206" s="3">
        <v>44835</v>
      </c>
      <c r="E206">
        <v>35069</v>
      </c>
      <c r="F206">
        <v>2022</v>
      </c>
      <c r="G206">
        <v>10</v>
      </c>
      <c r="H206" s="4">
        <f>SUMIFS(VolumesTable[Volume],VolumesTable[Products],$C206,VolumesTable[Period],EDATE($D206,-12))</f>
        <v>34907</v>
      </c>
    </row>
    <row r="207" spans="1:8" x14ac:dyDescent="0.3">
      <c r="A207" t="s">
        <v>73</v>
      </c>
      <c r="B207" t="s">
        <v>11</v>
      </c>
      <c r="C207" t="s">
        <v>15</v>
      </c>
      <c r="D207" s="3">
        <v>44866</v>
      </c>
      <c r="E207">
        <v>36760</v>
      </c>
      <c r="F207">
        <v>2022</v>
      </c>
      <c r="G207">
        <v>11</v>
      </c>
      <c r="H207" s="4">
        <f>SUMIFS(VolumesTable[Volume],VolumesTable[Products],$C207,VolumesTable[Period],EDATE($D207,-12))</f>
        <v>36609</v>
      </c>
    </row>
    <row r="208" spans="1:8" x14ac:dyDescent="0.3">
      <c r="A208" t="s">
        <v>73</v>
      </c>
      <c r="B208" t="s">
        <v>11</v>
      </c>
      <c r="C208" t="s">
        <v>15</v>
      </c>
      <c r="D208" s="3">
        <v>44896</v>
      </c>
      <c r="E208">
        <v>36781</v>
      </c>
      <c r="F208">
        <v>2022</v>
      </c>
      <c r="G208">
        <v>12</v>
      </c>
      <c r="H208" s="4">
        <f>SUMIFS(VolumesTable[Volume],VolumesTable[Products],$C208,VolumesTable[Period],EDATE($D208,-12))</f>
        <v>38315</v>
      </c>
    </row>
    <row r="209" spans="1:8" x14ac:dyDescent="0.3">
      <c r="A209" t="s">
        <v>73</v>
      </c>
      <c r="B209" t="s">
        <v>11</v>
      </c>
      <c r="C209" t="s">
        <v>13</v>
      </c>
      <c r="D209" s="3">
        <v>44562</v>
      </c>
      <c r="E209">
        <v>19258</v>
      </c>
      <c r="F209">
        <v>2022</v>
      </c>
      <c r="G209">
        <v>1</v>
      </c>
      <c r="H209" s="4">
        <f>SUMIFS(VolumesTable[Volume],VolumesTable[Products],$C209,VolumesTable[Period],EDATE($D209,-12))</f>
        <v>19171</v>
      </c>
    </row>
    <row r="210" spans="1:8" x14ac:dyDescent="0.3">
      <c r="A210" t="s">
        <v>73</v>
      </c>
      <c r="B210" t="s">
        <v>11</v>
      </c>
      <c r="C210" t="s">
        <v>13</v>
      </c>
      <c r="D210" s="3">
        <v>44593</v>
      </c>
      <c r="E210">
        <v>18349</v>
      </c>
      <c r="F210">
        <v>2022</v>
      </c>
      <c r="G210">
        <v>2</v>
      </c>
      <c r="H210" s="4">
        <f>SUMIFS(VolumesTable[Volume],VolumesTable[Products],$C210,VolumesTable[Period],EDATE($D210,-12))</f>
        <v>18285</v>
      </c>
    </row>
    <row r="211" spans="1:8" x14ac:dyDescent="0.3">
      <c r="A211" t="s">
        <v>73</v>
      </c>
      <c r="B211" t="s">
        <v>11</v>
      </c>
      <c r="C211" t="s">
        <v>13</v>
      </c>
      <c r="D211" s="3">
        <v>44621</v>
      </c>
      <c r="E211">
        <v>21110</v>
      </c>
      <c r="F211">
        <v>2022</v>
      </c>
      <c r="G211">
        <v>3</v>
      </c>
      <c r="H211" s="4">
        <f>SUMIFS(VolumesTable[Volume],VolumesTable[Products],$C211,VolumesTable[Period],EDATE($D211,-12))</f>
        <v>21056</v>
      </c>
    </row>
    <row r="212" spans="1:8" x14ac:dyDescent="0.3">
      <c r="A212" t="s">
        <v>73</v>
      </c>
      <c r="B212" t="s">
        <v>11</v>
      </c>
      <c r="C212" t="s">
        <v>13</v>
      </c>
      <c r="D212" s="3">
        <v>44652</v>
      </c>
      <c r="E212">
        <v>19282</v>
      </c>
      <c r="F212">
        <v>2022</v>
      </c>
      <c r="G212">
        <v>4</v>
      </c>
      <c r="H212" s="4">
        <f>SUMIFS(VolumesTable[Volume],VolumesTable[Products],$C212,VolumesTable[Period],EDATE($D212,-12))</f>
        <v>20169</v>
      </c>
    </row>
    <row r="213" spans="1:8" x14ac:dyDescent="0.3">
      <c r="A213" t="s">
        <v>73</v>
      </c>
      <c r="B213" t="s">
        <v>11</v>
      </c>
      <c r="C213" t="s">
        <v>13</v>
      </c>
      <c r="D213" s="3">
        <v>44682</v>
      </c>
      <c r="E213">
        <v>20208</v>
      </c>
      <c r="F213">
        <v>2022</v>
      </c>
      <c r="G213">
        <v>5</v>
      </c>
      <c r="H213" s="4">
        <f>SUMIFS(VolumesTable[Volume],VolumesTable[Products],$C213,VolumesTable[Period],EDATE($D213,-12))</f>
        <v>19276</v>
      </c>
    </row>
    <row r="214" spans="1:8" x14ac:dyDescent="0.3">
      <c r="A214" t="s">
        <v>73</v>
      </c>
      <c r="B214" t="s">
        <v>11</v>
      </c>
      <c r="C214" t="s">
        <v>13</v>
      </c>
      <c r="D214" s="3">
        <v>44713</v>
      </c>
      <c r="E214">
        <v>20216</v>
      </c>
      <c r="F214">
        <v>2022</v>
      </c>
      <c r="G214">
        <v>6</v>
      </c>
      <c r="H214" s="4">
        <f>SUMIFS(VolumesTable[Volume],VolumesTable[Products],$C214,VolumesTable[Period],EDATE($D214,-12))</f>
        <v>20217</v>
      </c>
    </row>
    <row r="215" spans="1:8" x14ac:dyDescent="0.3">
      <c r="A215" t="s">
        <v>73</v>
      </c>
      <c r="B215" t="s">
        <v>11</v>
      </c>
      <c r="C215" t="s">
        <v>13</v>
      </c>
      <c r="D215" s="3">
        <v>44743</v>
      </c>
      <c r="E215">
        <v>19304</v>
      </c>
      <c r="F215">
        <v>2022</v>
      </c>
      <c r="G215">
        <v>7</v>
      </c>
      <c r="H215" s="4">
        <f>SUMIFS(VolumesTable[Volume],VolumesTable[Products],$C215,VolumesTable[Period],EDATE($D215,-12))</f>
        <v>20240</v>
      </c>
    </row>
    <row r="216" spans="1:8" x14ac:dyDescent="0.3">
      <c r="A216" t="s">
        <v>73</v>
      </c>
      <c r="B216" t="s">
        <v>11</v>
      </c>
      <c r="C216" t="s">
        <v>13</v>
      </c>
      <c r="D216" s="3">
        <v>44774</v>
      </c>
      <c r="E216">
        <v>21150</v>
      </c>
      <c r="F216">
        <v>2022</v>
      </c>
      <c r="G216">
        <v>8</v>
      </c>
      <c r="H216" s="4">
        <f>SUMIFS(VolumesTable[Volume],VolumesTable[Products],$C216,VolumesTable[Period],EDATE($D216,-12))</f>
        <v>20261</v>
      </c>
    </row>
    <row r="217" spans="1:8" x14ac:dyDescent="0.3">
      <c r="A217" t="s">
        <v>73</v>
      </c>
      <c r="B217" t="s">
        <v>11</v>
      </c>
      <c r="C217" t="s">
        <v>13</v>
      </c>
      <c r="D217" s="3">
        <v>44805</v>
      </c>
      <c r="E217">
        <v>20238</v>
      </c>
      <c r="F217">
        <v>2022</v>
      </c>
      <c r="G217">
        <v>9</v>
      </c>
      <c r="H217" s="4">
        <f>SUMIFS(VolumesTable[Volume],VolumesTable[Products],$C217,VolumesTable[Period],EDATE($D217,-12))</f>
        <v>20282</v>
      </c>
    </row>
    <row r="218" spans="1:8" x14ac:dyDescent="0.3">
      <c r="A218" t="s">
        <v>73</v>
      </c>
      <c r="B218" t="s">
        <v>11</v>
      </c>
      <c r="C218" t="s">
        <v>13</v>
      </c>
      <c r="D218" s="3">
        <v>44835</v>
      </c>
      <c r="E218">
        <v>19324</v>
      </c>
      <c r="F218">
        <v>2022</v>
      </c>
      <c r="G218">
        <v>10</v>
      </c>
      <c r="H218" s="4">
        <f>SUMIFS(VolumesTable[Volume],VolumesTable[Products],$C218,VolumesTable[Period],EDATE($D218,-12))</f>
        <v>19379</v>
      </c>
    </row>
    <row r="219" spans="1:8" x14ac:dyDescent="0.3">
      <c r="A219" t="s">
        <v>73</v>
      </c>
      <c r="B219" t="s">
        <v>11</v>
      </c>
      <c r="C219" t="s">
        <v>13</v>
      </c>
      <c r="D219" s="3">
        <v>44866</v>
      </c>
      <c r="E219">
        <v>20251</v>
      </c>
      <c r="F219">
        <v>2022</v>
      </c>
      <c r="G219">
        <v>11</v>
      </c>
      <c r="H219" s="4">
        <f>SUMIFS(VolumesTable[Volume],VolumesTable[Products],$C219,VolumesTable[Period],EDATE($D219,-12))</f>
        <v>20319</v>
      </c>
    </row>
    <row r="220" spans="1:8" x14ac:dyDescent="0.3">
      <c r="A220" t="s">
        <v>73</v>
      </c>
      <c r="B220" t="s">
        <v>11</v>
      </c>
      <c r="C220" t="s">
        <v>13</v>
      </c>
      <c r="D220" s="3">
        <v>44896</v>
      </c>
      <c r="E220">
        <v>20257</v>
      </c>
      <c r="F220">
        <v>2022</v>
      </c>
      <c r="G220">
        <v>12</v>
      </c>
      <c r="H220" s="4">
        <f>SUMIFS(VolumesTable[Volume],VolumesTable[Products],$C220,VolumesTable[Period],EDATE($D220,-12))</f>
        <v>21262</v>
      </c>
    </row>
    <row r="221" spans="1:8" x14ac:dyDescent="0.3">
      <c r="A221" t="s">
        <v>73</v>
      </c>
      <c r="B221" t="s">
        <v>11</v>
      </c>
      <c r="C221" t="s">
        <v>14</v>
      </c>
      <c r="D221" s="3">
        <v>44562</v>
      </c>
      <c r="E221">
        <v>15931</v>
      </c>
      <c r="F221">
        <v>2022</v>
      </c>
      <c r="G221">
        <v>1</v>
      </c>
      <c r="H221" s="4">
        <f>SUMIFS(VolumesTable[Volume],VolumesTable[Products],$C221,VolumesTable[Period],EDATE($D221,-12))</f>
        <v>15985</v>
      </c>
    </row>
    <row r="222" spans="1:8" x14ac:dyDescent="0.3">
      <c r="A222" t="s">
        <v>73</v>
      </c>
      <c r="B222" t="s">
        <v>11</v>
      </c>
      <c r="C222" t="s">
        <v>14</v>
      </c>
      <c r="D222" s="3">
        <v>44593</v>
      </c>
      <c r="E222">
        <v>15170</v>
      </c>
      <c r="F222">
        <v>2022</v>
      </c>
      <c r="G222">
        <v>2</v>
      </c>
      <c r="H222" s="4">
        <f>SUMIFS(VolumesTable[Volume],VolumesTable[Products],$C222,VolumesTable[Period],EDATE($D222,-12))</f>
        <v>15218</v>
      </c>
    </row>
    <row r="223" spans="1:8" x14ac:dyDescent="0.3">
      <c r="A223" t="s">
        <v>73</v>
      </c>
      <c r="B223" t="s">
        <v>11</v>
      </c>
      <c r="C223" t="s">
        <v>14</v>
      </c>
      <c r="D223" s="3">
        <v>44621</v>
      </c>
      <c r="E223">
        <v>17442</v>
      </c>
      <c r="F223">
        <v>2022</v>
      </c>
      <c r="G223">
        <v>3</v>
      </c>
      <c r="H223" s="4">
        <f>SUMIFS(VolumesTable[Volume],VolumesTable[Products],$C223,VolumesTable[Period],EDATE($D223,-12))</f>
        <v>17495</v>
      </c>
    </row>
    <row r="224" spans="1:8" x14ac:dyDescent="0.3">
      <c r="A224" t="s">
        <v>73</v>
      </c>
      <c r="B224" t="s">
        <v>11</v>
      </c>
      <c r="C224" t="s">
        <v>14</v>
      </c>
      <c r="D224" s="3">
        <v>44652</v>
      </c>
      <c r="E224">
        <v>15922</v>
      </c>
      <c r="F224">
        <v>2022</v>
      </c>
      <c r="G224">
        <v>4</v>
      </c>
      <c r="H224" s="4">
        <f>SUMIFS(VolumesTable[Volume],VolumesTable[Products],$C224,VolumesTable[Period],EDATE($D224,-12))</f>
        <v>16728</v>
      </c>
    </row>
    <row r="225" spans="1:8" x14ac:dyDescent="0.3">
      <c r="A225" t="s">
        <v>73</v>
      </c>
      <c r="B225" t="s">
        <v>11</v>
      </c>
      <c r="C225" t="s">
        <v>14</v>
      </c>
      <c r="D225" s="3">
        <v>44682</v>
      </c>
      <c r="E225">
        <v>16677</v>
      </c>
      <c r="F225">
        <v>2022</v>
      </c>
      <c r="G225">
        <v>5</v>
      </c>
      <c r="H225" s="4">
        <f>SUMIFS(VolumesTable[Volume],VolumesTable[Products],$C225,VolumesTable[Period],EDATE($D225,-12))</f>
        <v>15963</v>
      </c>
    </row>
    <row r="226" spans="1:8" x14ac:dyDescent="0.3">
      <c r="A226" t="s">
        <v>73</v>
      </c>
      <c r="B226" t="s">
        <v>11</v>
      </c>
      <c r="C226" t="s">
        <v>14</v>
      </c>
      <c r="D226" s="3">
        <v>44713</v>
      </c>
      <c r="E226">
        <v>16675</v>
      </c>
      <c r="F226">
        <v>2022</v>
      </c>
      <c r="G226">
        <v>6</v>
      </c>
      <c r="H226" s="4">
        <f>SUMIFS(VolumesTable[Volume],VolumesTable[Products],$C226,VolumesTable[Period],EDATE($D226,-12))</f>
        <v>16718</v>
      </c>
    </row>
    <row r="227" spans="1:8" x14ac:dyDescent="0.3">
      <c r="A227" t="s">
        <v>73</v>
      </c>
      <c r="B227" t="s">
        <v>11</v>
      </c>
      <c r="C227" t="s">
        <v>14</v>
      </c>
      <c r="D227" s="3">
        <v>44743</v>
      </c>
      <c r="E227">
        <v>15914</v>
      </c>
      <c r="F227">
        <v>2022</v>
      </c>
      <c r="G227">
        <v>7</v>
      </c>
      <c r="H227" s="4">
        <f>SUMIFS(VolumesTable[Volume],VolumesTable[Products],$C227,VolumesTable[Period],EDATE($D227,-12))</f>
        <v>16713</v>
      </c>
    </row>
    <row r="228" spans="1:8" x14ac:dyDescent="0.3">
      <c r="A228" t="s">
        <v>73</v>
      </c>
      <c r="B228" t="s">
        <v>11</v>
      </c>
      <c r="C228" t="s">
        <v>14</v>
      </c>
      <c r="D228" s="3">
        <v>44774</v>
      </c>
      <c r="E228">
        <v>17427</v>
      </c>
      <c r="F228">
        <v>2022</v>
      </c>
      <c r="G228">
        <v>8</v>
      </c>
      <c r="H228" s="4">
        <f>SUMIFS(VolumesTable[Volume],VolumesTable[Products],$C228,VolumesTable[Period],EDATE($D228,-12))</f>
        <v>16709</v>
      </c>
    </row>
    <row r="229" spans="1:8" x14ac:dyDescent="0.3">
      <c r="A229" t="s">
        <v>73</v>
      </c>
      <c r="B229" t="s">
        <v>11</v>
      </c>
      <c r="C229" t="s">
        <v>14</v>
      </c>
      <c r="D229" s="3">
        <v>44805</v>
      </c>
      <c r="E229">
        <v>16666</v>
      </c>
      <c r="F229">
        <v>2022</v>
      </c>
      <c r="G229">
        <v>9</v>
      </c>
      <c r="H229" s="4">
        <f>SUMIFS(VolumesTable[Volume],VolumesTable[Products],$C229,VolumesTable[Period],EDATE($D229,-12))</f>
        <v>16705</v>
      </c>
    </row>
    <row r="230" spans="1:8" x14ac:dyDescent="0.3">
      <c r="A230" t="s">
        <v>73</v>
      </c>
      <c r="B230" t="s">
        <v>11</v>
      </c>
      <c r="C230" t="s">
        <v>14</v>
      </c>
      <c r="D230" s="3">
        <v>44835</v>
      </c>
      <c r="E230">
        <v>15906</v>
      </c>
      <c r="F230">
        <v>2022</v>
      </c>
      <c r="G230">
        <v>10</v>
      </c>
      <c r="H230" s="4">
        <f>SUMIFS(VolumesTable[Volume],VolumesTable[Products],$C230,VolumesTable[Period],EDATE($D230,-12))</f>
        <v>15942</v>
      </c>
    </row>
    <row r="231" spans="1:8" x14ac:dyDescent="0.3">
      <c r="A231" t="s">
        <v>73</v>
      </c>
      <c r="B231" t="s">
        <v>11</v>
      </c>
      <c r="C231" t="s">
        <v>14</v>
      </c>
      <c r="D231" s="3">
        <v>44866</v>
      </c>
      <c r="E231">
        <v>16661</v>
      </c>
      <c r="F231">
        <v>2022</v>
      </c>
      <c r="G231">
        <v>11</v>
      </c>
      <c r="H231" s="4">
        <f>SUMIFS(VolumesTable[Volume],VolumesTable[Products],$C231,VolumesTable[Period],EDATE($D231,-12))</f>
        <v>16697</v>
      </c>
    </row>
    <row r="232" spans="1:8" x14ac:dyDescent="0.3">
      <c r="A232" t="s">
        <v>73</v>
      </c>
      <c r="B232" t="s">
        <v>11</v>
      </c>
      <c r="C232" t="s">
        <v>14</v>
      </c>
      <c r="D232" s="3">
        <v>44896</v>
      </c>
      <c r="E232">
        <v>16659</v>
      </c>
      <c r="F232">
        <v>2022</v>
      </c>
      <c r="G232">
        <v>12</v>
      </c>
      <c r="H232" s="4">
        <f>SUMIFS(VolumesTable[Volume],VolumesTable[Products],$C232,VolumesTable[Period],EDATE($D232,-12))</f>
        <v>17452</v>
      </c>
    </row>
    <row r="233" spans="1:8" x14ac:dyDescent="0.3">
      <c r="A233" t="s">
        <v>21</v>
      </c>
      <c r="B233" t="s">
        <v>12</v>
      </c>
      <c r="C233" t="s">
        <v>17</v>
      </c>
      <c r="D233" s="3">
        <v>44562</v>
      </c>
      <c r="E233">
        <v>19538</v>
      </c>
      <c r="F233">
        <v>2022</v>
      </c>
      <c r="G233">
        <v>1</v>
      </c>
      <c r="H233" s="4">
        <f>SUMIFS(VolumesTable[Volume],VolumesTable[Products],$C233,VolumesTable[Period],EDATE($D233,-12))</f>
        <v>19407</v>
      </c>
    </row>
    <row r="234" spans="1:8" x14ac:dyDescent="0.3">
      <c r="A234" t="s">
        <v>21</v>
      </c>
      <c r="B234" t="s">
        <v>12</v>
      </c>
      <c r="C234" t="s">
        <v>17</v>
      </c>
      <c r="D234" s="3">
        <v>44593</v>
      </c>
      <c r="E234">
        <v>18615</v>
      </c>
      <c r="F234">
        <v>2022</v>
      </c>
      <c r="G234">
        <v>2</v>
      </c>
      <c r="H234" s="4">
        <f>SUMIFS(VolumesTable[Volume],VolumesTable[Products],$C234,VolumesTable[Period],EDATE($D234,-12))</f>
        <v>18497</v>
      </c>
    </row>
    <row r="235" spans="1:8" x14ac:dyDescent="0.3">
      <c r="A235" t="s">
        <v>21</v>
      </c>
      <c r="B235" t="s">
        <v>12</v>
      </c>
      <c r="C235" t="s">
        <v>17</v>
      </c>
      <c r="D235" s="3">
        <v>44621</v>
      </c>
      <c r="E235">
        <v>21414</v>
      </c>
      <c r="F235">
        <v>2022</v>
      </c>
      <c r="G235">
        <v>3</v>
      </c>
      <c r="H235" s="4">
        <f>SUMIFS(VolumesTable[Volume],VolumesTable[Products],$C235,VolumesTable[Period],EDATE($D235,-12))</f>
        <v>21285</v>
      </c>
    </row>
    <row r="236" spans="1:8" x14ac:dyDescent="0.3">
      <c r="A236" t="s">
        <v>21</v>
      </c>
      <c r="B236" t="s">
        <v>12</v>
      </c>
      <c r="C236" t="s">
        <v>17</v>
      </c>
      <c r="D236" s="3">
        <v>44652</v>
      </c>
      <c r="E236">
        <v>19560</v>
      </c>
      <c r="F236">
        <v>2022</v>
      </c>
      <c r="G236">
        <v>4</v>
      </c>
      <c r="H236" s="4">
        <f>SUMIFS(VolumesTable[Volume],VolumesTable[Products],$C236,VolumesTable[Period],EDATE($D236,-12))</f>
        <v>20374</v>
      </c>
    </row>
    <row r="237" spans="1:8" x14ac:dyDescent="0.3">
      <c r="A237" t="s">
        <v>21</v>
      </c>
      <c r="B237" t="s">
        <v>12</v>
      </c>
      <c r="C237" t="s">
        <v>17</v>
      </c>
      <c r="D237" s="3">
        <v>44682</v>
      </c>
      <c r="E237">
        <v>20498</v>
      </c>
      <c r="F237">
        <v>2022</v>
      </c>
      <c r="G237">
        <v>5</v>
      </c>
      <c r="H237" s="4">
        <f>SUMIFS(VolumesTable[Volume],VolumesTable[Products],$C237,VolumesTable[Period],EDATE($D237,-12))</f>
        <v>19460</v>
      </c>
    </row>
    <row r="238" spans="1:8" x14ac:dyDescent="0.3">
      <c r="A238" t="s">
        <v>21</v>
      </c>
      <c r="B238" t="s">
        <v>12</v>
      </c>
      <c r="C238" t="s">
        <v>17</v>
      </c>
      <c r="D238" s="3">
        <v>44713</v>
      </c>
      <c r="E238">
        <v>20506</v>
      </c>
      <c r="F238">
        <v>2022</v>
      </c>
      <c r="G238">
        <v>6</v>
      </c>
      <c r="H238" s="4">
        <f>SUMIFS(VolumesTable[Volume],VolumesTable[Products],$C238,VolumesTable[Period],EDATE($D238,-12))</f>
        <v>20399</v>
      </c>
    </row>
    <row r="239" spans="1:8" x14ac:dyDescent="0.3">
      <c r="A239" t="s">
        <v>21</v>
      </c>
      <c r="B239" t="s">
        <v>12</v>
      </c>
      <c r="C239" t="s">
        <v>17</v>
      </c>
      <c r="D239" s="3">
        <v>44743</v>
      </c>
      <c r="E239">
        <v>19580</v>
      </c>
      <c r="F239">
        <v>2022</v>
      </c>
      <c r="G239">
        <v>7</v>
      </c>
      <c r="H239" s="4">
        <f>SUMIFS(VolumesTable[Volume],VolumesTable[Products],$C239,VolumesTable[Period],EDATE($D239,-12))</f>
        <v>20410</v>
      </c>
    </row>
    <row r="240" spans="1:8" x14ac:dyDescent="0.3">
      <c r="A240" t="s">
        <v>21</v>
      </c>
      <c r="B240" t="s">
        <v>12</v>
      </c>
      <c r="C240" t="s">
        <v>17</v>
      </c>
      <c r="D240" s="3">
        <v>44774</v>
      </c>
      <c r="E240">
        <v>21452</v>
      </c>
      <c r="F240">
        <v>2022</v>
      </c>
      <c r="G240">
        <v>8</v>
      </c>
      <c r="H240" s="4">
        <f>SUMIFS(VolumesTable[Volume],VolumesTable[Products],$C240,VolumesTable[Period],EDATE($D240,-12))</f>
        <v>20421</v>
      </c>
    </row>
    <row r="241" spans="1:8" x14ac:dyDescent="0.3">
      <c r="A241" t="s">
        <v>21</v>
      </c>
      <c r="B241" t="s">
        <v>12</v>
      </c>
      <c r="C241" t="s">
        <v>17</v>
      </c>
      <c r="D241" s="3">
        <v>44805</v>
      </c>
      <c r="E241">
        <v>20526</v>
      </c>
      <c r="F241">
        <v>2022</v>
      </c>
      <c r="G241">
        <v>9</v>
      </c>
      <c r="H241" s="4">
        <f>SUMIFS(VolumesTable[Volume],VolumesTable[Products],$C241,VolumesTable[Period],EDATE($D241,-12))</f>
        <v>20431</v>
      </c>
    </row>
    <row r="242" spans="1:8" x14ac:dyDescent="0.3">
      <c r="A242" t="s">
        <v>21</v>
      </c>
      <c r="B242" t="s">
        <v>12</v>
      </c>
      <c r="C242" t="s">
        <v>17</v>
      </c>
      <c r="D242" s="3">
        <v>44835</v>
      </c>
      <c r="E242">
        <v>19599</v>
      </c>
      <c r="F242">
        <v>2022</v>
      </c>
      <c r="G242">
        <v>10</v>
      </c>
      <c r="H242" s="4">
        <f>SUMIFS(VolumesTable[Volume],VolumesTable[Products],$C242,VolumesTable[Period],EDATE($D242,-12))</f>
        <v>19512</v>
      </c>
    </row>
    <row r="243" spans="1:8" x14ac:dyDescent="0.3">
      <c r="A243" t="s">
        <v>21</v>
      </c>
      <c r="B243" t="s">
        <v>12</v>
      </c>
      <c r="C243" t="s">
        <v>17</v>
      </c>
      <c r="D243" s="3">
        <v>44866</v>
      </c>
      <c r="E243">
        <v>20538</v>
      </c>
      <c r="F243">
        <v>2022</v>
      </c>
      <c r="G243">
        <v>11</v>
      </c>
      <c r="H243" s="4">
        <f>SUMIFS(VolumesTable[Volume],VolumesTable[Products],$C243,VolumesTable[Period],EDATE($D243,-12))</f>
        <v>20450</v>
      </c>
    </row>
    <row r="244" spans="1:8" x14ac:dyDescent="0.3">
      <c r="A244" t="s">
        <v>21</v>
      </c>
      <c r="B244" t="s">
        <v>12</v>
      </c>
      <c r="C244" t="s">
        <v>17</v>
      </c>
      <c r="D244" s="3">
        <v>44896</v>
      </c>
      <c r="E244">
        <v>20544</v>
      </c>
      <c r="F244">
        <v>2022</v>
      </c>
      <c r="G244">
        <v>12</v>
      </c>
      <c r="H244" s="4">
        <f>SUMIFS(VolumesTable[Volume],VolumesTable[Products],$C244,VolumesTable[Period],EDATE($D244,-12))</f>
        <v>21389</v>
      </c>
    </row>
    <row r="245" spans="1:8" x14ac:dyDescent="0.3">
      <c r="A245" t="s">
        <v>21</v>
      </c>
      <c r="B245" t="s">
        <v>12</v>
      </c>
      <c r="C245" t="s">
        <v>19</v>
      </c>
      <c r="D245" s="3">
        <v>44562</v>
      </c>
      <c r="E245">
        <v>18031</v>
      </c>
      <c r="F245">
        <v>2022</v>
      </c>
      <c r="G245">
        <v>1</v>
      </c>
      <c r="H245" s="4">
        <f>SUMIFS(VolumesTable[Volume],VolumesTable[Products],$C245,VolumesTable[Period],EDATE($D245,-12))</f>
        <v>17845</v>
      </c>
    </row>
    <row r="246" spans="1:8" x14ac:dyDescent="0.3">
      <c r="A246" t="s">
        <v>21</v>
      </c>
      <c r="B246" t="s">
        <v>12</v>
      </c>
      <c r="C246" t="s">
        <v>19</v>
      </c>
      <c r="D246" s="3">
        <v>44593</v>
      </c>
      <c r="E246">
        <v>17185</v>
      </c>
      <c r="F246">
        <v>2022</v>
      </c>
      <c r="G246">
        <v>2</v>
      </c>
      <c r="H246" s="4">
        <f>SUMIFS(VolumesTable[Volume],VolumesTable[Products],$C246,VolumesTable[Period],EDATE($D246,-12))</f>
        <v>17033</v>
      </c>
    </row>
    <row r="247" spans="1:8" x14ac:dyDescent="0.3">
      <c r="A247" t="s">
        <v>21</v>
      </c>
      <c r="B247" t="s">
        <v>12</v>
      </c>
      <c r="C247" t="s">
        <v>19</v>
      </c>
      <c r="D247" s="3">
        <v>44621</v>
      </c>
      <c r="E247">
        <v>19777</v>
      </c>
      <c r="F247">
        <v>2022</v>
      </c>
      <c r="G247">
        <v>3</v>
      </c>
      <c r="H247" s="4">
        <f>SUMIFS(VolumesTable[Volume],VolumesTable[Products],$C247,VolumesTable[Period],EDATE($D247,-12))</f>
        <v>19627</v>
      </c>
    </row>
    <row r="248" spans="1:8" x14ac:dyDescent="0.3">
      <c r="A248" t="s">
        <v>21</v>
      </c>
      <c r="B248" t="s">
        <v>12</v>
      </c>
      <c r="C248" t="s">
        <v>19</v>
      </c>
      <c r="D248" s="3">
        <v>44652</v>
      </c>
      <c r="E248">
        <v>18072</v>
      </c>
      <c r="F248">
        <v>2022</v>
      </c>
      <c r="G248">
        <v>4</v>
      </c>
      <c r="H248" s="4">
        <f>SUMIFS(VolumesTable[Volume],VolumesTable[Products],$C248,VolumesTable[Period],EDATE($D248,-12))</f>
        <v>18813</v>
      </c>
    </row>
    <row r="249" spans="1:8" x14ac:dyDescent="0.3">
      <c r="A249" t="s">
        <v>21</v>
      </c>
      <c r="B249" t="s">
        <v>12</v>
      </c>
      <c r="C249" t="s">
        <v>19</v>
      </c>
      <c r="D249" s="3">
        <v>44682</v>
      </c>
      <c r="E249">
        <v>18945</v>
      </c>
      <c r="F249">
        <v>2022</v>
      </c>
      <c r="G249">
        <v>5</v>
      </c>
      <c r="H249" s="4">
        <f>SUMIFS(VolumesTable[Volume],VolumesTable[Products],$C249,VolumesTable[Period],EDATE($D249,-12))</f>
        <v>17992</v>
      </c>
    </row>
    <row r="250" spans="1:8" x14ac:dyDescent="0.3">
      <c r="A250" t="s">
        <v>21</v>
      </c>
      <c r="B250" t="s">
        <v>12</v>
      </c>
      <c r="C250" t="s">
        <v>19</v>
      </c>
      <c r="D250" s="3">
        <v>44713</v>
      </c>
      <c r="E250">
        <v>18958</v>
      </c>
      <c r="F250">
        <v>2022</v>
      </c>
      <c r="G250">
        <v>6</v>
      </c>
      <c r="H250" s="4">
        <f>SUMIFS(VolumesTable[Volume],VolumesTable[Products],$C250,VolumesTable[Period],EDATE($D250,-12))</f>
        <v>18881</v>
      </c>
    </row>
    <row r="251" spans="1:8" x14ac:dyDescent="0.3">
      <c r="A251" t="s">
        <v>21</v>
      </c>
      <c r="B251" t="s">
        <v>12</v>
      </c>
      <c r="C251" t="s">
        <v>19</v>
      </c>
      <c r="D251" s="3">
        <v>44743</v>
      </c>
      <c r="E251">
        <v>18109</v>
      </c>
      <c r="F251">
        <v>2022</v>
      </c>
      <c r="G251">
        <v>7</v>
      </c>
      <c r="H251" s="4">
        <f>SUMIFS(VolumesTable[Volume],VolumesTable[Products],$C251,VolumesTable[Period],EDATE($D251,-12))</f>
        <v>18913</v>
      </c>
    </row>
    <row r="252" spans="1:8" x14ac:dyDescent="0.3">
      <c r="A252" t="s">
        <v>21</v>
      </c>
      <c r="B252" t="s">
        <v>12</v>
      </c>
      <c r="C252" t="s">
        <v>19</v>
      </c>
      <c r="D252" s="3">
        <v>44774</v>
      </c>
      <c r="E252">
        <v>19846</v>
      </c>
      <c r="F252">
        <v>2022</v>
      </c>
      <c r="G252">
        <v>8</v>
      </c>
      <c r="H252" s="4">
        <f>SUMIFS(VolumesTable[Volume],VolumesTable[Products],$C252,VolumesTable[Period],EDATE($D252,-12))</f>
        <v>18943</v>
      </c>
    </row>
    <row r="253" spans="1:8" x14ac:dyDescent="0.3">
      <c r="A253" t="s">
        <v>21</v>
      </c>
      <c r="B253" t="s">
        <v>12</v>
      </c>
      <c r="C253" t="s">
        <v>19</v>
      </c>
      <c r="D253" s="3">
        <v>44805</v>
      </c>
      <c r="E253">
        <v>18996</v>
      </c>
      <c r="F253">
        <v>2022</v>
      </c>
      <c r="G253">
        <v>9</v>
      </c>
      <c r="H253" s="4">
        <f>SUMIFS(VolumesTable[Volume],VolumesTable[Products],$C253,VolumesTable[Period],EDATE($D253,-12))</f>
        <v>18972</v>
      </c>
    </row>
    <row r="254" spans="1:8" x14ac:dyDescent="0.3">
      <c r="A254" t="s">
        <v>21</v>
      </c>
      <c r="B254" t="s">
        <v>12</v>
      </c>
      <c r="C254" t="s">
        <v>19</v>
      </c>
      <c r="D254" s="3">
        <v>44835</v>
      </c>
      <c r="E254">
        <v>18143</v>
      </c>
      <c r="F254">
        <v>2022</v>
      </c>
      <c r="G254">
        <v>10</v>
      </c>
      <c r="H254" s="4">
        <f>SUMIFS(VolumesTable[Volume],VolumesTable[Products],$C254,VolumesTable[Period],EDATE($D254,-12))</f>
        <v>18136</v>
      </c>
    </row>
    <row r="255" spans="1:8" x14ac:dyDescent="0.3">
      <c r="A255" t="s">
        <v>21</v>
      </c>
      <c r="B255" t="s">
        <v>12</v>
      </c>
      <c r="C255" t="s">
        <v>19</v>
      </c>
      <c r="D255" s="3">
        <v>44866</v>
      </c>
      <c r="E255">
        <v>19018</v>
      </c>
      <c r="F255">
        <v>2022</v>
      </c>
      <c r="G255">
        <v>11</v>
      </c>
      <c r="H255" s="4">
        <f>SUMIFS(VolumesTable[Volume],VolumesTable[Products],$C255,VolumesTable[Period],EDATE($D255,-12))</f>
        <v>19024</v>
      </c>
    </row>
    <row r="256" spans="1:8" x14ac:dyDescent="0.3">
      <c r="A256" t="s">
        <v>21</v>
      </c>
      <c r="B256" t="s">
        <v>12</v>
      </c>
      <c r="C256" t="s">
        <v>19</v>
      </c>
      <c r="D256" s="3">
        <v>44896</v>
      </c>
      <c r="E256">
        <v>19029</v>
      </c>
      <c r="F256">
        <v>2022</v>
      </c>
      <c r="G256">
        <v>12</v>
      </c>
      <c r="H256" s="4">
        <f>SUMIFS(VolumesTable[Volume],VolumesTable[Products],$C256,VolumesTable[Period],EDATE($D256,-12))</f>
        <v>19915</v>
      </c>
    </row>
    <row r="257" spans="1:8" x14ac:dyDescent="0.3">
      <c r="A257" t="s">
        <v>21</v>
      </c>
      <c r="B257" t="s">
        <v>12</v>
      </c>
      <c r="C257" t="s">
        <v>18</v>
      </c>
      <c r="D257" s="3">
        <v>44562</v>
      </c>
      <c r="E257">
        <v>14862</v>
      </c>
      <c r="F257">
        <v>2022</v>
      </c>
      <c r="G257">
        <v>1</v>
      </c>
      <c r="H257" s="4">
        <f>SUMIFS(VolumesTable[Volume],VolumesTable[Products],$C257,VolumesTable[Period],EDATE($D257,-12))</f>
        <v>14708</v>
      </c>
    </row>
    <row r="258" spans="1:8" x14ac:dyDescent="0.3">
      <c r="A258" t="s">
        <v>21</v>
      </c>
      <c r="B258" t="s">
        <v>12</v>
      </c>
      <c r="C258" t="s">
        <v>18</v>
      </c>
      <c r="D258" s="3">
        <v>44593</v>
      </c>
      <c r="E258">
        <v>14165</v>
      </c>
      <c r="F258">
        <v>2022</v>
      </c>
      <c r="G258">
        <v>2</v>
      </c>
      <c r="H258" s="4">
        <f>SUMIFS(VolumesTable[Volume],VolumesTable[Products],$C258,VolumesTable[Period],EDATE($D258,-12))</f>
        <v>14039</v>
      </c>
    </row>
    <row r="259" spans="1:8" x14ac:dyDescent="0.3">
      <c r="A259" t="s">
        <v>21</v>
      </c>
      <c r="B259" t="s">
        <v>12</v>
      </c>
      <c r="C259" t="s">
        <v>18</v>
      </c>
      <c r="D259" s="3">
        <v>44621</v>
      </c>
      <c r="E259">
        <v>16301</v>
      </c>
      <c r="F259">
        <v>2022</v>
      </c>
      <c r="G259">
        <v>3</v>
      </c>
      <c r="H259" s="4">
        <f>SUMIFS(VolumesTable[Volume],VolumesTable[Products],$C259,VolumesTable[Period],EDATE($D259,-12))</f>
        <v>16177</v>
      </c>
    </row>
    <row r="260" spans="1:8" x14ac:dyDescent="0.3">
      <c r="A260" t="s">
        <v>21</v>
      </c>
      <c r="B260" t="s">
        <v>12</v>
      </c>
      <c r="C260" t="s">
        <v>18</v>
      </c>
      <c r="D260" s="3">
        <v>44652</v>
      </c>
      <c r="E260">
        <v>14895</v>
      </c>
      <c r="F260">
        <v>2022</v>
      </c>
      <c r="G260">
        <v>4</v>
      </c>
      <c r="H260" s="4">
        <f>SUMIFS(VolumesTable[Volume],VolumesTable[Products],$C260,VolumesTable[Period],EDATE($D260,-12))</f>
        <v>15506</v>
      </c>
    </row>
    <row r="261" spans="1:8" x14ac:dyDescent="0.3">
      <c r="A261" t="s">
        <v>21</v>
      </c>
      <c r="B261" t="s">
        <v>12</v>
      </c>
      <c r="C261" t="s">
        <v>18</v>
      </c>
      <c r="D261" s="3">
        <v>44682</v>
      </c>
      <c r="E261">
        <v>15615</v>
      </c>
      <c r="F261">
        <v>2022</v>
      </c>
      <c r="G261">
        <v>5</v>
      </c>
      <c r="H261" s="4">
        <f>SUMIFS(VolumesTable[Volume],VolumesTable[Products],$C261,VolumesTable[Period],EDATE($D261,-12))</f>
        <v>14830</v>
      </c>
    </row>
    <row r="262" spans="1:8" x14ac:dyDescent="0.3">
      <c r="A262" t="s">
        <v>21</v>
      </c>
      <c r="B262" t="s">
        <v>12</v>
      </c>
      <c r="C262" t="s">
        <v>18</v>
      </c>
      <c r="D262" s="3">
        <v>44713</v>
      </c>
      <c r="E262">
        <v>15626</v>
      </c>
      <c r="F262">
        <v>2022</v>
      </c>
      <c r="G262">
        <v>6</v>
      </c>
      <c r="H262" s="4">
        <f>SUMIFS(VolumesTable[Volume],VolumesTable[Products],$C262,VolumesTable[Period],EDATE($D262,-12))</f>
        <v>15562</v>
      </c>
    </row>
    <row r="263" spans="1:8" x14ac:dyDescent="0.3">
      <c r="A263" t="s">
        <v>21</v>
      </c>
      <c r="B263" t="s">
        <v>12</v>
      </c>
      <c r="C263" t="s">
        <v>18</v>
      </c>
      <c r="D263" s="3">
        <v>44743</v>
      </c>
      <c r="E263">
        <v>14926</v>
      </c>
      <c r="F263">
        <v>2022</v>
      </c>
      <c r="G263">
        <v>7</v>
      </c>
      <c r="H263" s="4">
        <f>SUMIFS(VolumesTable[Volume],VolumesTable[Products],$C263,VolumesTable[Period],EDATE($D263,-12))</f>
        <v>15589</v>
      </c>
    </row>
    <row r="264" spans="1:8" x14ac:dyDescent="0.3">
      <c r="A264" t="s">
        <v>21</v>
      </c>
      <c r="B264" t="s">
        <v>12</v>
      </c>
      <c r="C264" t="s">
        <v>18</v>
      </c>
      <c r="D264" s="3">
        <v>44774</v>
      </c>
      <c r="E264">
        <v>16358</v>
      </c>
      <c r="F264">
        <v>2022</v>
      </c>
      <c r="G264">
        <v>8</v>
      </c>
      <c r="H264" s="4">
        <f>SUMIFS(VolumesTable[Volume],VolumesTable[Products],$C264,VolumesTable[Period],EDATE($D264,-12))</f>
        <v>15614</v>
      </c>
    </row>
    <row r="265" spans="1:8" x14ac:dyDescent="0.3">
      <c r="A265" t="s">
        <v>21</v>
      </c>
      <c r="B265" t="s">
        <v>12</v>
      </c>
      <c r="C265" t="s">
        <v>18</v>
      </c>
      <c r="D265" s="3">
        <v>44805</v>
      </c>
      <c r="E265">
        <v>15657</v>
      </c>
      <c r="F265">
        <v>2022</v>
      </c>
      <c r="G265">
        <v>9</v>
      </c>
      <c r="H265" s="4">
        <f>SUMIFS(VolumesTable[Volume],VolumesTable[Products],$C265,VolumesTable[Period],EDATE($D265,-12))</f>
        <v>15637</v>
      </c>
    </row>
    <row r="266" spans="1:8" x14ac:dyDescent="0.3">
      <c r="A266" t="s">
        <v>21</v>
      </c>
      <c r="B266" t="s">
        <v>12</v>
      </c>
      <c r="C266" t="s">
        <v>18</v>
      </c>
      <c r="D266" s="3">
        <v>44835</v>
      </c>
      <c r="E266">
        <v>14954</v>
      </c>
      <c r="F266">
        <v>2022</v>
      </c>
      <c r="G266">
        <v>10</v>
      </c>
      <c r="H266" s="4">
        <f>SUMIFS(VolumesTable[Volume],VolumesTable[Products],$C266,VolumesTable[Period],EDATE($D266,-12))</f>
        <v>14948</v>
      </c>
    </row>
    <row r="267" spans="1:8" x14ac:dyDescent="0.3">
      <c r="A267" t="s">
        <v>21</v>
      </c>
      <c r="B267" t="s">
        <v>12</v>
      </c>
      <c r="C267" t="s">
        <v>18</v>
      </c>
      <c r="D267" s="3">
        <v>44866</v>
      </c>
      <c r="E267">
        <v>15675</v>
      </c>
      <c r="F267">
        <v>2022</v>
      </c>
      <c r="G267">
        <v>11</v>
      </c>
      <c r="H267" s="4">
        <f>SUMIFS(VolumesTable[Volume],VolumesTable[Products],$C267,VolumesTable[Period],EDATE($D267,-12))</f>
        <v>15680</v>
      </c>
    </row>
    <row r="268" spans="1:8" x14ac:dyDescent="0.3">
      <c r="A268" t="s">
        <v>21</v>
      </c>
      <c r="B268" t="s">
        <v>12</v>
      </c>
      <c r="C268" t="s">
        <v>18</v>
      </c>
      <c r="D268" s="3">
        <v>44896</v>
      </c>
      <c r="E268">
        <v>15684</v>
      </c>
      <c r="F268">
        <v>2022</v>
      </c>
      <c r="G268">
        <v>12</v>
      </c>
      <c r="H268" s="4">
        <f>SUMIFS(VolumesTable[Volume],VolumesTable[Products],$C268,VolumesTable[Period],EDATE($D268,-12))</f>
        <v>16415</v>
      </c>
    </row>
    <row r="269" spans="1:8" x14ac:dyDescent="0.3">
      <c r="A269" t="s">
        <v>6</v>
      </c>
      <c r="B269" t="s">
        <v>12</v>
      </c>
      <c r="C269" t="s">
        <v>9</v>
      </c>
      <c r="D269" s="3">
        <v>44197</v>
      </c>
      <c r="E269">
        <v>551424</v>
      </c>
      <c r="F269">
        <v>2021</v>
      </c>
      <c r="G269">
        <v>1</v>
      </c>
      <c r="H269" s="4">
        <f>SUMIFS(VolumesTable[Volume],VolumesTable[Products],$C269,VolumesTable[Period],EDATE($D269,-12))</f>
        <v>597425</v>
      </c>
    </row>
    <row r="270" spans="1:8" x14ac:dyDescent="0.3">
      <c r="A270" t="s">
        <v>6</v>
      </c>
      <c r="B270" t="s">
        <v>12</v>
      </c>
      <c r="C270" t="s">
        <v>9</v>
      </c>
      <c r="D270" s="3">
        <v>44228</v>
      </c>
      <c r="E270">
        <v>526140</v>
      </c>
      <c r="F270">
        <v>2021</v>
      </c>
      <c r="G270">
        <v>2</v>
      </c>
      <c r="H270" s="4">
        <f>SUMIFS(VolumesTable[Volume],VolumesTable[Products],$C270,VolumesTable[Period],EDATE($D270,-12))</f>
        <v>519740</v>
      </c>
    </row>
    <row r="271" spans="1:8" x14ac:dyDescent="0.3">
      <c r="A271" t="s">
        <v>6</v>
      </c>
      <c r="B271" t="s">
        <v>12</v>
      </c>
      <c r="C271" t="s">
        <v>9</v>
      </c>
      <c r="D271" s="3">
        <v>44256</v>
      </c>
      <c r="E271">
        <v>606059</v>
      </c>
      <c r="F271">
        <v>2021</v>
      </c>
      <c r="G271">
        <v>3</v>
      </c>
      <c r="H271" s="4">
        <f>SUMIFS(VolumesTable[Volume],VolumesTable[Products],$C271,VolumesTable[Period],EDATE($D271,-12))</f>
        <v>569536</v>
      </c>
    </row>
    <row r="272" spans="1:8" x14ac:dyDescent="0.3">
      <c r="A272" t="s">
        <v>6</v>
      </c>
      <c r="B272" t="s">
        <v>12</v>
      </c>
      <c r="C272" t="s">
        <v>9</v>
      </c>
      <c r="D272" s="3">
        <v>44287</v>
      </c>
      <c r="E272">
        <v>580731</v>
      </c>
      <c r="F272">
        <v>2021</v>
      </c>
      <c r="G272">
        <v>4</v>
      </c>
      <c r="H272" s="4">
        <f>SUMIFS(VolumesTable[Volume],VolumesTable[Products],$C272,VolumesTable[Period],EDATE($D272,-12))</f>
        <v>553102</v>
      </c>
    </row>
    <row r="273" spans="1:8" x14ac:dyDescent="0.3">
      <c r="A273" t="s">
        <v>6</v>
      </c>
      <c r="B273" t="s">
        <v>12</v>
      </c>
      <c r="C273" t="s">
        <v>9</v>
      </c>
      <c r="D273" s="3">
        <v>44317</v>
      </c>
      <c r="E273">
        <v>555210</v>
      </c>
      <c r="F273">
        <v>2021</v>
      </c>
      <c r="G273">
        <v>5</v>
      </c>
      <c r="H273" s="4">
        <f>SUMIFS(VolumesTable[Volume],VolumesTable[Products],$C273,VolumesTable[Period],EDATE($D273,-12))</f>
        <v>534975</v>
      </c>
    </row>
    <row r="274" spans="1:8" x14ac:dyDescent="0.3">
      <c r="A274" t="s">
        <v>6</v>
      </c>
      <c r="B274" t="s">
        <v>12</v>
      </c>
      <c r="C274" t="s">
        <v>9</v>
      </c>
      <c r="D274" s="3">
        <v>44348</v>
      </c>
      <c r="E274">
        <v>582476</v>
      </c>
      <c r="F274">
        <v>2021</v>
      </c>
      <c r="G274">
        <v>6</v>
      </c>
      <c r="H274" s="4">
        <f>SUMIFS(VolumesTable[Volume],VolumesTable[Products],$C274,VolumesTable[Period],EDATE($D274,-12))</f>
        <v>558668</v>
      </c>
    </row>
    <row r="275" spans="1:8" x14ac:dyDescent="0.3">
      <c r="A275" t="s">
        <v>6</v>
      </c>
      <c r="B275" t="s">
        <v>12</v>
      </c>
      <c r="C275" t="s">
        <v>9</v>
      </c>
      <c r="D275" s="3">
        <v>44378</v>
      </c>
      <c r="E275">
        <v>583296</v>
      </c>
      <c r="F275">
        <v>2021</v>
      </c>
      <c r="G275">
        <v>7</v>
      </c>
      <c r="H275" s="4">
        <f>SUMIFS(VolumesTable[Volume],VolumesTable[Products],$C275,VolumesTable[Period],EDATE($D275,-12))</f>
        <v>588455</v>
      </c>
    </row>
    <row r="276" spans="1:8" x14ac:dyDescent="0.3">
      <c r="A276" t="s">
        <v>6</v>
      </c>
      <c r="B276" t="s">
        <v>12</v>
      </c>
      <c r="C276" t="s">
        <v>9</v>
      </c>
      <c r="D276" s="3">
        <v>44409</v>
      </c>
      <c r="E276">
        <v>584073</v>
      </c>
      <c r="F276">
        <v>2021</v>
      </c>
      <c r="G276">
        <v>8</v>
      </c>
      <c r="H276" s="4">
        <f>SUMIFS(VolumesTable[Volume],VolumesTable[Products],$C276,VolumesTable[Period],EDATE($D276,-12))</f>
        <v>534198</v>
      </c>
    </row>
    <row r="277" spans="1:8" x14ac:dyDescent="0.3">
      <c r="A277" t="s">
        <v>6</v>
      </c>
      <c r="B277" t="s">
        <v>12</v>
      </c>
      <c r="C277" t="s">
        <v>9</v>
      </c>
      <c r="D277" s="3">
        <v>44440</v>
      </c>
      <c r="E277">
        <v>584811</v>
      </c>
      <c r="F277">
        <v>2021</v>
      </c>
      <c r="G277">
        <v>9</v>
      </c>
      <c r="H277" s="4">
        <f>SUMIFS(VolumesTable[Volume],VolumesTable[Products],$C277,VolumesTable[Period],EDATE($D277,-12))</f>
        <v>566302</v>
      </c>
    </row>
    <row r="278" spans="1:8" x14ac:dyDescent="0.3">
      <c r="A278" t="s">
        <v>6</v>
      </c>
      <c r="B278" t="s">
        <v>12</v>
      </c>
      <c r="C278" t="s">
        <v>9</v>
      </c>
      <c r="D278" s="3">
        <v>44470</v>
      </c>
      <c r="E278">
        <v>558901</v>
      </c>
      <c r="F278">
        <v>2021</v>
      </c>
      <c r="G278">
        <v>10</v>
      </c>
      <c r="H278" s="4">
        <f>SUMIFS(VolumesTable[Volume],VolumesTable[Products],$C278,VolumesTable[Period],EDATE($D278,-12))</f>
        <v>570460</v>
      </c>
    </row>
    <row r="279" spans="1:8" x14ac:dyDescent="0.3">
      <c r="A279" t="s">
        <v>6</v>
      </c>
      <c r="B279" t="s">
        <v>12</v>
      </c>
      <c r="C279" t="s">
        <v>9</v>
      </c>
      <c r="D279" s="3">
        <v>44501</v>
      </c>
      <c r="E279">
        <v>586158</v>
      </c>
      <c r="F279">
        <v>2021</v>
      </c>
      <c r="G279">
        <v>11</v>
      </c>
      <c r="H279" s="4">
        <f>SUMIFS(VolumesTable[Volume],VolumesTable[Products],$C279,VolumesTable[Period],EDATE($D279,-12))</f>
        <v>540120</v>
      </c>
    </row>
    <row r="280" spans="1:8" x14ac:dyDescent="0.3">
      <c r="A280" t="s">
        <v>6</v>
      </c>
      <c r="B280" t="s">
        <v>12</v>
      </c>
      <c r="C280" t="s">
        <v>9</v>
      </c>
      <c r="D280" s="3">
        <v>44531</v>
      </c>
      <c r="E280">
        <v>613476</v>
      </c>
      <c r="F280">
        <v>2021</v>
      </c>
      <c r="G280">
        <v>12</v>
      </c>
      <c r="H280" s="4">
        <f>SUMIFS(VolumesTable[Volume],VolumesTable[Products],$C280,VolumesTable[Period],EDATE($D280,-12))</f>
        <v>578887</v>
      </c>
    </row>
    <row r="281" spans="1:8" x14ac:dyDescent="0.3">
      <c r="A281" t="s">
        <v>6</v>
      </c>
      <c r="B281" t="s">
        <v>12</v>
      </c>
      <c r="C281" t="s">
        <v>7</v>
      </c>
      <c r="D281" s="3">
        <v>44197</v>
      </c>
      <c r="E281">
        <v>557404</v>
      </c>
      <c r="F281">
        <v>2021</v>
      </c>
      <c r="G281">
        <v>1</v>
      </c>
      <c r="H281" s="4">
        <f>SUMIFS(VolumesTable[Volume],VolumesTable[Products],$C281,VolumesTable[Period],EDATE($D281,-12))</f>
        <v>578473</v>
      </c>
    </row>
    <row r="282" spans="1:8" x14ac:dyDescent="0.3">
      <c r="A282" t="s">
        <v>6</v>
      </c>
      <c r="B282" t="s">
        <v>12</v>
      </c>
      <c r="C282" t="s">
        <v>7</v>
      </c>
      <c r="D282" s="3">
        <v>44228</v>
      </c>
      <c r="E282">
        <v>532436</v>
      </c>
      <c r="F282">
        <v>2021</v>
      </c>
      <c r="G282">
        <v>2</v>
      </c>
      <c r="H282" s="4">
        <f>SUMIFS(VolumesTable[Volume],VolumesTable[Products],$C282,VolumesTable[Period],EDATE($D282,-12))</f>
        <v>508420</v>
      </c>
    </row>
    <row r="283" spans="1:8" x14ac:dyDescent="0.3">
      <c r="A283" t="s">
        <v>6</v>
      </c>
      <c r="B283" t="s">
        <v>12</v>
      </c>
      <c r="C283" t="s">
        <v>7</v>
      </c>
      <c r="D283" s="3">
        <v>44256</v>
      </c>
      <c r="E283">
        <v>613918</v>
      </c>
      <c r="F283">
        <v>2021</v>
      </c>
      <c r="G283">
        <v>3</v>
      </c>
      <c r="H283" s="4">
        <f>SUMIFS(VolumesTable[Volume],VolumesTable[Products],$C283,VolumesTable[Period],EDATE($D283,-12))</f>
        <v>561154</v>
      </c>
    </row>
    <row r="284" spans="1:8" x14ac:dyDescent="0.3">
      <c r="A284" t="s">
        <v>6</v>
      </c>
      <c r="B284" t="s">
        <v>12</v>
      </c>
      <c r="C284" t="s">
        <v>7</v>
      </c>
      <c r="D284" s="3">
        <v>44287</v>
      </c>
      <c r="E284">
        <v>588883</v>
      </c>
      <c r="F284">
        <v>2021</v>
      </c>
      <c r="G284">
        <v>4</v>
      </c>
      <c r="H284" s="4">
        <f>SUMIFS(VolumesTable[Volume],VolumesTable[Products],$C284,VolumesTable[Period],EDATE($D284,-12))</f>
        <v>552464</v>
      </c>
    </row>
    <row r="285" spans="1:8" x14ac:dyDescent="0.3">
      <c r="A285" t="s">
        <v>6</v>
      </c>
      <c r="B285" t="s">
        <v>12</v>
      </c>
      <c r="C285" t="s">
        <v>7</v>
      </c>
      <c r="D285" s="3">
        <v>44317</v>
      </c>
      <c r="E285">
        <v>563537</v>
      </c>
      <c r="F285">
        <v>2021</v>
      </c>
      <c r="G285">
        <v>5</v>
      </c>
      <c r="H285" s="4">
        <f>SUMIFS(VolumesTable[Volume],VolumesTable[Products],$C285,VolumesTable[Period],EDATE($D285,-12))</f>
        <v>542199</v>
      </c>
    </row>
    <row r="286" spans="1:8" x14ac:dyDescent="0.3">
      <c r="A286" t="s">
        <v>6</v>
      </c>
      <c r="B286" t="s">
        <v>12</v>
      </c>
      <c r="C286" t="s">
        <v>7</v>
      </c>
      <c r="D286" s="3">
        <v>44348</v>
      </c>
      <c r="E286">
        <v>591716</v>
      </c>
      <c r="F286">
        <v>2021</v>
      </c>
      <c r="G286">
        <v>6</v>
      </c>
      <c r="H286" s="4">
        <f>SUMIFS(VolumesTable[Volume],VolumesTable[Products],$C286,VolumesTable[Period],EDATE($D286,-12))</f>
        <v>564894</v>
      </c>
    </row>
    <row r="287" spans="1:8" x14ac:dyDescent="0.3">
      <c r="A287" t="s">
        <v>6</v>
      </c>
      <c r="B287" t="s">
        <v>12</v>
      </c>
      <c r="C287" t="s">
        <v>7</v>
      </c>
      <c r="D287" s="3">
        <v>44378</v>
      </c>
      <c r="E287">
        <v>593048</v>
      </c>
      <c r="F287">
        <v>2021</v>
      </c>
      <c r="G287">
        <v>7</v>
      </c>
      <c r="H287" s="4">
        <f>SUMIFS(VolumesTable[Volume],VolumesTable[Products],$C287,VolumesTable[Period],EDATE($D287,-12))</f>
        <v>583027</v>
      </c>
    </row>
    <row r="288" spans="1:8" x14ac:dyDescent="0.3">
      <c r="A288" t="s">
        <v>6</v>
      </c>
      <c r="B288" t="s">
        <v>12</v>
      </c>
      <c r="C288" t="s">
        <v>7</v>
      </c>
      <c r="D288" s="3">
        <v>44409</v>
      </c>
      <c r="E288">
        <v>594312</v>
      </c>
      <c r="F288">
        <v>2021</v>
      </c>
      <c r="G288">
        <v>8</v>
      </c>
      <c r="H288" s="4">
        <f>SUMIFS(VolumesTable[Volume],VolumesTable[Products],$C288,VolumesTable[Period],EDATE($D288,-12))</f>
        <v>537390</v>
      </c>
    </row>
    <row r="289" spans="1:8" x14ac:dyDescent="0.3">
      <c r="A289" t="s">
        <v>6</v>
      </c>
      <c r="B289" t="s">
        <v>12</v>
      </c>
      <c r="C289" t="s">
        <v>7</v>
      </c>
      <c r="D289" s="3">
        <v>44440</v>
      </c>
      <c r="E289">
        <v>595514</v>
      </c>
      <c r="F289">
        <v>2021</v>
      </c>
      <c r="G289">
        <v>9</v>
      </c>
      <c r="H289" s="4">
        <f>SUMIFS(VolumesTable[Volume],VolumesTable[Products],$C289,VolumesTable[Period],EDATE($D289,-12))</f>
        <v>560692</v>
      </c>
    </row>
    <row r="290" spans="1:8" x14ac:dyDescent="0.3">
      <c r="A290" t="s">
        <v>6</v>
      </c>
      <c r="B290" t="s">
        <v>12</v>
      </c>
      <c r="C290" t="s">
        <v>7</v>
      </c>
      <c r="D290" s="3">
        <v>44470</v>
      </c>
      <c r="E290">
        <v>569540</v>
      </c>
      <c r="F290">
        <v>2021</v>
      </c>
      <c r="G290">
        <v>10</v>
      </c>
      <c r="H290" s="4">
        <f>SUMIFS(VolumesTable[Volume],VolumesTable[Products],$C290,VolumesTable[Period],EDATE($D290,-12))</f>
        <v>563706</v>
      </c>
    </row>
    <row r="291" spans="1:8" x14ac:dyDescent="0.3">
      <c r="A291" t="s">
        <v>6</v>
      </c>
      <c r="B291" t="s">
        <v>12</v>
      </c>
      <c r="C291" t="s">
        <v>7</v>
      </c>
      <c r="D291" s="3">
        <v>44501</v>
      </c>
      <c r="E291">
        <v>597709</v>
      </c>
      <c r="F291">
        <v>2021</v>
      </c>
      <c r="G291">
        <v>11</v>
      </c>
      <c r="H291" s="4">
        <f>SUMIFS(VolumesTable[Volume],VolumesTable[Products],$C291,VolumesTable[Period],EDATE($D291,-12))</f>
        <v>544824</v>
      </c>
    </row>
    <row r="292" spans="1:8" x14ac:dyDescent="0.3">
      <c r="A292" t="s">
        <v>6</v>
      </c>
      <c r="B292" t="s">
        <v>12</v>
      </c>
      <c r="C292" t="s">
        <v>7</v>
      </c>
      <c r="D292" s="3">
        <v>44531</v>
      </c>
      <c r="E292">
        <v>625978</v>
      </c>
      <c r="F292">
        <v>2021</v>
      </c>
      <c r="G292">
        <v>12</v>
      </c>
      <c r="H292" s="4">
        <f>SUMIFS(VolumesTable[Volume],VolumesTable[Products],$C292,VolumesTable[Period],EDATE($D292,-12))</f>
        <v>589559</v>
      </c>
    </row>
    <row r="293" spans="1:8" x14ac:dyDescent="0.3">
      <c r="A293" t="s">
        <v>6</v>
      </c>
      <c r="B293" t="s">
        <v>12</v>
      </c>
      <c r="C293" t="s">
        <v>8</v>
      </c>
      <c r="D293" s="3">
        <v>44197</v>
      </c>
      <c r="E293">
        <v>13468</v>
      </c>
      <c r="F293">
        <v>2021</v>
      </c>
      <c r="G293">
        <v>1</v>
      </c>
      <c r="H293" s="4">
        <f>SUMIFS(VolumesTable[Volume],VolumesTable[Products],$C293,VolumesTable[Period],EDATE($D293,-12))</f>
        <v>14605</v>
      </c>
    </row>
    <row r="294" spans="1:8" x14ac:dyDescent="0.3">
      <c r="A294" t="s">
        <v>6</v>
      </c>
      <c r="B294" t="s">
        <v>12</v>
      </c>
      <c r="C294" t="s">
        <v>8</v>
      </c>
      <c r="D294" s="3">
        <v>44228</v>
      </c>
      <c r="E294">
        <v>12836</v>
      </c>
      <c r="F294">
        <v>2021</v>
      </c>
      <c r="G294">
        <v>2</v>
      </c>
      <c r="H294" s="4">
        <f>SUMIFS(VolumesTable[Volume],VolumesTable[Products],$C294,VolumesTable[Period],EDATE($D294,-12))</f>
        <v>12700</v>
      </c>
    </row>
    <row r="295" spans="1:8" x14ac:dyDescent="0.3">
      <c r="A295" t="s">
        <v>6</v>
      </c>
      <c r="B295" t="s">
        <v>12</v>
      </c>
      <c r="C295" t="s">
        <v>8</v>
      </c>
      <c r="D295" s="3">
        <v>44256</v>
      </c>
      <c r="E295">
        <v>14772</v>
      </c>
      <c r="F295">
        <v>2021</v>
      </c>
      <c r="G295">
        <v>3</v>
      </c>
      <c r="H295" s="4">
        <f>SUMIFS(VolumesTable[Volume],VolumesTable[Products],$C295,VolumesTable[Period],EDATE($D295,-12))</f>
        <v>13970</v>
      </c>
    </row>
    <row r="296" spans="1:8" x14ac:dyDescent="0.3">
      <c r="A296" t="s">
        <v>6</v>
      </c>
      <c r="B296" t="s">
        <v>12</v>
      </c>
      <c r="C296" t="s">
        <v>8</v>
      </c>
      <c r="D296" s="3">
        <v>44287</v>
      </c>
      <c r="E296">
        <v>14139</v>
      </c>
      <c r="F296">
        <v>2021</v>
      </c>
      <c r="G296">
        <v>4</v>
      </c>
      <c r="H296" s="4">
        <f>SUMIFS(VolumesTable[Volume],VolumesTable[Products],$C296,VolumesTable[Period],EDATE($D296,-12))</f>
        <v>13970</v>
      </c>
    </row>
    <row r="297" spans="1:8" x14ac:dyDescent="0.3">
      <c r="A297" t="s">
        <v>6</v>
      </c>
      <c r="B297" t="s">
        <v>12</v>
      </c>
      <c r="C297" t="s">
        <v>8</v>
      </c>
      <c r="D297" s="3">
        <v>44317</v>
      </c>
      <c r="E297">
        <v>13505</v>
      </c>
      <c r="F297">
        <v>2021</v>
      </c>
      <c r="G297">
        <v>5</v>
      </c>
      <c r="H297" s="4">
        <f>SUMIFS(VolumesTable[Volume],VolumesTable[Products],$C297,VolumesTable[Period],EDATE($D297,-12))</f>
        <v>13335</v>
      </c>
    </row>
    <row r="298" spans="1:8" x14ac:dyDescent="0.3">
      <c r="A298" t="s">
        <v>6</v>
      </c>
      <c r="B298" t="s">
        <v>12</v>
      </c>
      <c r="C298" t="s">
        <v>8</v>
      </c>
      <c r="D298" s="3">
        <v>44348</v>
      </c>
      <c r="E298">
        <v>14156</v>
      </c>
      <c r="F298">
        <v>2021</v>
      </c>
      <c r="G298">
        <v>6</v>
      </c>
      <c r="H298" s="4">
        <f>SUMIFS(VolumesTable[Volume],VolumesTable[Products],$C298,VolumesTable[Period],EDATE($D298,-12))</f>
        <v>13970</v>
      </c>
    </row>
    <row r="299" spans="1:8" x14ac:dyDescent="0.3">
      <c r="A299" t="s">
        <v>6</v>
      </c>
      <c r="B299" t="s">
        <v>12</v>
      </c>
      <c r="C299" t="s">
        <v>8</v>
      </c>
      <c r="D299" s="3">
        <v>44378</v>
      </c>
      <c r="E299">
        <v>14164</v>
      </c>
      <c r="F299">
        <v>2021</v>
      </c>
      <c r="G299">
        <v>7</v>
      </c>
      <c r="H299" s="4">
        <f>SUMIFS(VolumesTable[Volume],VolumesTable[Products],$C299,VolumesTable[Period],EDATE($D299,-12))</f>
        <v>14605</v>
      </c>
    </row>
    <row r="300" spans="1:8" x14ac:dyDescent="0.3">
      <c r="A300" t="s">
        <v>6</v>
      </c>
      <c r="B300" t="s">
        <v>12</v>
      </c>
      <c r="C300" t="s">
        <v>8</v>
      </c>
      <c r="D300" s="3">
        <v>44409</v>
      </c>
      <c r="E300">
        <v>14172</v>
      </c>
      <c r="F300">
        <v>2021</v>
      </c>
      <c r="G300">
        <v>8</v>
      </c>
      <c r="H300" s="4">
        <f>SUMIFS(VolumesTable[Volume],VolumesTable[Products],$C300,VolumesTable[Period],EDATE($D300,-12))</f>
        <v>13335</v>
      </c>
    </row>
    <row r="301" spans="1:8" x14ac:dyDescent="0.3">
      <c r="A301" t="s">
        <v>6</v>
      </c>
      <c r="B301" t="s">
        <v>12</v>
      </c>
      <c r="C301" t="s">
        <v>8</v>
      </c>
      <c r="D301" s="3">
        <v>44440</v>
      </c>
      <c r="E301">
        <v>14179</v>
      </c>
      <c r="F301">
        <v>2021</v>
      </c>
      <c r="G301">
        <v>9</v>
      </c>
      <c r="H301" s="4">
        <f>SUMIFS(VolumesTable[Volume],VolumesTable[Products],$C301,VolumesTable[Period],EDATE($D301,-12))</f>
        <v>13970</v>
      </c>
    </row>
    <row r="302" spans="1:8" x14ac:dyDescent="0.3">
      <c r="A302" t="s">
        <v>6</v>
      </c>
      <c r="B302" t="s">
        <v>12</v>
      </c>
      <c r="C302" t="s">
        <v>8</v>
      </c>
      <c r="D302" s="3">
        <v>44470</v>
      </c>
      <c r="E302">
        <v>13541</v>
      </c>
      <c r="F302">
        <v>2021</v>
      </c>
      <c r="G302">
        <v>10</v>
      </c>
      <c r="H302" s="4">
        <f>SUMIFS(VolumesTable[Volume],VolumesTable[Products],$C302,VolumesTable[Period],EDATE($D302,-12))</f>
        <v>13970</v>
      </c>
    </row>
    <row r="303" spans="1:8" x14ac:dyDescent="0.3">
      <c r="A303" t="s">
        <v>6</v>
      </c>
      <c r="B303" t="s">
        <v>12</v>
      </c>
      <c r="C303" t="s">
        <v>8</v>
      </c>
      <c r="D303" s="3">
        <v>44501</v>
      </c>
      <c r="E303">
        <v>14192</v>
      </c>
      <c r="F303">
        <v>2021</v>
      </c>
      <c r="G303">
        <v>11</v>
      </c>
      <c r="H303" s="4">
        <f>SUMIFS(VolumesTable[Volume],VolumesTable[Products],$C303,VolumesTable[Period],EDATE($D303,-12))</f>
        <v>13335</v>
      </c>
    </row>
    <row r="304" spans="1:8" x14ac:dyDescent="0.3">
      <c r="A304" t="s">
        <v>6</v>
      </c>
      <c r="B304" t="s">
        <v>12</v>
      </c>
      <c r="C304" t="s">
        <v>8</v>
      </c>
      <c r="D304" s="3">
        <v>44531</v>
      </c>
      <c r="E304">
        <v>14844</v>
      </c>
      <c r="F304">
        <v>2021</v>
      </c>
      <c r="G304">
        <v>12</v>
      </c>
      <c r="H304" s="4">
        <f>SUMIFS(VolumesTable[Volume],VolumesTable[Products],$C304,VolumesTable[Period],EDATE($D304,-12))</f>
        <v>14605</v>
      </c>
    </row>
    <row r="305" spans="1:8" x14ac:dyDescent="0.3">
      <c r="A305" t="s">
        <v>6</v>
      </c>
      <c r="B305" t="s">
        <v>12</v>
      </c>
      <c r="C305" t="s">
        <v>10</v>
      </c>
      <c r="D305" s="3">
        <v>44197</v>
      </c>
      <c r="E305">
        <v>554482</v>
      </c>
      <c r="F305">
        <v>2021</v>
      </c>
      <c r="G305">
        <v>1</v>
      </c>
      <c r="H305" s="4">
        <f>SUMIFS(VolumesTable[Volume],VolumesTable[Products],$C305,VolumesTable[Period],EDATE($D305,-12))</f>
        <v>588662</v>
      </c>
    </row>
    <row r="306" spans="1:8" x14ac:dyDescent="0.3">
      <c r="A306" t="s">
        <v>6</v>
      </c>
      <c r="B306" t="s">
        <v>12</v>
      </c>
      <c r="C306" t="s">
        <v>10</v>
      </c>
      <c r="D306" s="3">
        <v>44228</v>
      </c>
      <c r="E306">
        <v>529449</v>
      </c>
      <c r="F306">
        <v>2021</v>
      </c>
      <c r="G306">
        <v>2</v>
      </c>
      <c r="H306" s="4">
        <f>SUMIFS(VolumesTable[Volume],VolumesTable[Products],$C306,VolumesTable[Period],EDATE($D306,-12))</f>
        <v>503380</v>
      </c>
    </row>
    <row r="307" spans="1:8" x14ac:dyDescent="0.3">
      <c r="A307" t="s">
        <v>6</v>
      </c>
      <c r="B307" t="s">
        <v>12</v>
      </c>
      <c r="C307" t="s">
        <v>10</v>
      </c>
      <c r="D307" s="3">
        <v>44256</v>
      </c>
      <c r="E307">
        <v>610273</v>
      </c>
      <c r="F307">
        <v>2021</v>
      </c>
      <c r="G307">
        <v>3</v>
      </c>
      <c r="H307" s="4">
        <f>SUMIFS(VolumesTable[Volume],VolumesTable[Products],$C307,VolumesTable[Period],EDATE($D307,-12))</f>
        <v>556776</v>
      </c>
    </row>
    <row r="308" spans="1:8" x14ac:dyDescent="0.3">
      <c r="A308" t="s">
        <v>6</v>
      </c>
      <c r="B308" t="s">
        <v>12</v>
      </c>
      <c r="C308" t="s">
        <v>10</v>
      </c>
      <c r="D308" s="3">
        <v>44287</v>
      </c>
      <c r="E308">
        <v>585181</v>
      </c>
      <c r="F308">
        <v>2021</v>
      </c>
      <c r="G308">
        <v>4</v>
      </c>
      <c r="H308" s="4">
        <f>SUMIFS(VolumesTable[Volume],VolumesTable[Products],$C308,VolumesTable[Period],EDATE($D308,-12))</f>
        <v>554950</v>
      </c>
    </row>
    <row r="309" spans="1:8" x14ac:dyDescent="0.3">
      <c r="A309" t="s">
        <v>6</v>
      </c>
      <c r="B309" t="s">
        <v>12</v>
      </c>
      <c r="C309" t="s">
        <v>10</v>
      </c>
      <c r="D309" s="3">
        <v>44317</v>
      </c>
      <c r="E309">
        <v>559818</v>
      </c>
      <c r="F309">
        <v>2021</v>
      </c>
      <c r="G309">
        <v>5</v>
      </c>
      <c r="H309" s="4">
        <f>SUMIFS(VolumesTable[Volume],VolumesTable[Products],$C309,VolumesTable[Period],EDATE($D309,-12))</f>
        <v>534492</v>
      </c>
    </row>
    <row r="310" spans="1:8" x14ac:dyDescent="0.3">
      <c r="A310" t="s">
        <v>6</v>
      </c>
      <c r="B310" t="s">
        <v>12</v>
      </c>
      <c r="C310" t="s">
        <v>10</v>
      </c>
      <c r="D310" s="3">
        <v>44348</v>
      </c>
      <c r="E310">
        <v>587644</v>
      </c>
      <c r="F310">
        <v>2021</v>
      </c>
      <c r="G310">
        <v>6</v>
      </c>
      <c r="H310" s="4">
        <f>SUMIFS(VolumesTable[Volume],VolumesTable[Products],$C310,VolumesTable[Period],EDATE($D310,-12))</f>
        <v>570526</v>
      </c>
    </row>
    <row r="311" spans="1:8" x14ac:dyDescent="0.3">
      <c r="A311" t="s">
        <v>6</v>
      </c>
      <c r="B311" t="s">
        <v>12</v>
      </c>
      <c r="C311" t="s">
        <v>10</v>
      </c>
      <c r="D311" s="3">
        <v>44378</v>
      </c>
      <c r="E311">
        <v>588801</v>
      </c>
      <c r="F311">
        <v>2021</v>
      </c>
      <c r="G311">
        <v>7</v>
      </c>
      <c r="H311" s="4">
        <f>SUMIFS(VolumesTable[Volume],VolumesTable[Products],$C311,VolumesTable[Period],EDATE($D311,-12))</f>
        <v>589122</v>
      </c>
    </row>
    <row r="312" spans="1:8" x14ac:dyDescent="0.3">
      <c r="A312" t="s">
        <v>6</v>
      </c>
      <c r="B312" t="s">
        <v>12</v>
      </c>
      <c r="C312" t="s">
        <v>10</v>
      </c>
      <c r="D312" s="3">
        <v>44409</v>
      </c>
      <c r="E312">
        <v>589899</v>
      </c>
      <c r="F312">
        <v>2021</v>
      </c>
      <c r="G312">
        <v>8</v>
      </c>
      <c r="H312" s="4">
        <f>SUMIFS(VolumesTable[Volume],VolumesTable[Products],$C312,VolumesTable[Period],EDATE($D312,-12))</f>
        <v>543984</v>
      </c>
    </row>
    <row r="313" spans="1:8" x14ac:dyDescent="0.3">
      <c r="A313" t="s">
        <v>6</v>
      </c>
      <c r="B313" t="s">
        <v>12</v>
      </c>
      <c r="C313" t="s">
        <v>10</v>
      </c>
      <c r="D313" s="3">
        <v>44440</v>
      </c>
      <c r="E313">
        <v>590943</v>
      </c>
      <c r="F313">
        <v>2021</v>
      </c>
      <c r="G313">
        <v>9</v>
      </c>
      <c r="H313" s="4">
        <f>SUMIFS(VolumesTable[Volume],VolumesTable[Products],$C313,VolumesTable[Period],EDATE($D313,-12))</f>
        <v>553740</v>
      </c>
    </row>
    <row r="314" spans="1:8" x14ac:dyDescent="0.3">
      <c r="A314" t="s">
        <v>6</v>
      </c>
      <c r="B314" t="s">
        <v>12</v>
      </c>
      <c r="C314" t="s">
        <v>10</v>
      </c>
      <c r="D314" s="3">
        <v>44470</v>
      </c>
      <c r="E314">
        <v>565033</v>
      </c>
      <c r="F314">
        <v>2021</v>
      </c>
      <c r="G314">
        <v>10</v>
      </c>
      <c r="H314" s="4">
        <f>SUMIFS(VolumesTable[Volume],VolumesTable[Products],$C314,VolumesTable[Period],EDATE($D314,-12))</f>
        <v>564740</v>
      </c>
    </row>
    <row r="315" spans="1:8" x14ac:dyDescent="0.3">
      <c r="A315" t="s">
        <v>6</v>
      </c>
      <c r="B315" t="s">
        <v>12</v>
      </c>
      <c r="C315" t="s">
        <v>10</v>
      </c>
      <c r="D315" s="3">
        <v>44501</v>
      </c>
      <c r="E315">
        <v>592849</v>
      </c>
      <c r="F315">
        <v>2021</v>
      </c>
      <c r="G315">
        <v>11</v>
      </c>
      <c r="H315" s="4">
        <f>SUMIFS(VolumesTable[Volume],VolumesTable[Products],$C315,VolumesTable[Period],EDATE($D315,-12))</f>
        <v>537264</v>
      </c>
    </row>
    <row r="316" spans="1:8" x14ac:dyDescent="0.3">
      <c r="A316" t="s">
        <v>6</v>
      </c>
      <c r="B316" t="s">
        <v>12</v>
      </c>
      <c r="C316" t="s">
        <v>10</v>
      </c>
      <c r="D316" s="3">
        <v>44531</v>
      </c>
      <c r="E316">
        <v>620751</v>
      </c>
      <c r="F316">
        <v>2021</v>
      </c>
      <c r="G316">
        <v>12</v>
      </c>
      <c r="H316" s="4">
        <f>SUMIFS(VolumesTable[Volume],VolumesTable[Products],$C316,VolumesTable[Period],EDATE($D316,-12))</f>
        <v>586247</v>
      </c>
    </row>
    <row r="317" spans="1:8" x14ac:dyDescent="0.3">
      <c r="A317" t="s">
        <v>73</v>
      </c>
      <c r="B317" t="s">
        <v>11</v>
      </c>
      <c r="C317" t="s">
        <v>16</v>
      </c>
      <c r="D317" s="3">
        <v>44197</v>
      </c>
      <c r="E317">
        <v>22985</v>
      </c>
      <c r="F317">
        <v>2021</v>
      </c>
      <c r="G317">
        <v>1</v>
      </c>
      <c r="H317" s="4">
        <f>SUMIFS(VolumesTable[Volume],VolumesTable[Products],$C317,VolumesTable[Period],EDATE($D317,-12))</f>
        <v>25300</v>
      </c>
    </row>
    <row r="318" spans="1:8" x14ac:dyDescent="0.3">
      <c r="A318" t="s">
        <v>73</v>
      </c>
      <c r="B318" t="s">
        <v>11</v>
      </c>
      <c r="C318" t="s">
        <v>16</v>
      </c>
      <c r="D318" s="3">
        <v>44228</v>
      </c>
      <c r="E318">
        <v>21882</v>
      </c>
      <c r="F318">
        <v>2021</v>
      </c>
      <c r="G318">
        <v>2</v>
      </c>
      <c r="H318" s="4">
        <f>SUMIFS(VolumesTable[Volume],VolumesTable[Products],$C318,VolumesTable[Period],EDATE($D318,-12))</f>
        <v>22000</v>
      </c>
    </row>
    <row r="319" spans="1:8" x14ac:dyDescent="0.3">
      <c r="A319" t="s">
        <v>73</v>
      </c>
      <c r="B319" t="s">
        <v>11</v>
      </c>
      <c r="C319" t="s">
        <v>16</v>
      </c>
      <c r="D319" s="3">
        <v>44256</v>
      </c>
      <c r="E319">
        <v>25156</v>
      </c>
      <c r="F319">
        <v>2021</v>
      </c>
      <c r="G319">
        <v>3</v>
      </c>
      <c r="H319" s="4">
        <f>SUMIFS(VolumesTable[Volume],VolumesTable[Products],$C319,VolumesTable[Period],EDATE($D319,-12))</f>
        <v>24200</v>
      </c>
    </row>
    <row r="320" spans="1:8" x14ac:dyDescent="0.3">
      <c r="A320" t="s">
        <v>73</v>
      </c>
      <c r="B320" t="s">
        <v>11</v>
      </c>
      <c r="C320" t="s">
        <v>16</v>
      </c>
      <c r="D320" s="3">
        <v>44287</v>
      </c>
      <c r="E320">
        <v>24054</v>
      </c>
      <c r="F320">
        <v>2021</v>
      </c>
      <c r="G320">
        <v>4</v>
      </c>
      <c r="H320" s="4">
        <f>SUMIFS(VolumesTable[Volume],VolumesTable[Products],$C320,VolumesTable[Period],EDATE($D320,-12))</f>
        <v>24200</v>
      </c>
    </row>
    <row r="321" spans="1:8" x14ac:dyDescent="0.3">
      <c r="A321" t="s">
        <v>73</v>
      </c>
      <c r="B321" t="s">
        <v>11</v>
      </c>
      <c r="C321" t="s">
        <v>16</v>
      </c>
      <c r="D321" s="3">
        <v>44317</v>
      </c>
      <c r="E321">
        <v>22953</v>
      </c>
      <c r="F321">
        <v>2021</v>
      </c>
      <c r="G321">
        <v>5</v>
      </c>
      <c r="H321" s="4">
        <f>SUMIFS(VolumesTable[Volume],VolumesTable[Products],$C321,VolumesTable[Period],EDATE($D321,-12))</f>
        <v>23100</v>
      </c>
    </row>
    <row r="322" spans="1:8" x14ac:dyDescent="0.3">
      <c r="A322" t="s">
        <v>73</v>
      </c>
      <c r="B322" t="s">
        <v>11</v>
      </c>
      <c r="C322" t="s">
        <v>16</v>
      </c>
      <c r="D322" s="3">
        <v>44348</v>
      </c>
      <c r="E322">
        <v>24039</v>
      </c>
      <c r="F322">
        <v>2021</v>
      </c>
      <c r="G322">
        <v>6</v>
      </c>
      <c r="H322" s="4">
        <f>SUMIFS(VolumesTable[Volume],VolumesTable[Products],$C322,VolumesTable[Period],EDATE($D322,-12))</f>
        <v>24200</v>
      </c>
    </row>
    <row r="323" spans="1:8" x14ac:dyDescent="0.3">
      <c r="A323" t="s">
        <v>73</v>
      </c>
      <c r="B323" t="s">
        <v>11</v>
      </c>
      <c r="C323" t="s">
        <v>16</v>
      </c>
      <c r="D323" s="3">
        <v>44378</v>
      </c>
      <c r="E323">
        <v>24032</v>
      </c>
      <c r="F323">
        <v>2021</v>
      </c>
      <c r="G323">
        <v>7</v>
      </c>
      <c r="H323" s="4">
        <f>SUMIFS(VolumesTable[Volume],VolumesTable[Products],$C323,VolumesTable[Period],EDATE($D323,-12))</f>
        <v>25300</v>
      </c>
    </row>
    <row r="324" spans="1:8" x14ac:dyDescent="0.3">
      <c r="A324" t="s">
        <v>73</v>
      </c>
      <c r="B324" t="s">
        <v>11</v>
      </c>
      <c r="C324" t="s">
        <v>16</v>
      </c>
      <c r="D324" s="3">
        <v>44409</v>
      </c>
      <c r="E324">
        <v>24026</v>
      </c>
      <c r="F324">
        <v>2021</v>
      </c>
      <c r="G324">
        <v>8</v>
      </c>
      <c r="H324" s="4">
        <f>SUMIFS(VolumesTable[Volume],VolumesTable[Products],$C324,VolumesTable[Period],EDATE($D324,-12))</f>
        <v>23100</v>
      </c>
    </row>
    <row r="325" spans="1:8" x14ac:dyDescent="0.3">
      <c r="A325" t="s">
        <v>73</v>
      </c>
      <c r="B325" t="s">
        <v>11</v>
      </c>
      <c r="C325" t="s">
        <v>16</v>
      </c>
      <c r="D325" s="3">
        <v>44440</v>
      </c>
      <c r="E325">
        <v>24020</v>
      </c>
      <c r="F325">
        <v>2021</v>
      </c>
      <c r="G325">
        <v>9</v>
      </c>
      <c r="H325" s="4">
        <f>SUMIFS(VolumesTable[Volume],VolumesTable[Products],$C325,VolumesTable[Period],EDATE($D325,-12))</f>
        <v>24200</v>
      </c>
    </row>
    <row r="326" spans="1:8" x14ac:dyDescent="0.3">
      <c r="A326" t="s">
        <v>73</v>
      </c>
      <c r="B326" t="s">
        <v>11</v>
      </c>
      <c r="C326" t="s">
        <v>16</v>
      </c>
      <c r="D326" s="3">
        <v>44470</v>
      </c>
      <c r="E326">
        <v>22923</v>
      </c>
      <c r="F326">
        <v>2021</v>
      </c>
      <c r="G326">
        <v>10</v>
      </c>
      <c r="H326" s="4">
        <f>SUMIFS(VolumesTable[Volume],VolumesTable[Products],$C326,VolumesTable[Period],EDATE($D326,-12))</f>
        <v>24200</v>
      </c>
    </row>
    <row r="327" spans="1:8" x14ac:dyDescent="0.3">
      <c r="A327" t="s">
        <v>73</v>
      </c>
      <c r="B327" t="s">
        <v>11</v>
      </c>
      <c r="C327" t="s">
        <v>16</v>
      </c>
      <c r="D327" s="3">
        <v>44501</v>
      </c>
      <c r="E327">
        <v>24009</v>
      </c>
      <c r="F327">
        <v>2021</v>
      </c>
      <c r="G327">
        <v>11</v>
      </c>
      <c r="H327" s="4">
        <f>SUMIFS(VolumesTable[Volume],VolumesTable[Products],$C327,VolumesTable[Period],EDATE($D327,-12))</f>
        <v>23100</v>
      </c>
    </row>
    <row r="328" spans="1:8" x14ac:dyDescent="0.3">
      <c r="A328" t="s">
        <v>73</v>
      </c>
      <c r="B328" t="s">
        <v>11</v>
      </c>
      <c r="C328" t="s">
        <v>16</v>
      </c>
      <c r="D328" s="3">
        <v>44531</v>
      </c>
      <c r="E328">
        <v>25095</v>
      </c>
      <c r="F328">
        <v>2021</v>
      </c>
      <c r="G328">
        <v>12</v>
      </c>
      <c r="H328" s="4">
        <f>SUMIFS(VolumesTable[Volume],VolumesTable[Products],$C328,VolumesTable[Period],EDATE($D328,-12))</f>
        <v>25300</v>
      </c>
    </row>
    <row r="329" spans="1:8" x14ac:dyDescent="0.3">
      <c r="A329" t="s">
        <v>73</v>
      </c>
      <c r="B329" t="s">
        <v>11</v>
      </c>
      <c r="C329" t="s">
        <v>15</v>
      </c>
      <c r="D329" s="3">
        <v>44197</v>
      </c>
      <c r="E329">
        <v>34440</v>
      </c>
      <c r="F329">
        <v>2021</v>
      </c>
      <c r="G329">
        <v>1</v>
      </c>
      <c r="H329" s="4">
        <f>SUMIFS(VolumesTable[Volume],VolumesTable[Products],$C329,VolumesTable[Period],EDATE($D329,-12))</f>
        <v>36800</v>
      </c>
    </row>
    <row r="330" spans="1:8" x14ac:dyDescent="0.3">
      <c r="A330" t="s">
        <v>73</v>
      </c>
      <c r="B330" t="s">
        <v>11</v>
      </c>
      <c r="C330" t="s">
        <v>15</v>
      </c>
      <c r="D330" s="3">
        <v>44228</v>
      </c>
      <c r="E330">
        <v>32861</v>
      </c>
      <c r="F330">
        <v>2021</v>
      </c>
      <c r="G330">
        <v>2</v>
      </c>
      <c r="H330" s="4">
        <f>SUMIFS(VolumesTable[Volume],VolumesTable[Products],$C330,VolumesTable[Period],EDATE($D330,-12))</f>
        <v>32000</v>
      </c>
    </row>
    <row r="331" spans="1:8" x14ac:dyDescent="0.3">
      <c r="A331" t="s">
        <v>73</v>
      </c>
      <c r="B331" t="s">
        <v>11</v>
      </c>
      <c r="C331" t="s">
        <v>15</v>
      </c>
      <c r="D331" s="3">
        <v>44256</v>
      </c>
      <c r="E331">
        <v>37852</v>
      </c>
      <c r="F331">
        <v>2021</v>
      </c>
      <c r="G331">
        <v>3</v>
      </c>
      <c r="H331" s="4">
        <f>SUMIFS(VolumesTable[Volume],VolumesTable[Products],$C331,VolumesTable[Period],EDATE($D331,-12))</f>
        <v>35200</v>
      </c>
    </row>
    <row r="332" spans="1:8" x14ac:dyDescent="0.3">
      <c r="A332" t="s">
        <v>73</v>
      </c>
      <c r="B332" t="s">
        <v>11</v>
      </c>
      <c r="C332" t="s">
        <v>15</v>
      </c>
      <c r="D332" s="3">
        <v>44287</v>
      </c>
      <c r="E332">
        <v>36270</v>
      </c>
      <c r="F332">
        <v>2021</v>
      </c>
      <c r="G332">
        <v>4</v>
      </c>
      <c r="H332" s="4">
        <f>SUMIFS(VolumesTable[Volume],VolumesTable[Products],$C332,VolumesTable[Period],EDATE($D332,-12))</f>
        <v>35200</v>
      </c>
    </row>
    <row r="333" spans="1:8" x14ac:dyDescent="0.3">
      <c r="A333" t="s">
        <v>73</v>
      </c>
      <c r="B333" t="s">
        <v>11</v>
      </c>
      <c r="C333" t="s">
        <v>15</v>
      </c>
      <c r="D333" s="3">
        <v>44317</v>
      </c>
      <c r="E333">
        <v>34676</v>
      </c>
      <c r="F333">
        <v>2021</v>
      </c>
      <c r="G333">
        <v>5</v>
      </c>
      <c r="H333" s="4">
        <f>SUMIFS(VolumesTable[Volume],VolumesTable[Products],$C333,VolumesTable[Period],EDATE($D333,-12))</f>
        <v>33600</v>
      </c>
    </row>
    <row r="334" spans="1:8" x14ac:dyDescent="0.3">
      <c r="A334" t="s">
        <v>73</v>
      </c>
      <c r="B334" t="s">
        <v>11</v>
      </c>
      <c r="C334" t="s">
        <v>15</v>
      </c>
      <c r="D334" s="3">
        <v>44348</v>
      </c>
      <c r="E334">
        <v>36379</v>
      </c>
      <c r="F334">
        <v>2021</v>
      </c>
      <c r="G334">
        <v>6</v>
      </c>
      <c r="H334" s="4">
        <f>SUMIFS(VolumesTable[Volume],VolumesTable[Products],$C334,VolumesTable[Period],EDATE($D334,-12))</f>
        <v>35200</v>
      </c>
    </row>
    <row r="335" spans="1:8" x14ac:dyDescent="0.3">
      <c r="A335" t="s">
        <v>73</v>
      </c>
      <c r="B335" t="s">
        <v>11</v>
      </c>
      <c r="C335" t="s">
        <v>15</v>
      </c>
      <c r="D335" s="3">
        <v>44378</v>
      </c>
      <c r="E335">
        <v>36431</v>
      </c>
      <c r="F335">
        <v>2021</v>
      </c>
      <c r="G335">
        <v>7</v>
      </c>
      <c r="H335" s="4">
        <f>SUMIFS(VolumesTable[Volume],VolumesTable[Products],$C335,VolumesTable[Period],EDATE($D335,-12))</f>
        <v>36800</v>
      </c>
    </row>
    <row r="336" spans="1:8" x14ac:dyDescent="0.3">
      <c r="A336" t="s">
        <v>73</v>
      </c>
      <c r="B336" t="s">
        <v>11</v>
      </c>
      <c r="C336" t="s">
        <v>15</v>
      </c>
      <c r="D336" s="3">
        <v>44409</v>
      </c>
      <c r="E336">
        <v>36479</v>
      </c>
      <c r="F336">
        <v>2021</v>
      </c>
      <c r="G336">
        <v>8</v>
      </c>
      <c r="H336" s="4">
        <f>SUMIFS(VolumesTable[Volume],VolumesTable[Products],$C336,VolumesTable[Period],EDATE($D336,-12))</f>
        <v>33600</v>
      </c>
    </row>
    <row r="337" spans="1:8" x14ac:dyDescent="0.3">
      <c r="A337" t="s">
        <v>73</v>
      </c>
      <c r="B337" t="s">
        <v>11</v>
      </c>
      <c r="C337" t="s">
        <v>15</v>
      </c>
      <c r="D337" s="3">
        <v>44440</v>
      </c>
      <c r="E337">
        <v>36525</v>
      </c>
      <c r="F337">
        <v>2021</v>
      </c>
      <c r="G337">
        <v>9</v>
      </c>
      <c r="H337" s="4">
        <f>SUMIFS(VolumesTable[Volume],VolumesTable[Products],$C337,VolumesTable[Period],EDATE($D337,-12))</f>
        <v>35200</v>
      </c>
    </row>
    <row r="338" spans="1:8" x14ac:dyDescent="0.3">
      <c r="A338" t="s">
        <v>73</v>
      </c>
      <c r="B338" t="s">
        <v>11</v>
      </c>
      <c r="C338" t="s">
        <v>15</v>
      </c>
      <c r="D338" s="3">
        <v>44470</v>
      </c>
      <c r="E338">
        <v>34907</v>
      </c>
      <c r="F338">
        <v>2021</v>
      </c>
      <c r="G338">
        <v>10</v>
      </c>
      <c r="H338" s="4">
        <f>SUMIFS(VolumesTable[Volume],VolumesTable[Products],$C338,VolumesTable[Period],EDATE($D338,-12))</f>
        <v>35200</v>
      </c>
    </row>
    <row r="339" spans="1:8" x14ac:dyDescent="0.3">
      <c r="A339" t="s">
        <v>73</v>
      </c>
      <c r="B339" t="s">
        <v>11</v>
      </c>
      <c r="C339" t="s">
        <v>15</v>
      </c>
      <c r="D339" s="3">
        <v>44501</v>
      </c>
      <c r="E339">
        <v>36609</v>
      </c>
      <c r="F339">
        <v>2021</v>
      </c>
      <c r="G339">
        <v>11</v>
      </c>
      <c r="H339" s="4">
        <f>SUMIFS(VolumesTable[Volume],VolumesTable[Products],$C339,VolumesTable[Period],EDATE($D339,-12))</f>
        <v>33600</v>
      </c>
    </row>
    <row r="340" spans="1:8" x14ac:dyDescent="0.3">
      <c r="A340" t="s">
        <v>73</v>
      </c>
      <c r="B340" t="s">
        <v>11</v>
      </c>
      <c r="C340" t="s">
        <v>15</v>
      </c>
      <c r="D340" s="3">
        <v>44531</v>
      </c>
      <c r="E340">
        <v>38315</v>
      </c>
      <c r="F340">
        <v>2021</v>
      </c>
      <c r="G340">
        <v>12</v>
      </c>
      <c r="H340" s="4">
        <f>SUMIFS(VolumesTable[Volume],VolumesTable[Products],$C340,VolumesTable[Period],EDATE($D340,-12))</f>
        <v>36800</v>
      </c>
    </row>
    <row r="341" spans="1:8" x14ac:dyDescent="0.3">
      <c r="A341" t="s">
        <v>73</v>
      </c>
      <c r="B341" t="s">
        <v>11</v>
      </c>
      <c r="C341" t="s">
        <v>13</v>
      </c>
      <c r="D341" s="3">
        <v>44197</v>
      </c>
      <c r="E341">
        <v>19171</v>
      </c>
      <c r="F341">
        <v>2021</v>
      </c>
      <c r="G341">
        <v>1</v>
      </c>
      <c r="H341" s="4">
        <f>SUMIFS(VolumesTable[Volume],VolumesTable[Products],$C341,VolumesTable[Period],EDATE($D341,-12))</f>
        <v>20585</v>
      </c>
    </row>
    <row r="342" spans="1:8" x14ac:dyDescent="0.3">
      <c r="A342" t="s">
        <v>73</v>
      </c>
      <c r="B342" t="s">
        <v>11</v>
      </c>
      <c r="C342" t="s">
        <v>13</v>
      </c>
      <c r="D342" s="3">
        <v>44228</v>
      </c>
      <c r="E342">
        <v>18285</v>
      </c>
      <c r="F342">
        <v>2021</v>
      </c>
      <c r="G342">
        <v>2</v>
      </c>
      <c r="H342" s="4">
        <f>SUMIFS(VolumesTable[Volume],VolumesTable[Products],$C342,VolumesTable[Period],EDATE($D342,-12))</f>
        <v>17900</v>
      </c>
    </row>
    <row r="343" spans="1:8" x14ac:dyDescent="0.3">
      <c r="A343" t="s">
        <v>73</v>
      </c>
      <c r="B343" t="s">
        <v>11</v>
      </c>
      <c r="C343" t="s">
        <v>13</v>
      </c>
      <c r="D343" s="3">
        <v>44256</v>
      </c>
      <c r="E343">
        <v>21056</v>
      </c>
      <c r="F343">
        <v>2021</v>
      </c>
      <c r="G343">
        <v>3</v>
      </c>
      <c r="H343" s="4">
        <f>SUMIFS(VolumesTable[Volume],VolumesTable[Products],$C343,VolumesTable[Period],EDATE($D343,-12))</f>
        <v>19690</v>
      </c>
    </row>
    <row r="344" spans="1:8" x14ac:dyDescent="0.3">
      <c r="A344" t="s">
        <v>73</v>
      </c>
      <c r="B344" t="s">
        <v>11</v>
      </c>
      <c r="C344" t="s">
        <v>13</v>
      </c>
      <c r="D344" s="3">
        <v>44287</v>
      </c>
      <c r="E344">
        <v>20169</v>
      </c>
      <c r="F344">
        <v>2021</v>
      </c>
      <c r="G344">
        <v>4</v>
      </c>
      <c r="H344" s="4">
        <f>SUMIFS(VolumesTable[Volume],VolumesTable[Products],$C344,VolumesTable[Period],EDATE($D344,-12))</f>
        <v>19690</v>
      </c>
    </row>
    <row r="345" spans="1:8" x14ac:dyDescent="0.3">
      <c r="A345" t="s">
        <v>73</v>
      </c>
      <c r="B345" t="s">
        <v>11</v>
      </c>
      <c r="C345" t="s">
        <v>13</v>
      </c>
      <c r="D345" s="3">
        <v>44317</v>
      </c>
      <c r="E345">
        <v>19276</v>
      </c>
      <c r="F345">
        <v>2021</v>
      </c>
      <c r="G345">
        <v>5</v>
      </c>
      <c r="H345" s="4">
        <f>SUMIFS(VolumesTable[Volume],VolumesTable[Products],$C345,VolumesTable[Period],EDATE($D345,-12))</f>
        <v>18795</v>
      </c>
    </row>
    <row r="346" spans="1:8" x14ac:dyDescent="0.3">
      <c r="A346" t="s">
        <v>73</v>
      </c>
      <c r="B346" t="s">
        <v>11</v>
      </c>
      <c r="C346" t="s">
        <v>13</v>
      </c>
      <c r="D346" s="3">
        <v>44348</v>
      </c>
      <c r="E346">
        <v>20217</v>
      </c>
      <c r="F346">
        <v>2021</v>
      </c>
      <c r="G346">
        <v>6</v>
      </c>
      <c r="H346" s="4">
        <f>SUMIFS(VolumesTable[Volume],VolumesTable[Products],$C346,VolumesTable[Period],EDATE($D346,-12))</f>
        <v>19690</v>
      </c>
    </row>
    <row r="347" spans="1:8" x14ac:dyDescent="0.3">
      <c r="A347" t="s">
        <v>73</v>
      </c>
      <c r="B347" t="s">
        <v>11</v>
      </c>
      <c r="C347" t="s">
        <v>13</v>
      </c>
      <c r="D347" s="3">
        <v>44378</v>
      </c>
      <c r="E347">
        <v>20240</v>
      </c>
      <c r="F347">
        <v>2021</v>
      </c>
      <c r="G347">
        <v>7</v>
      </c>
      <c r="H347" s="4">
        <f>SUMIFS(VolumesTable[Volume],VolumesTable[Products],$C347,VolumesTable[Period],EDATE($D347,-12))</f>
        <v>20585</v>
      </c>
    </row>
    <row r="348" spans="1:8" x14ac:dyDescent="0.3">
      <c r="A348" t="s">
        <v>73</v>
      </c>
      <c r="B348" t="s">
        <v>11</v>
      </c>
      <c r="C348" t="s">
        <v>13</v>
      </c>
      <c r="D348" s="3">
        <v>44409</v>
      </c>
      <c r="E348">
        <v>20261</v>
      </c>
      <c r="F348">
        <v>2021</v>
      </c>
      <c r="G348">
        <v>8</v>
      </c>
      <c r="H348" s="4">
        <f>SUMIFS(VolumesTable[Volume],VolumesTable[Products],$C348,VolumesTable[Period],EDATE($D348,-12))</f>
        <v>18795</v>
      </c>
    </row>
    <row r="349" spans="1:8" x14ac:dyDescent="0.3">
      <c r="A349" t="s">
        <v>73</v>
      </c>
      <c r="B349" t="s">
        <v>11</v>
      </c>
      <c r="C349" t="s">
        <v>13</v>
      </c>
      <c r="D349" s="3">
        <v>44440</v>
      </c>
      <c r="E349">
        <v>20282</v>
      </c>
      <c r="F349">
        <v>2021</v>
      </c>
      <c r="G349">
        <v>9</v>
      </c>
      <c r="H349" s="4">
        <f>SUMIFS(VolumesTable[Volume],VolumesTable[Products],$C349,VolumesTable[Period],EDATE($D349,-12))</f>
        <v>19690</v>
      </c>
    </row>
    <row r="350" spans="1:8" x14ac:dyDescent="0.3">
      <c r="A350" t="s">
        <v>73</v>
      </c>
      <c r="B350" t="s">
        <v>11</v>
      </c>
      <c r="C350" t="s">
        <v>13</v>
      </c>
      <c r="D350" s="3">
        <v>44470</v>
      </c>
      <c r="E350">
        <v>19379</v>
      </c>
      <c r="F350">
        <v>2021</v>
      </c>
      <c r="G350">
        <v>10</v>
      </c>
      <c r="H350" s="4">
        <f>SUMIFS(VolumesTable[Volume],VolumesTable[Products],$C350,VolumesTable[Period],EDATE($D350,-12))</f>
        <v>19690</v>
      </c>
    </row>
    <row r="351" spans="1:8" x14ac:dyDescent="0.3">
      <c r="A351" t="s">
        <v>73</v>
      </c>
      <c r="B351" t="s">
        <v>11</v>
      </c>
      <c r="C351" t="s">
        <v>13</v>
      </c>
      <c r="D351" s="3">
        <v>44501</v>
      </c>
      <c r="E351">
        <v>20319</v>
      </c>
      <c r="F351">
        <v>2021</v>
      </c>
      <c r="G351">
        <v>11</v>
      </c>
      <c r="H351" s="4">
        <f>SUMIFS(VolumesTable[Volume],VolumesTable[Products],$C351,VolumesTable[Period],EDATE($D351,-12))</f>
        <v>18795</v>
      </c>
    </row>
    <row r="352" spans="1:8" x14ac:dyDescent="0.3">
      <c r="A352" t="s">
        <v>73</v>
      </c>
      <c r="B352" t="s">
        <v>11</v>
      </c>
      <c r="C352" t="s">
        <v>13</v>
      </c>
      <c r="D352" s="3">
        <v>44531</v>
      </c>
      <c r="E352">
        <v>21262</v>
      </c>
      <c r="F352">
        <v>2021</v>
      </c>
      <c r="G352">
        <v>12</v>
      </c>
      <c r="H352" s="4">
        <f>SUMIFS(VolumesTable[Volume],VolumesTable[Products],$C352,VolumesTable[Period],EDATE($D352,-12))</f>
        <v>20585</v>
      </c>
    </row>
    <row r="353" spans="1:8" x14ac:dyDescent="0.3">
      <c r="A353" t="s">
        <v>73</v>
      </c>
      <c r="B353" t="s">
        <v>11</v>
      </c>
      <c r="C353" t="s">
        <v>14</v>
      </c>
      <c r="D353" s="3">
        <v>44197</v>
      </c>
      <c r="E353">
        <v>15985</v>
      </c>
      <c r="F353">
        <v>2021</v>
      </c>
      <c r="G353">
        <v>1</v>
      </c>
      <c r="H353" s="4">
        <f>SUMIFS(VolumesTable[Volume],VolumesTable[Products],$C353,VolumesTable[Period],EDATE($D353,-12))</f>
        <v>17595</v>
      </c>
    </row>
    <row r="354" spans="1:8" x14ac:dyDescent="0.3">
      <c r="A354" t="s">
        <v>73</v>
      </c>
      <c r="B354" t="s">
        <v>11</v>
      </c>
      <c r="C354" t="s">
        <v>14</v>
      </c>
      <c r="D354" s="3">
        <v>44228</v>
      </c>
      <c r="E354">
        <v>15218</v>
      </c>
      <c r="F354">
        <v>2021</v>
      </c>
      <c r="G354">
        <v>2</v>
      </c>
      <c r="H354" s="4">
        <f>SUMIFS(VolumesTable[Volume],VolumesTable[Products],$C354,VolumesTable[Period],EDATE($D354,-12))</f>
        <v>15300</v>
      </c>
    </row>
    <row r="355" spans="1:8" x14ac:dyDescent="0.3">
      <c r="A355" t="s">
        <v>73</v>
      </c>
      <c r="B355" t="s">
        <v>11</v>
      </c>
      <c r="C355" t="s">
        <v>14</v>
      </c>
      <c r="D355" s="3">
        <v>44256</v>
      </c>
      <c r="E355">
        <v>17495</v>
      </c>
      <c r="F355">
        <v>2021</v>
      </c>
      <c r="G355">
        <v>3</v>
      </c>
      <c r="H355" s="4">
        <f>SUMIFS(VolumesTable[Volume],VolumesTable[Products],$C355,VolumesTable[Period],EDATE($D355,-12))</f>
        <v>16830</v>
      </c>
    </row>
    <row r="356" spans="1:8" x14ac:dyDescent="0.3">
      <c r="A356" t="s">
        <v>73</v>
      </c>
      <c r="B356" t="s">
        <v>11</v>
      </c>
      <c r="C356" t="s">
        <v>14</v>
      </c>
      <c r="D356" s="3">
        <v>44287</v>
      </c>
      <c r="E356">
        <v>16728</v>
      </c>
      <c r="F356">
        <v>2021</v>
      </c>
      <c r="G356">
        <v>4</v>
      </c>
      <c r="H356" s="4">
        <f>SUMIFS(VolumesTable[Volume],VolumesTable[Products],$C356,VolumesTable[Period],EDATE($D356,-12))</f>
        <v>16830</v>
      </c>
    </row>
    <row r="357" spans="1:8" x14ac:dyDescent="0.3">
      <c r="A357" t="s">
        <v>73</v>
      </c>
      <c r="B357" t="s">
        <v>11</v>
      </c>
      <c r="C357" t="s">
        <v>14</v>
      </c>
      <c r="D357" s="3">
        <v>44317</v>
      </c>
      <c r="E357">
        <v>15963</v>
      </c>
      <c r="F357">
        <v>2021</v>
      </c>
      <c r="G357">
        <v>5</v>
      </c>
      <c r="H357" s="4">
        <f>SUMIFS(VolumesTable[Volume],VolumesTable[Products],$C357,VolumesTable[Period],EDATE($D357,-12))</f>
        <v>16065</v>
      </c>
    </row>
    <row r="358" spans="1:8" x14ac:dyDescent="0.3">
      <c r="A358" t="s">
        <v>73</v>
      </c>
      <c r="B358" t="s">
        <v>11</v>
      </c>
      <c r="C358" t="s">
        <v>14</v>
      </c>
      <c r="D358" s="3">
        <v>44348</v>
      </c>
      <c r="E358">
        <v>16718</v>
      </c>
      <c r="F358">
        <v>2021</v>
      </c>
      <c r="G358">
        <v>6</v>
      </c>
      <c r="H358" s="4">
        <f>SUMIFS(VolumesTable[Volume],VolumesTable[Products],$C358,VolumesTable[Period],EDATE($D358,-12))</f>
        <v>16830</v>
      </c>
    </row>
    <row r="359" spans="1:8" x14ac:dyDescent="0.3">
      <c r="A359" t="s">
        <v>73</v>
      </c>
      <c r="B359" t="s">
        <v>11</v>
      </c>
      <c r="C359" t="s">
        <v>14</v>
      </c>
      <c r="D359" s="3">
        <v>44378</v>
      </c>
      <c r="E359">
        <v>16713</v>
      </c>
      <c r="F359">
        <v>2021</v>
      </c>
      <c r="G359">
        <v>7</v>
      </c>
      <c r="H359" s="4">
        <f>SUMIFS(VolumesTable[Volume],VolumesTable[Products],$C359,VolumesTable[Period],EDATE($D359,-12))</f>
        <v>17595</v>
      </c>
    </row>
    <row r="360" spans="1:8" x14ac:dyDescent="0.3">
      <c r="A360" t="s">
        <v>73</v>
      </c>
      <c r="B360" t="s">
        <v>11</v>
      </c>
      <c r="C360" t="s">
        <v>14</v>
      </c>
      <c r="D360" s="3">
        <v>44409</v>
      </c>
      <c r="E360">
        <v>16709</v>
      </c>
      <c r="F360">
        <v>2021</v>
      </c>
      <c r="G360">
        <v>8</v>
      </c>
      <c r="H360" s="4">
        <f>SUMIFS(VolumesTable[Volume],VolumesTable[Products],$C360,VolumesTable[Period],EDATE($D360,-12))</f>
        <v>16065</v>
      </c>
    </row>
    <row r="361" spans="1:8" x14ac:dyDescent="0.3">
      <c r="A361" t="s">
        <v>73</v>
      </c>
      <c r="B361" t="s">
        <v>11</v>
      </c>
      <c r="C361" t="s">
        <v>14</v>
      </c>
      <c r="D361" s="3">
        <v>44440</v>
      </c>
      <c r="E361">
        <v>16705</v>
      </c>
      <c r="F361">
        <v>2021</v>
      </c>
      <c r="G361">
        <v>9</v>
      </c>
      <c r="H361" s="4">
        <f>SUMIFS(VolumesTable[Volume],VolumesTable[Products],$C361,VolumesTable[Period],EDATE($D361,-12))</f>
        <v>16830</v>
      </c>
    </row>
    <row r="362" spans="1:8" x14ac:dyDescent="0.3">
      <c r="A362" t="s">
        <v>73</v>
      </c>
      <c r="B362" t="s">
        <v>11</v>
      </c>
      <c r="C362" t="s">
        <v>14</v>
      </c>
      <c r="D362" s="3">
        <v>44470</v>
      </c>
      <c r="E362">
        <v>15942</v>
      </c>
      <c r="F362">
        <v>2021</v>
      </c>
      <c r="G362">
        <v>10</v>
      </c>
      <c r="H362" s="4">
        <f>SUMIFS(VolumesTable[Volume],VolumesTable[Products],$C362,VolumesTable[Period],EDATE($D362,-12))</f>
        <v>16830</v>
      </c>
    </row>
    <row r="363" spans="1:8" x14ac:dyDescent="0.3">
      <c r="A363" t="s">
        <v>73</v>
      </c>
      <c r="B363" t="s">
        <v>11</v>
      </c>
      <c r="C363" t="s">
        <v>14</v>
      </c>
      <c r="D363" s="3">
        <v>44501</v>
      </c>
      <c r="E363">
        <v>16697</v>
      </c>
      <c r="F363">
        <v>2021</v>
      </c>
      <c r="G363">
        <v>11</v>
      </c>
      <c r="H363" s="4">
        <f>SUMIFS(VolumesTable[Volume],VolumesTable[Products],$C363,VolumesTable[Period],EDATE($D363,-12))</f>
        <v>16065</v>
      </c>
    </row>
    <row r="364" spans="1:8" x14ac:dyDescent="0.3">
      <c r="A364" t="s">
        <v>73</v>
      </c>
      <c r="B364" t="s">
        <v>11</v>
      </c>
      <c r="C364" t="s">
        <v>14</v>
      </c>
      <c r="D364" s="3">
        <v>44531</v>
      </c>
      <c r="E364">
        <v>17452</v>
      </c>
      <c r="F364">
        <v>2021</v>
      </c>
      <c r="G364">
        <v>12</v>
      </c>
      <c r="H364" s="4">
        <f>SUMIFS(VolumesTable[Volume],VolumesTable[Products],$C364,VolumesTable[Period],EDATE($D364,-12))</f>
        <v>17595</v>
      </c>
    </row>
    <row r="365" spans="1:8" x14ac:dyDescent="0.3">
      <c r="A365" t="s">
        <v>21</v>
      </c>
      <c r="B365" t="s">
        <v>12</v>
      </c>
      <c r="C365" t="s">
        <v>17</v>
      </c>
      <c r="D365" s="3">
        <v>44197</v>
      </c>
      <c r="E365">
        <v>19407</v>
      </c>
      <c r="F365">
        <v>2021</v>
      </c>
      <c r="G365">
        <v>1</v>
      </c>
      <c r="H365" s="4">
        <f>SUMIFS(VolumesTable[Volume],VolumesTable[Products],$C365,VolumesTable[Period],EDATE($D365,-12))</f>
        <v>21045</v>
      </c>
    </row>
    <row r="366" spans="1:8" x14ac:dyDescent="0.3">
      <c r="A366" t="s">
        <v>21</v>
      </c>
      <c r="B366" t="s">
        <v>12</v>
      </c>
      <c r="C366" t="s">
        <v>17</v>
      </c>
      <c r="D366" s="3">
        <v>44228</v>
      </c>
      <c r="E366">
        <v>18497</v>
      </c>
      <c r="F366">
        <v>2021</v>
      </c>
      <c r="G366">
        <v>2</v>
      </c>
      <c r="H366" s="4">
        <f>SUMIFS(VolumesTable[Volume],VolumesTable[Products],$C366,VolumesTable[Period],EDATE($D366,-12))</f>
        <v>18300</v>
      </c>
    </row>
    <row r="367" spans="1:8" x14ac:dyDescent="0.3">
      <c r="A367" t="s">
        <v>21</v>
      </c>
      <c r="B367" t="s">
        <v>12</v>
      </c>
      <c r="C367" t="s">
        <v>17</v>
      </c>
      <c r="D367" s="3">
        <v>44256</v>
      </c>
      <c r="E367">
        <v>21285</v>
      </c>
      <c r="F367">
        <v>2021</v>
      </c>
      <c r="G367">
        <v>3</v>
      </c>
      <c r="H367" s="4">
        <f>SUMIFS(VolumesTable[Volume],VolumesTable[Products],$C367,VolumesTable[Period],EDATE($D367,-12))</f>
        <v>20130</v>
      </c>
    </row>
    <row r="368" spans="1:8" x14ac:dyDescent="0.3">
      <c r="A368" t="s">
        <v>21</v>
      </c>
      <c r="B368" t="s">
        <v>12</v>
      </c>
      <c r="C368" t="s">
        <v>17</v>
      </c>
      <c r="D368" s="3">
        <v>44287</v>
      </c>
      <c r="E368">
        <v>20374</v>
      </c>
      <c r="F368">
        <v>2021</v>
      </c>
      <c r="G368">
        <v>4</v>
      </c>
      <c r="H368" s="4">
        <f>SUMIFS(VolumesTable[Volume],VolumesTable[Products],$C368,VolumesTable[Period],EDATE($D368,-12))</f>
        <v>20130</v>
      </c>
    </row>
    <row r="369" spans="1:8" x14ac:dyDescent="0.3">
      <c r="A369" t="s">
        <v>21</v>
      </c>
      <c r="B369" t="s">
        <v>12</v>
      </c>
      <c r="C369" t="s">
        <v>17</v>
      </c>
      <c r="D369" s="3">
        <v>44317</v>
      </c>
      <c r="E369">
        <v>19460</v>
      </c>
      <c r="F369">
        <v>2021</v>
      </c>
      <c r="G369">
        <v>5</v>
      </c>
      <c r="H369" s="4">
        <f>SUMIFS(VolumesTable[Volume],VolumesTable[Products],$C369,VolumesTable[Period],EDATE($D369,-12))</f>
        <v>19215</v>
      </c>
    </row>
    <row r="370" spans="1:8" x14ac:dyDescent="0.3">
      <c r="A370" t="s">
        <v>21</v>
      </c>
      <c r="B370" t="s">
        <v>12</v>
      </c>
      <c r="C370" t="s">
        <v>17</v>
      </c>
      <c r="D370" s="3">
        <v>44348</v>
      </c>
      <c r="E370">
        <v>20399</v>
      </c>
      <c r="F370">
        <v>2021</v>
      </c>
      <c r="G370">
        <v>6</v>
      </c>
      <c r="H370" s="4">
        <f>SUMIFS(VolumesTable[Volume],VolumesTable[Products],$C370,VolumesTable[Period],EDATE($D370,-12))</f>
        <v>20130</v>
      </c>
    </row>
    <row r="371" spans="1:8" x14ac:dyDescent="0.3">
      <c r="A371" t="s">
        <v>21</v>
      </c>
      <c r="B371" t="s">
        <v>12</v>
      </c>
      <c r="C371" t="s">
        <v>17</v>
      </c>
      <c r="D371" s="3">
        <v>44378</v>
      </c>
      <c r="E371">
        <v>20410</v>
      </c>
      <c r="F371">
        <v>2021</v>
      </c>
      <c r="G371">
        <v>7</v>
      </c>
      <c r="H371" s="4">
        <f>SUMIFS(VolumesTable[Volume],VolumesTable[Products],$C371,VolumesTable[Period],EDATE($D371,-12))</f>
        <v>21045</v>
      </c>
    </row>
    <row r="372" spans="1:8" x14ac:dyDescent="0.3">
      <c r="A372" t="s">
        <v>21</v>
      </c>
      <c r="B372" t="s">
        <v>12</v>
      </c>
      <c r="C372" t="s">
        <v>17</v>
      </c>
      <c r="D372" s="3">
        <v>44409</v>
      </c>
      <c r="E372">
        <v>20421</v>
      </c>
      <c r="F372">
        <v>2021</v>
      </c>
      <c r="G372">
        <v>8</v>
      </c>
      <c r="H372" s="4">
        <f>SUMIFS(VolumesTable[Volume],VolumesTable[Products],$C372,VolumesTable[Period],EDATE($D372,-12))</f>
        <v>19215</v>
      </c>
    </row>
    <row r="373" spans="1:8" x14ac:dyDescent="0.3">
      <c r="A373" t="s">
        <v>21</v>
      </c>
      <c r="B373" t="s">
        <v>12</v>
      </c>
      <c r="C373" t="s">
        <v>17</v>
      </c>
      <c r="D373" s="3">
        <v>44440</v>
      </c>
      <c r="E373">
        <v>20431</v>
      </c>
      <c r="F373">
        <v>2021</v>
      </c>
      <c r="G373">
        <v>9</v>
      </c>
      <c r="H373" s="4">
        <f>SUMIFS(VolumesTable[Volume],VolumesTable[Products],$C373,VolumesTable[Period],EDATE($D373,-12))</f>
        <v>20130</v>
      </c>
    </row>
    <row r="374" spans="1:8" x14ac:dyDescent="0.3">
      <c r="A374" t="s">
        <v>21</v>
      </c>
      <c r="B374" t="s">
        <v>12</v>
      </c>
      <c r="C374" t="s">
        <v>17</v>
      </c>
      <c r="D374" s="3">
        <v>44470</v>
      </c>
      <c r="E374">
        <v>19512</v>
      </c>
      <c r="F374">
        <v>2021</v>
      </c>
      <c r="G374">
        <v>10</v>
      </c>
      <c r="H374" s="4">
        <f>SUMIFS(VolumesTable[Volume],VolumesTable[Products],$C374,VolumesTable[Period],EDATE($D374,-12))</f>
        <v>20130</v>
      </c>
    </row>
    <row r="375" spans="1:8" x14ac:dyDescent="0.3">
      <c r="A375" t="s">
        <v>21</v>
      </c>
      <c r="B375" t="s">
        <v>12</v>
      </c>
      <c r="C375" t="s">
        <v>17</v>
      </c>
      <c r="D375" s="3">
        <v>44501</v>
      </c>
      <c r="E375">
        <v>20450</v>
      </c>
      <c r="F375">
        <v>2021</v>
      </c>
      <c r="G375">
        <v>11</v>
      </c>
      <c r="H375" s="4">
        <f>SUMIFS(VolumesTable[Volume],VolumesTable[Products],$C375,VolumesTable[Period],EDATE($D375,-12))</f>
        <v>19215</v>
      </c>
    </row>
    <row r="376" spans="1:8" x14ac:dyDescent="0.3">
      <c r="A376" t="s">
        <v>21</v>
      </c>
      <c r="B376" t="s">
        <v>12</v>
      </c>
      <c r="C376" t="s">
        <v>17</v>
      </c>
      <c r="D376" s="3">
        <v>44531</v>
      </c>
      <c r="E376">
        <v>21389</v>
      </c>
      <c r="F376">
        <v>2021</v>
      </c>
      <c r="G376">
        <v>12</v>
      </c>
      <c r="H376" s="4">
        <f>SUMIFS(VolumesTable[Volume],VolumesTable[Products],$C376,VolumesTable[Period],EDATE($D376,-12))</f>
        <v>21045</v>
      </c>
    </row>
    <row r="377" spans="1:8" x14ac:dyDescent="0.3">
      <c r="A377" t="s">
        <v>21</v>
      </c>
      <c r="B377" t="s">
        <v>12</v>
      </c>
      <c r="C377" t="s">
        <v>19</v>
      </c>
      <c r="D377" s="3">
        <v>44197</v>
      </c>
      <c r="E377">
        <v>17845</v>
      </c>
      <c r="F377">
        <v>2021</v>
      </c>
      <c r="G377">
        <v>1</v>
      </c>
      <c r="H377" s="4">
        <f>SUMIFS(VolumesTable[Volume],VolumesTable[Products],$C377,VolumesTable[Period],EDATE($D377,-12))</f>
        <v>18975</v>
      </c>
    </row>
    <row r="378" spans="1:8" x14ac:dyDescent="0.3">
      <c r="A378" t="s">
        <v>21</v>
      </c>
      <c r="B378" t="s">
        <v>12</v>
      </c>
      <c r="C378" t="s">
        <v>19</v>
      </c>
      <c r="D378" s="3">
        <v>44228</v>
      </c>
      <c r="E378">
        <v>17033</v>
      </c>
      <c r="F378">
        <v>2021</v>
      </c>
      <c r="G378">
        <v>2</v>
      </c>
      <c r="H378" s="4">
        <f>SUMIFS(VolumesTable[Volume],VolumesTable[Products],$C378,VolumesTable[Period],EDATE($D378,-12))</f>
        <v>16500</v>
      </c>
    </row>
    <row r="379" spans="1:8" x14ac:dyDescent="0.3">
      <c r="A379" t="s">
        <v>21</v>
      </c>
      <c r="B379" t="s">
        <v>12</v>
      </c>
      <c r="C379" t="s">
        <v>19</v>
      </c>
      <c r="D379" s="3">
        <v>44256</v>
      </c>
      <c r="E379">
        <v>19627</v>
      </c>
      <c r="F379">
        <v>2021</v>
      </c>
      <c r="G379">
        <v>3</v>
      </c>
      <c r="H379" s="4">
        <f>SUMIFS(VolumesTable[Volume],VolumesTable[Products],$C379,VolumesTable[Period],EDATE($D379,-12))</f>
        <v>18150</v>
      </c>
    </row>
    <row r="380" spans="1:8" x14ac:dyDescent="0.3">
      <c r="A380" t="s">
        <v>21</v>
      </c>
      <c r="B380" t="s">
        <v>12</v>
      </c>
      <c r="C380" t="s">
        <v>19</v>
      </c>
      <c r="D380" s="3">
        <v>44287</v>
      </c>
      <c r="E380">
        <v>18813</v>
      </c>
      <c r="F380">
        <v>2021</v>
      </c>
      <c r="G380">
        <v>4</v>
      </c>
      <c r="H380" s="4">
        <f>SUMIFS(VolumesTable[Volume],VolumesTable[Products],$C380,VolumesTable[Period],EDATE($D380,-12))</f>
        <v>18150</v>
      </c>
    </row>
    <row r="381" spans="1:8" x14ac:dyDescent="0.3">
      <c r="A381" t="s">
        <v>21</v>
      </c>
      <c r="B381" t="s">
        <v>12</v>
      </c>
      <c r="C381" t="s">
        <v>19</v>
      </c>
      <c r="D381" s="3">
        <v>44317</v>
      </c>
      <c r="E381">
        <v>17992</v>
      </c>
      <c r="F381">
        <v>2021</v>
      </c>
      <c r="G381">
        <v>5</v>
      </c>
      <c r="H381" s="4">
        <f>SUMIFS(VolumesTable[Volume],VolumesTable[Products],$C381,VolumesTable[Period],EDATE($D381,-12))</f>
        <v>17325</v>
      </c>
    </row>
    <row r="382" spans="1:8" x14ac:dyDescent="0.3">
      <c r="A382" t="s">
        <v>21</v>
      </c>
      <c r="B382" t="s">
        <v>12</v>
      </c>
      <c r="C382" t="s">
        <v>19</v>
      </c>
      <c r="D382" s="3">
        <v>44348</v>
      </c>
      <c r="E382">
        <v>18881</v>
      </c>
      <c r="F382">
        <v>2021</v>
      </c>
      <c r="G382">
        <v>6</v>
      </c>
      <c r="H382" s="4">
        <f>SUMIFS(VolumesTable[Volume],VolumesTable[Products],$C382,VolumesTable[Period],EDATE($D382,-12))</f>
        <v>18150</v>
      </c>
    </row>
    <row r="383" spans="1:8" x14ac:dyDescent="0.3">
      <c r="A383" t="s">
        <v>21</v>
      </c>
      <c r="B383" t="s">
        <v>12</v>
      </c>
      <c r="C383" t="s">
        <v>19</v>
      </c>
      <c r="D383" s="3">
        <v>44378</v>
      </c>
      <c r="E383">
        <v>18913</v>
      </c>
      <c r="F383">
        <v>2021</v>
      </c>
      <c r="G383">
        <v>7</v>
      </c>
      <c r="H383" s="4">
        <f>SUMIFS(VolumesTable[Volume],VolumesTable[Products],$C383,VolumesTable[Period],EDATE($D383,-12))</f>
        <v>18975</v>
      </c>
    </row>
    <row r="384" spans="1:8" x14ac:dyDescent="0.3">
      <c r="A384" t="s">
        <v>21</v>
      </c>
      <c r="B384" t="s">
        <v>12</v>
      </c>
      <c r="C384" t="s">
        <v>19</v>
      </c>
      <c r="D384" s="3">
        <v>44409</v>
      </c>
      <c r="E384">
        <v>18943</v>
      </c>
      <c r="F384">
        <v>2021</v>
      </c>
      <c r="G384">
        <v>8</v>
      </c>
      <c r="H384" s="4">
        <f>SUMIFS(VolumesTable[Volume],VolumesTable[Products],$C384,VolumesTable[Period],EDATE($D384,-12))</f>
        <v>17325</v>
      </c>
    </row>
    <row r="385" spans="1:8" x14ac:dyDescent="0.3">
      <c r="A385" t="s">
        <v>21</v>
      </c>
      <c r="B385" t="s">
        <v>12</v>
      </c>
      <c r="C385" t="s">
        <v>19</v>
      </c>
      <c r="D385" s="3">
        <v>44440</v>
      </c>
      <c r="E385">
        <v>18972</v>
      </c>
      <c r="F385">
        <v>2021</v>
      </c>
      <c r="G385">
        <v>9</v>
      </c>
      <c r="H385" s="4">
        <f>SUMIFS(VolumesTable[Volume],VolumesTable[Products],$C385,VolumesTable[Period],EDATE($D385,-12))</f>
        <v>18150</v>
      </c>
    </row>
    <row r="386" spans="1:8" x14ac:dyDescent="0.3">
      <c r="A386" t="s">
        <v>21</v>
      </c>
      <c r="B386" t="s">
        <v>12</v>
      </c>
      <c r="C386" t="s">
        <v>19</v>
      </c>
      <c r="D386" s="3">
        <v>44470</v>
      </c>
      <c r="E386">
        <v>18136</v>
      </c>
      <c r="F386">
        <v>2021</v>
      </c>
      <c r="G386">
        <v>10</v>
      </c>
      <c r="H386" s="4">
        <f>SUMIFS(VolumesTable[Volume],VolumesTable[Products],$C386,VolumesTable[Period],EDATE($D386,-12))</f>
        <v>18150</v>
      </c>
    </row>
    <row r="387" spans="1:8" x14ac:dyDescent="0.3">
      <c r="A387" t="s">
        <v>21</v>
      </c>
      <c r="B387" t="s">
        <v>12</v>
      </c>
      <c r="C387" t="s">
        <v>19</v>
      </c>
      <c r="D387" s="3">
        <v>44501</v>
      </c>
      <c r="E387">
        <v>19024</v>
      </c>
      <c r="F387">
        <v>2021</v>
      </c>
      <c r="G387">
        <v>11</v>
      </c>
      <c r="H387" s="4">
        <f>SUMIFS(VolumesTable[Volume],VolumesTable[Products],$C387,VolumesTable[Period],EDATE($D387,-12))</f>
        <v>17325</v>
      </c>
    </row>
    <row r="388" spans="1:8" x14ac:dyDescent="0.3">
      <c r="A388" t="s">
        <v>21</v>
      </c>
      <c r="B388" t="s">
        <v>12</v>
      </c>
      <c r="C388" t="s">
        <v>19</v>
      </c>
      <c r="D388" s="3">
        <v>44531</v>
      </c>
      <c r="E388">
        <v>19915</v>
      </c>
      <c r="F388">
        <v>2021</v>
      </c>
      <c r="G388">
        <v>12</v>
      </c>
      <c r="H388" s="4">
        <f>SUMIFS(VolumesTable[Volume],VolumesTable[Products],$C388,VolumesTable[Period],EDATE($D388,-12))</f>
        <v>18975</v>
      </c>
    </row>
    <row r="389" spans="1:8" x14ac:dyDescent="0.3">
      <c r="A389" t="s">
        <v>21</v>
      </c>
      <c r="B389" t="s">
        <v>12</v>
      </c>
      <c r="C389" t="s">
        <v>18</v>
      </c>
      <c r="D389" s="3">
        <v>44197</v>
      </c>
      <c r="E389">
        <v>14708</v>
      </c>
      <c r="F389">
        <v>2021</v>
      </c>
      <c r="G389">
        <v>1</v>
      </c>
      <c r="H389" s="4">
        <f>SUMIFS(VolumesTable[Volume],VolumesTable[Products],$C389,VolumesTable[Period],EDATE($D389,-12))</f>
        <v>15640</v>
      </c>
    </row>
    <row r="390" spans="1:8" x14ac:dyDescent="0.3">
      <c r="A390" t="s">
        <v>21</v>
      </c>
      <c r="B390" t="s">
        <v>12</v>
      </c>
      <c r="C390" t="s">
        <v>18</v>
      </c>
      <c r="D390" s="3">
        <v>44228</v>
      </c>
      <c r="E390">
        <v>14039</v>
      </c>
      <c r="F390">
        <v>2021</v>
      </c>
      <c r="G390">
        <v>2</v>
      </c>
      <c r="H390" s="4">
        <f>SUMIFS(VolumesTable[Volume],VolumesTable[Products],$C390,VolumesTable[Period],EDATE($D390,-12))</f>
        <v>13600</v>
      </c>
    </row>
    <row r="391" spans="1:8" x14ac:dyDescent="0.3">
      <c r="A391" t="s">
        <v>21</v>
      </c>
      <c r="B391" t="s">
        <v>12</v>
      </c>
      <c r="C391" t="s">
        <v>18</v>
      </c>
      <c r="D391" s="3">
        <v>44256</v>
      </c>
      <c r="E391">
        <v>16177</v>
      </c>
      <c r="F391">
        <v>2021</v>
      </c>
      <c r="G391">
        <v>3</v>
      </c>
      <c r="H391" s="4">
        <f>SUMIFS(VolumesTable[Volume],VolumesTable[Products],$C391,VolumesTable[Period],EDATE($D391,-12))</f>
        <v>14960</v>
      </c>
    </row>
    <row r="392" spans="1:8" x14ac:dyDescent="0.3">
      <c r="A392" t="s">
        <v>21</v>
      </c>
      <c r="B392" t="s">
        <v>12</v>
      </c>
      <c r="C392" t="s">
        <v>18</v>
      </c>
      <c r="D392" s="3">
        <v>44287</v>
      </c>
      <c r="E392">
        <v>15506</v>
      </c>
      <c r="F392">
        <v>2021</v>
      </c>
      <c r="G392">
        <v>4</v>
      </c>
      <c r="H392" s="4">
        <f>SUMIFS(VolumesTable[Volume],VolumesTable[Products],$C392,VolumesTable[Period],EDATE($D392,-12))</f>
        <v>14960</v>
      </c>
    </row>
    <row r="393" spans="1:8" x14ac:dyDescent="0.3">
      <c r="A393" t="s">
        <v>21</v>
      </c>
      <c r="B393" t="s">
        <v>12</v>
      </c>
      <c r="C393" t="s">
        <v>18</v>
      </c>
      <c r="D393" s="3">
        <v>44317</v>
      </c>
      <c r="E393">
        <v>14830</v>
      </c>
      <c r="F393">
        <v>2021</v>
      </c>
      <c r="G393">
        <v>5</v>
      </c>
      <c r="H393" s="4">
        <f>SUMIFS(VolumesTable[Volume],VolumesTable[Products],$C393,VolumesTable[Period],EDATE($D393,-12))</f>
        <v>14280</v>
      </c>
    </row>
    <row r="394" spans="1:8" x14ac:dyDescent="0.3">
      <c r="A394" t="s">
        <v>21</v>
      </c>
      <c r="B394" t="s">
        <v>12</v>
      </c>
      <c r="C394" t="s">
        <v>18</v>
      </c>
      <c r="D394" s="3">
        <v>44348</v>
      </c>
      <c r="E394">
        <v>15562</v>
      </c>
      <c r="F394">
        <v>2021</v>
      </c>
      <c r="G394">
        <v>6</v>
      </c>
      <c r="H394" s="4">
        <f>SUMIFS(VolumesTable[Volume],VolumesTable[Products],$C394,VolumesTable[Period],EDATE($D394,-12))</f>
        <v>14960</v>
      </c>
    </row>
    <row r="395" spans="1:8" x14ac:dyDescent="0.3">
      <c r="A395" t="s">
        <v>21</v>
      </c>
      <c r="B395" t="s">
        <v>12</v>
      </c>
      <c r="C395" t="s">
        <v>18</v>
      </c>
      <c r="D395" s="3">
        <v>44378</v>
      </c>
      <c r="E395">
        <v>15589</v>
      </c>
      <c r="F395">
        <v>2021</v>
      </c>
      <c r="G395">
        <v>7</v>
      </c>
      <c r="H395" s="4">
        <f>SUMIFS(VolumesTable[Volume],VolumesTable[Products],$C395,VolumesTable[Period],EDATE($D395,-12))</f>
        <v>15640</v>
      </c>
    </row>
    <row r="396" spans="1:8" x14ac:dyDescent="0.3">
      <c r="A396" t="s">
        <v>21</v>
      </c>
      <c r="B396" t="s">
        <v>12</v>
      </c>
      <c r="C396" t="s">
        <v>18</v>
      </c>
      <c r="D396" s="3">
        <v>44409</v>
      </c>
      <c r="E396">
        <v>15614</v>
      </c>
      <c r="F396">
        <v>2021</v>
      </c>
      <c r="G396">
        <v>8</v>
      </c>
      <c r="H396" s="4">
        <f>SUMIFS(VolumesTable[Volume],VolumesTable[Products],$C396,VolumesTable[Period],EDATE($D396,-12))</f>
        <v>14280</v>
      </c>
    </row>
    <row r="397" spans="1:8" x14ac:dyDescent="0.3">
      <c r="A397" t="s">
        <v>21</v>
      </c>
      <c r="B397" t="s">
        <v>12</v>
      </c>
      <c r="C397" t="s">
        <v>18</v>
      </c>
      <c r="D397" s="3">
        <v>44440</v>
      </c>
      <c r="E397">
        <v>15637</v>
      </c>
      <c r="F397">
        <v>2021</v>
      </c>
      <c r="G397">
        <v>9</v>
      </c>
      <c r="H397" s="4">
        <f>SUMIFS(VolumesTable[Volume],VolumesTable[Products],$C397,VolumesTable[Period],EDATE($D397,-12))</f>
        <v>14960</v>
      </c>
    </row>
    <row r="398" spans="1:8" x14ac:dyDescent="0.3">
      <c r="A398" t="s">
        <v>21</v>
      </c>
      <c r="B398" t="s">
        <v>12</v>
      </c>
      <c r="C398" t="s">
        <v>18</v>
      </c>
      <c r="D398" s="3">
        <v>44470</v>
      </c>
      <c r="E398">
        <v>14948</v>
      </c>
      <c r="F398">
        <v>2021</v>
      </c>
      <c r="G398">
        <v>10</v>
      </c>
      <c r="H398" s="4">
        <f>SUMIFS(VolumesTable[Volume],VolumesTable[Products],$C398,VolumesTable[Period],EDATE($D398,-12))</f>
        <v>14960</v>
      </c>
    </row>
    <row r="399" spans="1:8" x14ac:dyDescent="0.3">
      <c r="A399" t="s">
        <v>21</v>
      </c>
      <c r="B399" t="s">
        <v>12</v>
      </c>
      <c r="C399" t="s">
        <v>18</v>
      </c>
      <c r="D399" s="3">
        <v>44501</v>
      </c>
      <c r="E399">
        <v>15680</v>
      </c>
      <c r="F399">
        <v>2021</v>
      </c>
      <c r="G399">
        <v>11</v>
      </c>
      <c r="H399" s="4">
        <f>SUMIFS(VolumesTable[Volume],VolumesTable[Products],$C399,VolumesTable[Period],EDATE($D399,-12))</f>
        <v>14280</v>
      </c>
    </row>
    <row r="400" spans="1:8" x14ac:dyDescent="0.3">
      <c r="A400" t="s">
        <v>21</v>
      </c>
      <c r="B400" t="s">
        <v>12</v>
      </c>
      <c r="C400" t="s">
        <v>18</v>
      </c>
      <c r="D400" s="3">
        <v>44531</v>
      </c>
      <c r="E400">
        <v>16415</v>
      </c>
      <c r="F400">
        <v>2021</v>
      </c>
      <c r="G400">
        <v>12</v>
      </c>
      <c r="H400" s="4">
        <f>SUMIFS(VolumesTable[Volume],VolumesTable[Products],$C400,VolumesTable[Period],EDATE($D400,-12))</f>
        <v>15640</v>
      </c>
    </row>
    <row r="401" spans="1:8" x14ac:dyDescent="0.3">
      <c r="A401" t="s">
        <v>6</v>
      </c>
      <c r="B401" t="s">
        <v>12</v>
      </c>
      <c r="C401" t="s">
        <v>9</v>
      </c>
      <c r="D401" s="3">
        <v>43831</v>
      </c>
      <c r="E401">
        <v>597425</v>
      </c>
      <c r="F401">
        <v>2020</v>
      </c>
      <c r="G401">
        <v>1</v>
      </c>
      <c r="H401" s="4">
        <f>SUMIFS(VolumesTable[Volume],VolumesTable[Products],$C401,VolumesTable[Period],EDATE($D401,-12))</f>
        <v>0</v>
      </c>
    </row>
    <row r="402" spans="1:8" x14ac:dyDescent="0.3">
      <c r="A402" t="s">
        <v>6</v>
      </c>
      <c r="B402" t="s">
        <v>12</v>
      </c>
      <c r="C402" t="s">
        <v>9</v>
      </c>
      <c r="D402" s="3">
        <v>43862</v>
      </c>
      <c r="E402">
        <v>519740</v>
      </c>
      <c r="F402">
        <v>2020</v>
      </c>
      <c r="G402">
        <v>2</v>
      </c>
      <c r="H402" s="4">
        <f>SUMIFS(VolumesTable[Volume],VolumesTable[Products],$C402,VolumesTable[Period],EDATE($D402,-12))</f>
        <v>0</v>
      </c>
    </row>
    <row r="403" spans="1:8" x14ac:dyDescent="0.3">
      <c r="A403" t="s">
        <v>6</v>
      </c>
      <c r="B403" t="s">
        <v>12</v>
      </c>
      <c r="C403" t="s">
        <v>9</v>
      </c>
      <c r="D403" s="3">
        <v>43891</v>
      </c>
      <c r="E403">
        <v>569536</v>
      </c>
      <c r="F403">
        <v>2020</v>
      </c>
      <c r="G403">
        <v>3</v>
      </c>
      <c r="H403" s="4">
        <f>SUMIFS(VolumesTable[Volume],VolumesTable[Products],$C403,VolumesTable[Period],EDATE($D403,-12))</f>
        <v>0</v>
      </c>
    </row>
    <row r="404" spans="1:8" x14ac:dyDescent="0.3">
      <c r="A404" t="s">
        <v>6</v>
      </c>
      <c r="B404" t="s">
        <v>12</v>
      </c>
      <c r="C404" t="s">
        <v>9</v>
      </c>
      <c r="D404" s="3">
        <v>43922</v>
      </c>
      <c r="E404">
        <v>553102</v>
      </c>
      <c r="F404">
        <v>2020</v>
      </c>
      <c r="G404">
        <v>4</v>
      </c>
      <c r="H404" s="4">
        <f>SUMIFS(VolumesTable[Volume],VolumesTable[Products],$C404,VolumesTable[Period],EDATE($D404,-12))</f>
        <v>0</v>
      </c>
    </row>
    <row r="405" spans="1:8" x14ac:dyDescent="0.3">
      <c r="A405" t="s">
        <v>6</v>
      </c>
      <c r="B405" t="s">
        <v>12</v>
      </c>
      <c r="C405" t="s">
        <v>9</v>
      </c>
      <c r="D405" s="3">
        <v>43952</v>
      </c>
      <c r="E405">
        <v>534975</v>
      </c>
      <c r="F405">
        <v>2020</v>
      </c>
      <c r="G405">
        <v>5</v>
      </c>
      <c r="H405" s="4">
        <f>SUMIFS(VolumesTable[Volume],VolumesTable[Products],$C405,VolumesTable[Period],EDATE($D405,-12))</f>
        <v>0</v>
      </c>
    </row>
    <row r="406" spans="1:8" x14ac:dyDescent="0.3">
      <c r="A406" t="s">
        <v>6</v>
      </c>
      <c r="B406" t="s">
        <v>12</v>
      </c>
      <c r="C406" t="s">
        <v>9</v>
      </c>
      <c r="D406" s="3">
        <v>43983</v>
      </c>
      <c r="E406">
        <v>558668</v>
      </c>
      <c r="F406">
        <v>2020</v>
      </c>
      <c r="G406">
        <v>6</v>
      </c>
      <c r="H406" s="4">
        <f>SUMIFS(VolumesTable[Volume],VolumesTable[Products],$C406,VolumesTable[Period],EDATE($D406,-12))</f>
        <v>0</v>
      </c>
    </row>
    <row r="407" spans="1:8" x14ac:dyDescent="0.3">
      <c r="A407" t="s">
        <v>6</v>
      </c>
      <c r="B407" t="s">
        <v>12</v>
      </c>
      <c r="C407" t="s">
        <v>9</v>
      </c>
      <c r="D407" s="3">
        <v>44013</v>
      </c>
      <c r="E407">
        <v>588455</v>
      </c>
      <c r="F407">
        <v>2020</v>
      </c>
      <c r="G407">
        <v>7</v>
      </c>
      <c r="H407" s="4">
        <f>SUMIFS(VolumesTable[Volume],VolumesTable[Products],$C407,VolumesTable[Period],EDATE($D407,-12))</f>
        <v>0</v>
      </c>
    </row>
    <row r="408" spans="1:8" x14ac:dyDescent="0.3">
      <c r="A408" t="s">
        <v>6</v>
      </c>
      <c r="B408" t="s">
        <v>12</v>
      </c>
      <c r="C408" t="s">
        <v>9</v>
      </c>
      <c r="D408" s="3">
        <v>44044</v>
      </c>
      <c r="E408">
        <v>534198</v>
      </c>
      <c r="F408">
        <v>2020</v>
      </c>
      <c r="G408">
        <v>8</v>
      </c>
      <c r="H408" s="4">
        <f>SUMIFS(VolumesTable[Volume],VolumesTable[Products],$C408,VolumesTable[Period],EDATE($D408,-12))</f>
        <v>0</v>
      </c>
    </row>
    <row r="409" spans="1:8" x14ac:dyDescent="0.3">
      <c r="A409" t="s">
        <v>6</v>
      </c>
      <c r="B409" t="s">
        <v>12</v>
      </c>
      <c r="C409" t="s">
        <v>9</v>
      </c>
      <c r="D409" s="3">
        <v>44075</v>
      </c>
      <c r="E409">
        <v>566302</v>
      </c>
      <c r="F409">
        <v>2020</v>
      </c>
      <c r="G409">
        <v>9</v>
      </c>
      <c r="H409" s="4">
        <f>SUMIFS(VolumesTable[Volume],VolumesTable[Products],$C409,VolumesTable[Period],EDATE($D409,-12))</f>
        <v>0</v>
      </c>
    </row>
    <row r="410" spans="1:8" x14ac:dyDescent="0.3">
      <c r="A410" t="s">
        <v>6</v>
      </c>
      <c r="B410" t="s">
        <v>12</v>
      </c>
      <c r="C410" t="s">
        <v>9</v>
      </c>
      <c r="D410" s="3">
        <v>44105</v>
      </c>
      <c r="E410">
        <v>570460</v>
      </c>
      <c r="F410">
        <v>2020</v>
      </c>
      <c r="G410">
        <v>10</v>
      </c>
      <c r="H410" s="4">
        <f>SUMIFS(VolumesTable[Volume],VolumesTable[Products],$C410,VolumesTable[Period],EDATE($D410,-12))</f>
        <v>0</v>
      </c>
    </row>
    <row r="411" spans="1:8" x14ac:dyDescent="0.3">
      <c r="A411" t="s">
        <v>6</v>
      </c>
      <c r="B411" t="s">
        <v>12</v>
      </c>
      <c r="C411" t="s">
        <v>9</v>
      </c>
      <c r="D411" s="3">
        <v>44136</v>
      </c>
      <c r="E411">
        <v>540120</v>
      </c>
      <c r="F411">
        <v>2020</v>
      </c>
      <c r="G411">
        <v>11</v>
      </c>
      <c r="H411" s="4">
        <f>SUMIFS(VolumesTable[Volume],VolumesTable[Products],$C411,VolumesTable[Period],EDATE($D411,-12))</f>
        <v>0</v>
      </c>
    </row>
    <row r="412" spans="1:8" x14ac:dyDescent="0.3">
      <c r="A412" t="s">
        <v>6</v>
      </c>
      <c r="B412" t="s">
        <v>12</v>
      </c>
      <c r="C412" t="s">
        <v>9</v>
      </c>
      <c r="D412" s="3">
        <v>44166</v>
      </c>
      <c r="E412">
        <v>578887</v>
      </c>
      <c r="F412">
        <v>2020</v>
      </c>
      <c r="G412">
        <v>12</v>
      </c>
      <c r="H412" s="4">
        <f>SUMIFS(VolumesTable[Volume],VolumesTable[Products],$C412,VolumesTable[Period],EDATE($D412,-12))</f>
        <v>0</v>
      </c>
    </row>
    <row r="413" spans="1:8" x14ac:dyDescent="0.3">
      <c r="A413" t="s">
        <v>6</v>
      </c>
      <c r="B413" t="s">
        <v>12</v>
      </c>
      <c r="C413" t="s">
        <v>7</v>
      </c>
      <c r="D413" s="3">
        <v>43831</v>
      </c>
      <c r="E413">
        <v>578473</v>
      </c>
      <c r="F413">
        <v>2020</v>
      </c>
      <c r="G413">
        <v>1</v>
      </c>
      <c r="H413" s="4">
        <f>SUMIFS(VolumesTable[Volume],VolumesTable[Products],$C413,VolumesTable[Period],EDATE($D413,-12))</f>
        <v>0</v>
      </c>
    </row>
    <row r="414" spans="1:8" x14ac:dyDescent="0.3">
      <c r="A414" t="s">
        <v>6</v>
      </c>
      <c r="B414" t="s">
        <v>12</v>
      </c>
      <c r="C414" t="s">
        <v>7</v>
      </c>
      <c r="D414" s="3">
        <v>43862</v>
      </c>
      <c r="E414">
        <v>508420</v>
      </c>
      <c r="F414">
        <v>2020</v>
      </c>
      <c r="G414">
        <v>2</v>
      </c>
      <c r="H414" s="4">
        <f>SUMIFS(VolumesTable[Volume],VolumesTable[Products],$C414,VolumesTable[Period],EDATE($D414,-12))</f>
        <v>0</v>
      </c>
    </row>
    <row r="415" spans="1:8" x14ac:dyDescent="0.3">
      <c r="A415" t="s">
        <v>6</v>
      </c>
      <c r="B415" t="s">
        <v>12</v>
      </c>
      <c r="C415" t="s">
        <v>7</v>
      </c>
      <c r="D415" s="3">
        <v>43891</v>
      </c>
      <c r="E415">
        <v>561154</v>
      </c>
      <c r="F415">
        <v>2020</v>
      </c>
      <c r="G415">
        <v>3</v>
      </c>
      <c r="H415" s="4">
        <f>SUMIFS(VolumesTable[Volume],VolumesTable[Products],$C415,VolumesTable[Period],EDATE($D415,-12))</f>
        <v>0</v>
      </c>
    </row>
    <row r="416" spans="1:8" x14ac:dyDescent="0.3">
      <c r="A416" t="s">
        <v>6</v>
      </c>
      <c r="B416" t="s">
        <v>12</v>
      </c>
      <c r="C416" t="s">
        <v>7</v>
      </c>
      <c r="D416" s="3">
        <v>43922</v>
      </c>
      <c r="E416">
        <v>552464</v>
      </c>
      <c r="F416">
        <v>2020</v>
      </c>
      <c r="G416">
        <v>4</v>
      </c>
      <c r="H416" s="4">
        <f>SUMIFS(VolumesTable[Volume],VolumesTable[Products],$C416,VolumesTable[Period],EDATE($D416,-12))</f>
        <v>0</v>
      </c>
    </row>
    <row r="417" spans="1:8" x14ac:dyDescent="0.3">
      <c r="A417" t="s">
        <v>6</v>
      </c>
      <c r="B417" t="s">
        <v>12</v>
      </c>
      <c r="C417" t="s">
        <v>7</v>
      </c>
      <c r="D417" s="3">
        <v>43952</v>
      </c>
      <c r="E417">
        <v>542199</v>
      </c>
      <c r="F417">
        <v>2020</v>
      </c>
      <c r="G417">
        <v>5</v>
      </c>
      <c r="H417" s="4">
        <f>SUMIFS(VolumesTable[Volume],VolumesTable[Products],$C417,VolumesTable[Period],EDATE($D417,-12))</f>
        <v>0</v>
      </c>
    </row>
    <row r="418" spans="1:8" x14ac:dyDescent="0.3">
      <c r="A418" t="s">
        <v>6</v>
      </c>
      <c r="B418" t="s">
        <v>12</v>
      </c>
      <c r="C418" t="s">
        <v>7</v>
      </c>
      <c r="D418" s="3">
        <v>43983</v>
      </c>
      <c r="E418">
        <v>564894</v>
      </c>
      <c r="F418">
        <v>2020</v>
      </c>
      <c r="G418">
        <v>6</v>
      </c>
      <c r="H418" s="4">
        <f>SUMIFS(VolumesTable[Volume],VolumesTable[Products],$C418,VolumesTable[Period],EDATE($D418,-12))</f>
        <v>0</v>
      </c>
    </row>
    <row r="419" spans="1:8" x14ac:dyDescent="0.3">
      <c r="A419" t="s">
        <v>6</v>
      </c>
      <c r="B419" t="s">
        <v>12</v>
      </c>
      <c r="C419" t="s">
        <v>7</v>
      </c>
      <c r="D419" s="3">
        <v>44013</v>
      </c>
      <c r="E419">
        <v>583027</v>
      </c>
      <c r="F419">
        <v>2020</v>
      </c>
      <c r="G419">
        <v>7</v>
      </c>
      <c r="H419" s="4">
        <f>SUMIFS(VolumesTable[Volume],VolumesTable[Products],$C419,VolumesTable[Period],EDATE($D419,-12))</f>
        <v>0</v>
      </c>
    </row>
    <row r="420" spans="1:8" x14ac:dyDescent="0.3">
      <c r="A420" t="s">
        <v>6</v>
      </c>
      <c r="B420" t="s">
        <v>12</v>
      </c>
      <c r="C420" t="s">
        <v>7</v>
      </c>
      <c r="D420" s="3">
        <v>44044</v>
      </c>
      <c r="E420">
        <v>537390</v>
      </c>
      <c r="F420">
        <v>2020</v>
      </c>
      <c r="G420">
        <v>8</v>
      </c>
      <c r="H420" s="4">
        <f>SUMIFS(VolumesTable[Volume],VolumesTable[Products],$C420,VolumesTable[Period],EDATE($D420,-12))</f>
        <v>0</v>
      </c>
    </row>
    <row r="421" spans="1:8" x14ac:dyDescent="0.3">
      <c r="A421" t="s">
        <v>6</v>
      </c>
      <c r="B421" t="s">
        <v>12</v>
      </c>
      <c r="C421" t="s">
        <v>7</v>
      </c>
      <c r="D421" s="3">
        <v>44075</v>
      </c>
      <c r="E421">
        <v>560692</v>
      </c>
      <c r="F421">
        <v>2020</v>
      </c>
      <c r="G421">
        <v>9</v>
      </c>
      <c r="H421" s="4">
        <f>SUMIFS(VolumesTable[Volume],VolumesTable[Products],$C421,VolumesTable[Period],EDATE($D421,-12))</f>
        <v>0</v>
      </c>
    </row>
    <row r="422" spans="1:8" x14ac:dyDescent="0.3">
      <c r="A422" t="s">
        <v>6</v>
      </c>
      <c r="B422" t="s">
        <v>12</v>
      </c>
      <c r="C422" t="s">
        <v>7</v>
      </c>
      <c r="D422" s="3">
        <v>44105</v>
      </c>
      <c r="E422">
        <v>563706</v>
      </c>
      <c r="F422">
        <v>2020</v>
      </c>
      <c r="G422">
        <v>10</v>
      </c>
      <c r="H422" s="4">
        <f>SUMIFS(VolumesTable[Volume],VolumesTable[Products],$C422,VolumesTable[Period],EDATE($D422,-12))</f>
        <v>0</v>
      </c>
    </row>
    <row r="423" spans="1:8" x14ac:dyDescent="0.3">
      <c r="A423" t="s">
        <v>6</v>
      </c>
      <c r="B423" t="s">
        <v>12</v>
      </c>
      <c r="C423" t="s">
        <v>7</v>
      </c>
      <c r="D423" s="3">
        <v>44136</v>
      </c>
      <c r="E423">
        <v>544824</v>
      </c>
      <c r="F423">
        <v>2020</v>
      </c>
      <c r="G423">
        <v>11</v>
      </c>
      <c r="H423" s="4">
        <f>SUMIFS(VolumesTable[Volume],VolumesTable[Products],$C423,VolumesTable[Period],EDATE($D423,-12))</f>
        <v>0</v>
      </c>
    </row>
    <row r="424" spans="1:8" x14ac:dyDescent="0.3">
      <c r="A424" t="s">
        <v>6</v>
      </c>
      <c r="B424" t="s">
        <v>12</v>
      </c>
      <c r="C424" t="s">
        <v>7</v>
      </c>
      <c r="D424" s="3">
        <v>44166</v>
      </c>
      <c r="E424">
        <v>589559</v>
      </c>
      <c r="F424">
        <v>2020</v>
      </c>
      <c r="G424">
        <v>12</v>
      </c>
      <c r="H424" s="4">
        <f>SUMIFS(VolumesTable[Volume],VolumesTable[Products],$C424,VolumesTable[Period],EDATE($D424,-12))</f>
        <v>0</v>
      </c>
    </row>
    <row r="425" spans="1:8" x14ac:dyDescent="0.3">
      <c r="A425" t="s">
        <v>6</v>
      </c>
      <c r="B425" t="s">
        <v>12</v>
      </c>
      <c r="C425" t="s">
        <v>8</v>
      </c>
      <c r="D425" s="3">
        <v>43831</v>
      </c>
      <c r="E425">
        <v>14605</v>
      </c>
      <c r="F425">
        <v>2020</v>
      </c>
      <c r="G425">
        <v>1</v>
      </c>
      <c r="H425" s="4">
        <f>SUMIFS(VolumesTable[Volume],VolumesTable[Products],$C425,VolumesTable[Period],EDATE($D425,-12))</f>
        <v>0</v>
      </c>
    </row>
    <row r="426" spans="1:8" x14ac:dyDescent="0.3">
      <c r="A426" t="s">
        <v>6</v>
      </c>
      <c r="B426" t="s">
        <v>12</v>
      </c>
      <c r="C426" t="s">
        <v>8</v>
      </c>
      <c r="D426" s="3">
        <v>43862</v>
      </c>
      <c r="E426">
        <v>12700</v>
      </c>
      <c r="F426">
        <v>2020</v>
      </c>
      <c r="G426">
        <v>2</v>
      </c>
      <c r="H426" s="4">
        <f>SUMIFS(VolumesTable[Volume],VolumesTable[Products],$C426,VolumesTable[Period],EDATE($D426,-12))</f>
        <v>0</v>
      </c>
    </row>
    <row r="427" spans="1:8" x14ac:dyDescent="0.3">
      <c r="A427" t="s">
        <v>6</v>
      </c>
      <c r="B427" t="s">
        <v>12</v>
      </c>
      <c r="C427" t="s">
        <v>8</v>
      </c>
      <c r="D427" s="3">
        <v>43891</v>
      </c>
      <c r="E427">
        <v>13970</v>
      </c>
      <c r="F427">
        <v>2020</v>
      </c>
      <c r="G427">
        <v>3</v>
      </c>
      <c r="H427" s="4">
        <f>SUMIFS(VolumesTable[Volume],VolumesTable[Products],$C427,VolumesTable[Period],EDATE($D427,-12))</f>
        <v>0</v>
      </c>
    </row>
    <row r="428" spans="1:8" x14ac:dyDescent="0.3">
      <c r="A428" t="s">
        <v>6</v>
      </c>
      <c r="B428" t="s">
        <v>12</v>
      </c>
      <c r="C428" t="s">
        <v>8</v>
      </c>
      <c r="D428" s="3">
        <v>43922</v>
      </c>
      <c r="E428">
        <v>13970</v>
      </c>
      <c r="F428">
        <v>2020</v>
      </c>
      <c r="G428">
        <v>4</v>
      </c>
      <c r="H428" s="4">
        <f>SUMIFS(VolumesTable[Volume],VolumesTable[Products],$C428,VolumesTable[Period],EDATE($D428,-12))</f>
        <v>0</v>
      </c>
    </row>
    <row r="429" spans="1:8" x14ac:dyDescent="0.3">
      <c r="A429" t="s">
        <v>6</v>
      </c>
      <c r="B429" t="s">
        <v>12</v>
      </c>
      <c r="C429" t="s">
        <v>8</v>
      </c>
      <c r="D429" s="3">
        <v>43952</v>
      </c>
      <c r="E429">
        <v>13335</v>
      </c>
      <c r="F429">
        <v>2020</v>
      </c>
      <c r="G429">
        <v>5</v>
      </c>
      <c r="H429" s="4">
        <f>SUMIFS(VolumesTable[Volume],VolumesTable[Products],$C429,VolumesTable[Period],EDATE($D429,-12))</f>
        <v>0</v>
      </c>
    </row>
    <row r="430" spans="1:8" x14ac:dyDescent="0.3">
      <c r="A430" t="s">
        <v>6</v>
      </c>
      <c r="B430" t="s">
        <v>12</v>
      </c>
      <c r="C430" t="s">
        <v>8</v>
      </c>
      <c r="D430" s="3">
        <v>43983</v>
      </c>
      <c r="E430">
        <v>13970</v>
      </c>
      <c r="F430">
        <v>2020</v>
      </c>
      <c r="G430">
        <v>6</v>
      </c>
      <c r="H430" s="4">
        <f>SUMIFS(VolumesTable[Volume],VolumesTable[Products],$C430,VolumesTable[Period],EDATE($D430,-12))</f>
        <v>0</v>
      </c>
    </row>
    <row r="431" spans="1:8" x14ac:dyDescent="0.3">
      <c r="A431" t="s">
        <v>6</v>
      </c>
      <c r="B431" t="s">
        <v>12</v>
      </c>
      <c r="C431" t="s">
        <v>8</v>
      </c>
      <c r="D431" s="3">
        <v>44013</v>
      </c>
      <c r="E431">
        <v>14605</v>
      </c>
      <c r="F431">
        <v>2020</v>
      </c>
      <c r="G431">
        <v>7</v>
      </c>
      <c r="H431" s="4">
        <f>SUMIFS(VolumesTable[Volume],VolumesTable[Products],$C431,VolumesTable[Period],EDATE($D431,-12))</f>
        <v>0</v>
      </c>
    </row>
    <row r="432" spans="1:8" x14ac:dyDescent="0.3">
      <c r="A432" t="s">
        <v>6</v>
      </c>
      <c r="B432" t="s">
        <v>12</v>
      </c>
      <c r="C432" t="s">
        <v>8</v>
      </c>
      <c r="D432" s="3">
        <v>44044</v>
      </c>
      <c r="E432">
        <v>13335</v>
      </c>
      <c r="F432">
        <v>2020</v>
      </c>
      <c r="G432">
        <v>8</v>
      </c>
      <c r="H432" s="4">
        <f>SUMIFS(VolumesTable[Volume],VolumesTable[Products],$C432,VolumesTable[Period],EDATE($D432,-12))</f>
        <v>0</v>
      </c>
    </row>
    <row r="433" spans="1:8" x14ac:dyDescent="0.3">
      <c r="A433" t="s">
        <v>6</v>
      </c>
      <c r="B433" t="s">
        <v>12</v>
      </c>
      <c r="C433" t="s">
        <v>8</v>
      </c>
      <c r="D433" s="3">
        <v>44075</v>
      </c>
      <c r="E433">
        <v>13970</v>
      </c>
      <c r="F433">
        <v>2020</v>
      </c>
      <c r="G433">
        <v>9</v>
      </c>
      <c r="H433" s="4">
        <f>SUMIFS(VolumesTable[Volume],VolumesTable[Products],$C433,VolumesTable[Period],EDATE($D433,-12))</f>
        <v>0</v>
      </c>
    </row>
    <row r="434" spans="1:8" x14ac:dyDescent="0.3">
      <c r="A434" t="s">
        <v>6</v>
      </c>
      <c r="B434" t="s">
        <v>12</v>
      </c>
      <c r="C434" t="s">
        <v>8</v>
      </c>
      <c r="D434" s="3">
        <v>44105</v>
      </c>
      <c r="E434">
        <v>13970</v>
      </c>
      <c r="F434">
        <v>2020</v>
      </c>
      <c r="G434">
        <v>10</v>
      </c>
      <c r="H434" s="4">
        <f>SUMIFS(VolumesTable[Volume],VolumesTable[Products],$C434,VolumesTable[Period],EDATE($D434,-12))</f>
        <v>0</v>
      </c>
    </row>
    <row r="435" spans="1:8" x14ac:dyDescent="0.3">
      <c r="A435" t="s">
        <v>6</v>
      </c>
      <c r="B435" t="s">
        <v>12</v>
      </c>
      <c r="C435" t="s">
        <v>8</v>
      </c>
      <c r="D435" s="3">
        <v>44136</v>
      </c>
      <c r="E435">
        <v>13335</v>
      </c>
      <c r="F435">
        <v>2020</v>
      </c>
      <c r="G435">
        <v>11</v>
      </c>
      <c r="H435" s="4">
        <f>SUMIFS(VolumesTable[Volume],VolumesTable[Products],$C435,VolumesTable[Period],EDATE($D435,-12))</f>
        <v>0</v>
      </c>
    </row>
    <row r="436" spans="1:8" x14ac:dyDescent="0.3">
      <c r="A436" t="s">
        <v>6</v>
      </c>
      <c r="B436" t="s">
        <v>12</v>
      </c>
      <c r="C436" t="s">
        <v>8</v>
      </c>
      <c r="D436" s="3">
        <v>44166</v>
      </c>
      <c r="E436">
        <v>14605</v>
      </c>
      <c r="F436">
        <v>2020</v>
      </c>
      <c r="G436">
        <v>12</v>
      </c>
      <c r="H436" s="4">
        <f>SUMIFS(VolumesTable[Volume],VolumesTable[Products],$C436,VolumesTable[Period],EDATE($D436,-12))</f>
        <v>0</v>
      </c>
    </row>
    <row r="437" spans="1:8" x14ac:dyDescent="0.3">
      <c r="A437" t="s">
        <v>6</v>
      </c>
      <c r="B437" t="s">
        <v>12</v>
      </c>
      <c r="C437" t="s">
        <v>10</v>
      </c>
      <c r="D437" s="3">
        <v>43831</v>
      </c>
      <c r="E437">
        <v>588662</v>
      </c>
      <c r="F437">
        <v>2020</v>
      </c>
      <c r="G437">
        <v>1</v>
      </c>
      <c r="H437" s="4">
        <f>SUMIFS(VolumesTable[Volume],VolumesTable[Products],$C437,VolumesTable[Period],EDATE($D437,-12))</f>
        <v>0</v>
      </c>
    </row>
    <row r="438" spans="1:8" x14ac:dyDescent="0.3">
      <c r="A438" t="s">
        <v>6</v>
      </c>
      <c r="B438" t="s">
        <v>12</v>
      </c>
      <c r="C438" t="s">
        <v>10</v>
      </c>
      <c r="D438" s="3">
        <v>43862</v>
      </c>
      <c r="E438">
        <v>503380</v>
      </c>
      <c r="F438">
        <v>2020</v>
      </c>
      <c r="G438">
        <v>2</v>
      </c>
      <c r="H438" s="4">
        <f>SUMIFS(VolumesTable[Volume],VolumesTable[Products],$C438,VolumesTable[Period],EDATE($D438,-12))</f>
        <v>0</v>
      </c>
    </row>
    <row r="439" spans="1:8" x14ac:dyDescent="0.3">
      <c r="A439" t="s">
        <v>6</v>
      </c>
      <c r="B439" t="s">
        <v>12</v>
      </c>
      <c r="C439" t="s">
        <v>10</v>
      </c>
      <c r="D439" s="3">
        <v>43891</v>
      </c>
      <c r="E439">
        <v>556776</v>
      </c>
      <c r="F439">
        <v>2020</v>
      </c>
      <c r="G439">
        <v>3</v>
      </c>
      <c r="H439" s="4">
        <f>SUMIFS(VolumesTable[Volume],VolumesTable[Products],$C439,VolumesTable[Period],EDATE($D439,-12))</f>
        <v>0</v>
      </c>
    </row>
    <row r="440" spans="1:8" x14ac:dyDescent="0.3">
      <c r="A440" t="s">
        <v>6</v>
      </c>
      <c r="B440" t="s">
        <v>12</v>
      </c>
      <c r="C440" t="s">
        <v>10</v>
      </c>
      <c r="D440" s="3">
        <v>43922</v>
      </c>
      <c r="E440">
        <v>554950</v>
      </c>
      <c r="F440">
        <v>2020</v>
      </c>
      <c r="G440">
        <v>4</v>
      </c>
      <c r="H440" s="4">
        <f>SUMIFS(VolumesTable[Volume],VolumesTable[Products],$C440,VolumesTable[Period],EDATE($D440,-12))</f>
        <v>0</v>
      </c>
    </row>
    <row r="441" spans="1:8" x14ac:dyDescent="0.3">
      <c r="A441" t="s">
        <v>6</v>
      </c>
      <c r="B441" t="s">
        <v>12</v>
      </c>
      <c r="C441" t="s">
        <v>10</v>
      </c>
      <c r="D441" s="3">
        <v>43952</v>
      </c>
      <c r="E441">
        <v>534492</v>
      </c>
      <c r="F441">
        <v>2020</v>
      </c>
      <c r="G441">
        <v>5</v>
      </c>
      <c r="H441" s="4">
        <f>SUMIFS(VolumesTable[Volume],VolumesTable[Products],$C441,VolumesTable[Period],EDATE($D441,-12))</f>
        <v>0</v>
      </c>
    </row>
    <row r="442" spans="1:8" x14ac:dyDescent="0.3">
      <c r="A442" t="s">
        <v>6</v>
      </c>
      <c r="B442" t="s">
        <v>12</v>
      </c>
      <c r="C442" t="s">
        <v>10</v>
      </c>
      <c r="D442" s="3">
        <v>43983</v>
      </c>
      <c r="E442">
        <v>570526</v>
      </c>
      <c r="F442">
        <v>2020</v>
      </c>
      <c r="G442">
        <v>6</v>
      </c>
      <c r="H442" s="4">
        <f>SUMIFS(VolumesTable[Volume],VolumesTable[Products],$C442,VolumesTable[Period],EDATE($D442,-12))</f>
        <v>0</v>
      </c>
    </row>
    <row r="443" spans="1:8" x14ac:dyDescent="0.3">
      <c r="A443" t="s">
        <v>6</v>
      </c>
      <c r="B443" t="s">
        <v>12</v>
      </c>
      <c r="C443" t="s">
        <v>10</v>
      </c>
      <c r="D443" s="3">
        <v>44013</v>
      </c>
      <c r="E443">
        <v>589122</v>
      </c>
      <c r="F443">
        <v>2020</v>
      </c>
      <c r="G443">
        <v>7</v>
      </c>
      <c r="H443" s="4">
        <f>SUMIFS(VolumesTable[Volume],VolumesTable[Products],$C443,VolumesTable[Period],EDATE($D443,-12))</f>
        <v>0</v>
      </c>
    </row>
    <row r="444" spans="1:8" x14ac:dyDescent="0.3">
      <c r="A444" t="s">
        <v>6</v>
      </c>
      <c r="B444" t="s">
        <v>12</v>
      </c>
      <c r="C444" t="s">
        <v>10</v>
      </c>
      <c r="D444" s="3">
        <v>44044</v>
      </c>
      <c r="E444">
        <v>543984</v>
      </c>
      <c r="F444">
        <v>2020</v>
      </c>
      <c r="G444">
        <v>8</v>
      </c>
      <c r="H444" s="4">
        <f>SUMIFS(VolumesTable[Volume],VolumesTable[Products],$C444,VolumesTable[Period],EDATE($D444,-12))</f>
        <v>0</v>
      </c>
    </row>
    <row r="445" spans="1:8" x14ac:dyDescent="0.3">
      <c r="A445" t="s">
        <v>6</v>
      </c>
      <c r="B445" t="s">
        <v>12</v>
      </c>
      <c r="C445" t="s">
        <v>10</v>
      </c>
      <c r="D445" s="3">
        <v>44075</v>
      </c>
      <c r="E445">
        <v>553740</v>
      </c>
      <c r="F445">
        <v>2020</v>
      </c>
      <c r="G445">
        <v>9</v>
      </c>
      <c r="H445" s="4">
        <f>SUMIFS(VolumesTable[Volume],VolumesTable[Products],$C445,VolumesTable[Period],EDATE($D445,-12))</f>
        <v>0</v>
      </c>
    </row>
    <row r="446" spans="1:8" x14ac:dyDescent="0.3">
      <c r="A446" t="s">
        <v>6</v>
      </c>
      <c r="B446" t="s">
        <v>12</v>
      </c>
      <c r="C446" t="s">
        <v>10</v>
      </c>
      <c r="D446" s="3">
        <v>44105</v>
      </c>
      <c r="E446">
        <v>564740</v>
      </c>
      <c r="F446">
        <v>2020</v>
      </c>
      <c r="G446">
        <v>10</v>
      </c>
      <c r="H446" s="4">
        <f>SUMIFS(VolumesTable[Volume],VolumesTable[Products],$C446,VolumesTable[Period],EDATE($D446,-12))</f>
        <v>0</v>
      </c>
    </row>
    <row r="447" spans="1:8" x14ac:dyDescent="0.3">
      <c r="A447" t="s">
        <v>6</v>
      </c>
      <c r="B447" t="s">
        <v>12</v>
      </c>
      <c r="C447" t="s">
        <v>10</v>
      </c>
      <c r="D447" s="3">
        <v>44136</v>
      </c>
      <c r="E447">
        <v>537264</v>
      </c>
      <c r="F447">
        <v>2020</v>
      </c>
      <c r="G447">
        <v>11</v>
      </c>
      <c r="H447" s="4">
        <f>SUMIFS(VolumesTable[Volume],VolumesTable[Products],$C447,VolumesTable[Period],EDATE($D447,-12))</f>
        <v>0</v>
      </c>
    </row>
    <row r="448" spans="1:8" x14ac:dyDescent="0.3">
      <c r="A448" t="s">
        <v>6</v>
      </c>
      <c r="B448" t="s">
        <v>12</v>
      </c>
      <c r="C448" t="s">
        <v>10</v>
      </c>
      <c r="D448" s="3">
        <v>44166</v>
      </c>
      <c r="E448">
        <v>586247</v>
      </c>
      <c r="F448">
        <v>2020</v>
      </c>
      <c r="G448">
        <v>12</v>
      </c>
      <c r="H448" s="4">
        <f>SUMIFS(VolumesTable[Volume],VolumesTable[Products],$C448,VolumesTable[Period],EDATE($D448,-12))</f>
        <v>0</v>
      </c>
    </row>
    <row r="449" spans="1:8" x14ac:dyDescent="0.3">
      <c r="A449" t="s">
        <v>73</v>
      </c>
      <c r="B449" t="s">
        <v>11</v>
      </c>
      <c r="C449" t="s">
        <v>16</v>
      </c>
      <c r="D449" s="3">
        <v>43831</v>
      </c>
      <c r="E449">
        <v>25300</v>
      </c>
      <c r="F449">
        <v>2020</v>
      </c>
      <c r="G449">
        <v>1</v>
      </c>
      <c r="H449" s="4">
        <f>SUMIFS(VolumesTable[Volume],VolumesTable[Products],$C449,VolumesTable[Period],EDATE($D449,-12))</f>
        <v>0</v>
      </c>
    </row>
    <row r="450" spans="1:8" x14ac:dyDescent="0.3">
      <c r="A450" t="s">
        <v>73</v>
      </c>
      <c r="B450" t="s">
        <v>11</v>
      </c>
      <c r="C450" t="s">
        <v>16</v>
      </c>
      <c r="D450" s="3">
        <v>43862</v>
      </c>
      <c r="E450">
        <v>22000</v>
      </c>
      <c r="F450">
        <v>2020</v>
      </c>
      <c r="G450">
        <v>2</v>
      </c>
      <c r="H450" s="4">
        <f>SUMIFS(VolumesTable[Volume],VolumesTable[Products],$C450,VolumesTable[Period],EDATE($D450,-12))</f>
        <v>0</v>
      </c>
    </row>
    <row r="451" spans="1:8" x14ac:dyDescent="0.3">
      <c r="A451" t="s">
        <v>73</v>
      </c>
      <c r="B451" t="s">
        <v>11</v>
      </c>
      <c r="C451" t="s">
        <v>16</v>
      </c>
      <c r="D451" s="3">
        <v>43891</v>
      </c>
      <c r="E451">
        <v>24200</v>
      </c>
      <c r="F451">
        <v>2020</v>
      </c>
      <c r="G451">
        <v>3</v>
      </c>
      <c r="H451" s="4">
        <f>SUMIFS(VolumesTable[Volume],VolumesTable[Products],$C451,VolumesTable[Period],EDATE($D451,-12))</f>
        <v>0</v>
      </c>
    </row>
    <row r="452" spans="1:8" x14ac:dyDescent="0.3">
      <c r="A452" t="s">
        <v>73</v>
      </c>
      <c r="B452" t="s">
        <v>11</v>
      </c>
      <c r="C452" t="s">
        <v>16</v>
      </c>
      <c r="D452" s="3">
        <v>43922</v>
      </c>
      <c r="E452">
        <v>24200</v>
      </c>
      <c r="F452">
        <v>2020</v>
      </c>
      <c r="G452">
        <v>4</v>
      </c>
      <c r="H452" s="4">
        <f>SUMIFS(VolumesTable[Volume],VolumesTable[Products],$C452,VolumesTable[Period],EDATE($D452,-12))</f>
        <v>0</v>
      </c>
    </row>
    <row r="453" spans="1:8" x14ac:dyDescent="0.3">
      <c r="A453" t="s">
        <v>73</v>
      </c>
      <c r="B453" t="s">
        <v>11</v>
      </c>
      <c r="C453" t="s">
        <v>16</v>
      </c>
      <c r="D453" s="3">
        <v>43952</v>
      </c>
      <c r="E453">
        <v>23100</v>
      </c>
      <c r="F453">
        <v>2020</v>
      </c>
      <c r="G453">
        <v>5</v>
      </c>
      <c r="H453" s="4">
        <f>SUMIFS(VolumesTable[Volume],VolumesTable[Products],$C453,VolumesTable[Period],EDATE($D453,-12))</f>
        <v>0</v>
      </c>
    </row>
    <row r="454" spans="1:8" x14ac:dyDescent="0.3">
      <c r="A454" t="s">
        <v>73</v>
      </c>
      <c r="B454" t="s">
        <v>11</v>
      </c>
      <c r="C454" t="s">
        <v>16</v>
      </c>
      <c r="D454" s="3">
        <v>43983</v>
      </c>
      <c r="E454">
        <v>24200</v>
      </c>
      <c r="F454">
        <v>2020</v>
      </c>
      <c r="G454">
        <v>6</v>
      </c>
      <c r="H454" s="4">
        <f>SUMIFS(VolumesTable[Volume],VolumesTable[Products],$C454,VolumesTable[Period],EDATE($D454,-12))</f>
        <v>0</v>
      </c>
    </row>
    <row r="455" spans="1:8" x14ac:dyDescent="0.3">
      <c r="A455" t="s">
        <v>73</v>
      </c>
      <c r="B455" t="s">
        <v>11</v>
      </c>
      <c r="C455" t="s">
        <v>16</v>
      </c>
      <c r="D455" s="3">
        <v>44013</v>
      </c>
      <c r="E455">
        <v>25300</v>
      </c>
      <c r="F455">
        <v>2020</v>
      </c>
      <c r="G455">
        <v>7</v>
      </c>
      <c r="H455" s="4">
        <f>SUMIFS(VolumesTable[Volume],VolumesTable[Products],$C455,VolumesTable[Period],EDATE($D455,-12))</f>
        <v>0</v>
      </c>
    </row>
    <row r="456" spans="1:8" x14ac:dyDescent="0.3">
      <c r="A456" t="s">
        <v>73</v>
      </c>
      <c r="B456" t="s">
        <v>11</v>
      </c>
      <c r="C456" t="s">
        <v>16</v>
      </c>
      <c r="D456" s="3">
        <v>44044</v>
      </c>
      <c r="E456">
        <v>23100</v>
      </c>
      <c r="F456">
        <v>2020</v>
      </c>
      <c r="G456">
        <v>8</v>
      </c>
      <c r="H456" s="4">
        <f>SUMIFS(VolumesTable[Volume],VolumesTable[Products],$C456,VolumesTable[Period],EDATE($D456,-12))</f>
        <v>0</v>
      </c>
    </row>
    <row r="457" spans="1:8" x14ac:dyDescent="0.3">
      <c r="A457" t="s">
        <v>73</v>
      </c>
      <c r="B457" t="s">
        <v>11</v>
      </c>
      <c r="C457" t="s">
        <v>16</v>
      </c>
      <c r="D457" s="3">
        <v>44075</v>
      </c>
      <c r="E457">
        <v>24200</v>
      </c>
      <c r="F457">
        <v>2020</v>
      </c>
      <c r="G457">
        <v>9</v>
      </c>
      <c r="H457" s="4">
        <f>SUMIFS(VolumesTable[Volume],VolumesTable[Products],$C457,VolumesTable[Period],EDATE($D457,-12))</f>
        <v>0</v>
      </c>
    </row>
    <row r="458" spans="1:8" x14ac:dyDescent="0.3">
      <c r="A458" t="s">
        <v>73</v>
      </c>
      <c r="B458" t="s">
        <v>11</v>
      </c>
      <c r="C458" t="s">
        <v>16</v>
      </c>
      <c r="D458" s="3">
        <v>44105</v>
      </c>
      <c r="E458">
        <v>24200</v>
      </c>
      <c r="F458">
        <v>2020</v>
      </c>
      <c r="G458">
        <v>10</v>
      </c>
      <c r="H458" s="4">
        <f>SUMIFS(VolumesTable[Volume],VolumesTable[Products],$C458,VolumesTable[Period],EDATE($D458,-12))</f>
        <v>0</v>
      </c>
    </row>
    <row r="459" spans="1:8" x14ac:dyDescent="0.3">
      <c r="A459" t="s">
        <v>73</v>
      </c>
      <c r="B459" t="s">
        <v>11</v>
      </c>
      <c r="C459" t="s">
        <v>16</v>
      </c>
      <c r="D459" s="3">
        <v>44136</v>
      </c>
      <c r="E459">
        <v>23100</v>
      </c>
      <c r="F459">
        <v>2020</v>
      </c>
      <c r="G459">
        <v>11</v>
      </c>
      <c r="H459" s="4">
        <f>SUMIFS(VolumesTable[Volume],VolumesTable[Products],$C459,VolumesTable[Period],EDATE($D459,-12))</f>
        <v>0</v>
      </c>
    </row>
    <row r="460" spans="1:8" x14ac:dyDescent="0.3">
      <c r="A460" t="s">
        <v>73</v>
      </c>
      <c r="B460" t="s">
        <v>11</v>
      </c>
      <c r="C460" t="s">
        <v>16</v>
      </c>
      <c r="D460" s="3">
        <v>44166</v>
      </c>
      <c r="E460">
        <v>25300</v>
      </c>
      <c r="F460">
        <v>2020</v>
      </c>
      <c r="G460">
        <v>12</v>
      </c>
      <c r="H460" s="4">
        <f>SUMIFS(VolumesTable[Volume],VolumesTable[Products],$C460,VolumesTable[Period],EDATE($D460,-12))</f>
        <v>0</v>
      </c>
    </row>
    <row r="461" spans="1:8" x14ac:dyDescent="0.3">
      <c r="A461" t="s">
        <v>73</v>
      </c>
      <c r="B461" t="s">
        <v>11</v>
      </c>
      <c r="C461" t="s">
        <v>15</v>
      </c>
      <c r="D461" s="3">
        <v>43831</v>
      </c>
      <c r="E461">
        <v>36800</v>
      </c>
      <c r="F461">
        <v>2020</v>
      </c>
      <c r="G461">
        <v>1</v>
      </c>
      <c r="H461" s="4">
        <f>SUMIFS(VolumesTable[Volume],VolumesTable[Products],$C461,VolumesTable[Period],EDATE($D461,-12))</f>
        <v>0</v>
      </c>
    </row>
    <row r="462" spans="1:8" x14ac:dyDescent="0.3">
      <c r="A462" t="s">
        <v>73</v>
      </c>
      <c r="B462" t="s">
        <v>11</v>
      </c>
      <c r="C462" t="s">
        <v>15</v>
      </c>
      <c r="D462" s="3">
        <v>43862</v>
      </c>
      <c r="E462">
        <v>32000</v>
      </c>
      <c r="F462">
        <v>2020</v>
      </c>
      <c r="G462">
        <v>2</v>
      </c>
      <c r="H462" s="4">
        <f>SUMIFS(VolumesTable[Volume],VolumesTable[Products],$C462,VolumesTable[Period],EDATE($D462,-12))</f>
        <v>0</v>
      </c>
    </row>
    <row r="463" spans="1:8" x14ac:dyDescent="0.3">
      <c r="A463" t="s">
        <v>73</v>
      </c>
      <c r="B463" t="s">
        <v>11</v>
      </c>
      <c r="C463" t="s">
        <v>15</v>
      </c>
      <c r="D463" s="3">
        <v>43891</v>
      </c>
      <c r="E463">
        <v>35200</v>
      </c>
      <c r="F463">
        <v>2020</v>
      </c>
      <c r="G463">
        <v>3</v>
      </c>
      <c r="H463" s="4">
        <f>SUMIFS(VolumesTable[Volume],VolumesTable[Products],$C463,VolumesTable[Period],EDATE($D463,-12))</f>
        <v>0</v>
      </c>
    </row>
    <row r="464" spans="1:8" x14ac:dyDescent="0.3">
      <c r="A464" t="s">
        <v>73</v>
      </c>
      <c r="B464" t="s">
        <v>11</v>
      </c>
      <c r="C464" t="s">
        <v>15</v>
      </c>
      <c r="D464" s="3">
        <v>43922</v>
      </c>
      <c r="E464">
        <v>35200</v>
      </c>
      <c r="F464">
        <v>2020</v>
      </c>
      <c r="G464">
        <v>4</v>
      </c>
      <c r="H464" s="4">
        <f>SUMIFS(VolumesTable[Volume],VolumesTable[Products],$C464,VolumesTable[Period],EDATE($D464,-12))</f>
        <v>0</v>
      </c>
    </row>
    <row r="465" spans="1:8" x14ac:dyDescent="0.3">
      <c r="A465" t="s">
        <v>73</v>
      </c>
      <c r="B465" t="s">
        <v>11</v>
      </c>
      <c r="C465" t="s">
        <v>15</v>
      </c>
      <c r="D465" s="3">
        <v>43952</v>
      </c>
      <c r="E465">
        <v>33600</v>
      </c>
      <c r="F465">
        <v>2020</v>
      </c>
      <c r="G465">
        <v>5</v>
      </c>
      <c r="H465" s="4">
        <f>SUMIFS(VolumesTable[Volume],VolumesTable[Products],$C465,VolumesTable[Period],EDATE($D465,-12))</f>
        <v>0</v>
      </c>
    </row>
    <row r="466" spans="1:8" x14ac:dyDescent="0.3">
      <c r="A466" t="s">
        <v>73</v>
      </c>
      <c r="B466" t="s">
        <v>11</v>
      </c>
      <c r="C466" t="s">
        <v>15</v>
      </c>
      <c r="D466" s="3">
        <v>43983</v>
      </c>
      <c r="E466">
        <v>35200</v>
      </c>
      <c r="F466">
        <v>2020</v>
      </c>
      <c r="G466">
        <v>6</v>
      </c>
      <c r="H466" s="4">
        <f>SUMIFS(VolumesTable[Volume],VolumesTable[Products],$C466,VolumesTable[Period],EDATE($D466,-12))</f>
        <v>0</v>
      </c>
    </row>
    <row r="467" spans="1:8" x14ac:dyDescent="0.3">
      <c r="A467" t="s">
        <v>73</v>
      </c>
      <c r="B467" t="s">
        <v>11</v>
      </c>
      <c r="C467" t="s">
        <v>15</v>
      </c>
      <c r="D467" s="3">
        <v>44013</v>
      </c>
      <c r="E467">
        <v>36800</v>
      </c>
      <c r="F467">
        <v>2020</v>
      </c>
      <c r="G467">
        <v>7</v>
      </c>
      <c r="H467" s="4">
        <f>SUMIFS(VolumesTable[Volume],VolumesTable[Products],$C467,VolumesTable[Period],EDATE($D467,-12))</f>
        <v>0</v>
      </c>
    </row>
    <row r="468" spans="1:8" x14ac:dyDescent="0.3">
      <c r="A468" t="s">
        <v>73</v>
      </c>
      <c r="B468" t="s">
        <v>11</v>
      </c>
      <c r="C468" t="s">
        <v>15</v>
      </c>
      <c r="D468" s="3">
        <v>44044</v>
      </c>
      <c r="E468">
        <v>33600</v>
      </c>
      <c r="F468">
        <v>2020</v>
      </c>
      <c r="G468">
        <v>8</v>
      </c>
      <c r="H468" s="4">
        <f>SUMIFS(VolumesTable[Volume],VolumesTable[Products],$C468,VolumesTable[Period],EDATE($D468,-12))</f>
        <v>0</v>
      </c>
    </row>
    <row r="469" spans="1:8" x14ac:dyDescent="0.3">
      <c r="A469" t="s">
        <v>73</v>
      </c>
      <c r="B469" t="s">
        <v>11</v>
      </c>
      <c r="C469" t="s">
        <v>15</v>
      </c>
      <c r="D469" s="3">
        <v>44075</v>
      </c>
      <c r="E469">
        <v>35200</v>
      </c>
      <c r="F469">
        <v>2020</v>
      </c>
      <c r="G469">
        <v>9</v>
      </c>
      <c r="H469" s="4">
        <f>SUMIFS(VolumesTable[Volume],VolumesTable[Products],$C469,VolumesTable[Period],EDATE($D469,-12))</f>
        <v>0</v>
      </c>
    </row>
    <row r="470" spans="1:8" x14ac:dyDescent="0.3">
      <c r="A470" t="s">
        <v>73</v>
      </c>
      <c r="B470" t="s">
        <v>11</v>
      </c>
      <c r="C470" t="s">
        <v>15</v>
      </c>
      <c r="D470" s="3">
        <v>44105</v>
      </c>
      <c r="E470">
        <v>35200</v>
      </c>
      <c r="F470">
        <v>2020</v>
      </c>
      <c r="G470">
        <v>10</v>
      </c>
      <c r="H470" s="4">
        <f>SUMIFS(VolumesTable[Volume],VolumesTable[Products],$C470,VolumesTable[Period],EDATE($D470,-12))</f>
        <v>0</v>
      </c>
    </row>
    <row r="471" spans="1:8" x14ac:dyDescent="0.3">
      <c r="A471" t="s">
        <v>73</v>
      </c>
      <c r="B471" t="s">
        <v>11</v>
      </c>
      <c r="C471" t="s">
        <v>15</v>
      </c>
      <c r="D471" s="3">
        <v>44136</v>
      </c>
      <c r="E471">
        <v>33600</v>
      </c>
      <c r="F471">
        <v>2020</v>
      </c>
      <c r="G471">
        <v>11</v>
      </c>
      <c r="H471" s="4">
        <f>SUMIFS(VolumesTable[Volume],VolumesTable[Products],$C471,VolumesTable[Period],EDATE($D471,-12))</f>
        <v>0</v>
      </c>
    </row>
    <row r="472" spans="1:8" x14ac:dyDescent="0.3">
      <c r="A472" t="s">
        <v>73</v>
      </c>
      <c r="B472" t="s">
        <v>11</v>
      </c>
      <c r="C472" t="s">
        <v>15</v>
      </c>
      <c r="D472" s="3">
        <v>44166</v>
      </c>
      <c r="E472">
        <v>36800</v>
      </c>
      <c r="F472">
        <v>2020</v>
      </c>
      <c r="G472">
        <v>12</v>
      </c>
      <c r="H472" s="4">
        <f>SUMIFS(VolumesTable[Volume],VolumesTable[Products],$C472,VolumesTable[Period],EDATE($D472,-12))</f>
        <v>0</v>
      </c>
    </row>
    <row r="473" spans="1:8" x14ac:dyDescent="0.3">
      <c r="A473" t="s">
        <v>73</v>
      </c>
      <c r="B473" t="s">
        <v>11</v>
      </c>
      <c r="C473" t="s">
        <v>13</v>
      </c>
      <c r="D473" s="3">
        <v>43831</v>
      </c>
      <c r="E473">
        <v>20585</v>
      </c>
      <c r="F473">
        <v>2020</v>
      </c>
      <c r="G473">
        <v>1</v>
      </c>
      <c r="H473" s="4">
        <f>SUMIFS(VolumesTable[Volume],VolumesTable[Products],$C473,VolumesTable[Period],EDATE($D473,-12))</f>
        <v>0</v>
      </c>
    </row>
    <row r="474" spans="1:8" x14ac:dyDescent="0.3">
      <c r="A474" t="s">
        <v>73</v>
      </c>
      <c r="B474" t="s">
        <v>11</v>
      </c>
      <c r="C474" t="s">
        <v>13</v>
      </c>
      <c r="D474" s="3">
        <v>43862</v>
      </c>
      <c r="E474">
        <v>17900</v>
      </c>
      <c r="F474">
        <v>2020</v>
      </c>
      <c r="G474">
        <v>2</v>
      </c>
      <c r="H474" s="4">
        <f>SUMIFS(VolumesTable[Volume],VolumesTable[Products],$C474,VolumesTable[Period],EDATE($D474,-12))</f>
        <v>0</v>
      </c>
    </row>
    <row r="475" spans="1:8" x14ac:dyDescent="0.3">
      <c r="A475" t="s">
        <v>73</v>
      </c>
      <c r="B475" t="s">
        <v>11</v>
      </c>
      <c r="C475" t="s">
        <v>13</v>
      </c>
      <c r="D475" s="3">
        <v>43891</v>
      </c>
      <c r="E475">
        <v>19690</v>
      </c>
      <c r="F475">
        <v>2020</v>
      </c>
      <c r="G475">
        <v>3</v>
      </c>
      <c r="H475" s="4">
        <f>SUMIFS(VolumesTable[Volume],VolumesTable[Products],$C475,VolumesTable[Period],EDATE($D475,-12))</f>
        <v>0</v>
      </c>
    </row>
    <row r="476" spans="1:8" x14ac:dyDescent="0.3">
      <c r="A476" t="s">
        <v>73</v>
      </c>
      <c r="B476" t="s">
        <v>11</v>
      </c>
      <c r="C476" t="s">
        <v>13</v>
      </c>
      <c r="D476" s="3">
        <v>43922</v>
      </c>
      <c r="E476">
        <v>19690</v>
      </c>
      <c r="F476">
        <v>2020</v>
      </c>
      <c r="G476">
        <v>4</v>
      </c>
      <c r="H476" s="4">
        <f>SUMIFS(VolumesTable[Volume],VolumesTable[Products],$C476,VolumesTable[Period],EDATE($D476,-12))</f>
        <v>0</v>
      </c>
    </row>
    <row r="477" spans="1:8" x14ac:dyDescent="0.3">
      <c r="A477" t="s">
        <v>73</v>
      </c>
      <c r="B477" t="s">
        <v>11</v>
      </c>
      <c r="C477" t="s">
        <v>13</v>
      </c>
      <c r="D477" s="3">
        <v>43952</v>
      </c>
      <c r="E477">
        <v>18795</v>
      </c>
      <c r="F477">
        <v>2020</v>
      </c>
      <c r="G477">
        <v>5</v>
      </c>
      <c r="H477" s="4">
        <f>SUMIFS(VolumesTable[Volume],VolumesTable[Products],$C477,VolumesTable[Period],EDATE($D477,-12))</f>
        <v>0</v>
      </c>
    </row>
    <row r="478" spans="1:8" x14ac:dyDescent="0.3">
      <c r="A478" t="s">
        <v>73</v>
      </c>
      <c r="B478" t="s">
        <v>11</v>
      </c>
      <c r="C478" t="s">
        <v>13</v>
      </c>
      <c r="D478" s="3">
        <v>43983</v>
      </c>
      <c r="E478">
        <v>19690</v>
      </c>
      <c r="F478">
        <v>2020</v>
      </c>
      <c r="G478">
        <v>6</v>
      </c>
      <c r="H478" s="4">
        <f>SUMIFS(VolumesTable[Volume],VolumesTable[Products],$C478,VolumesTable[Period],EDATE($D478,-12))</f>
        <v>0</v>
      </c>
    </row>
    <row r="479" spans="1:8" x14ac:dyDescent="0.3">
      <c r="A479" t="s">
        <v>73</v>
      </c>
      <c r="B479" t="s">
        <v>11</v>
      </c>
      <c r="C479" t="s">
        <v>13</v>
      </c>
      <c r="D479" s="3">
        <v>44013</v>
      </c>
      <c r="E479">
        <v>20585</v>
      </c>
      <c r="F479">
        <v>2020</v>
      </c>
      <c r="G479">
        <v>7</v>
      </c>
      <c r="H479" s="4">
        <f>SUMIFS(VolumesTable[Volume],VolumesTable[Products],$C479,VolumesTable[Period],EDATE($D479,-12))</f>
        <v>0</v>
      </c>
    </row>
    <row r="480" spans="1:8" x14ac:dyDescent="0.3">
      <c r="A480" t="s">
        <v>73</v>
      </c>
      <c r="B480" t="s">
        <v>11</v>
      </c>
      <c r="C480" t="s">
        <v>13</v>
      </c>
      <c r="D480" s="3">
        <v>44044</v>
      </c>
      <c r="E480">
        <v>18795</v>
      </c>
      <c r="F480">
        <v>2020</v>
      </c>
      <c r="G480">
        <v>8</v>
      </c>
      <c r="H480" s="4">
        <f>SUMIFS(VolumesTable[Volume],VolumesTable[Products],$C480,VolumesTable[Period],EDATE($D480,-12))</f>
        <v>0</v>
      </c>
    </row>
    <row r="481" spans="1:8" x14ac:dyDescent="0.3">
      <c r="A481" t="s">
        <v>73</v>
      </c>
      <c r="B481" t="s">
        <v>11</v>
      </c>
      <c r="C481" t="s">
        <v>13</v>
      </c>
      <c r="D481" s="3">
        <v>44075</v>
      </c>
      <c r="E481">
        <v>19690</v>
      </c>
      <c r="F481">
        <v>2020</v>
      </c>
      <c r="G481">
        <v>9</v>
      </c>
      <c r="H481" s="4">
        <f>SUMIFS(VolumesTable[Volume],VolumesTable[Products],$C481,VolumesTable[Period],EDATE($D481,-12))</f>
        <v>0</v>
      </c>
    </row>
    <row r="482" spans="1:8" x14ac:dyDescent="0.3">
      <c r="A482" t="s">
        <v>73</v>
      </c>
      <c r="B482" t="s">
        <v>11</v>
      </c>
      <c r="C482" t="s">
        <v>13</v>
      </c>
      <c r="D482" s="3">
        <v>44105</v>
      </c>
      <c r="E482">
        <v>19690</v>
      </c>
      <c r="F482">
        <v>2020</v>
      </c>
      <c r="G482">
        <v>10</v>
      </c>
      <c r="H482" s="4">
        <f>SUMIFS(VolumesTable[Volume],VolumesTable[Products],$C482,VolumesTable[Period],EDATE($D482,-12))</f>
        <v>0</v>
      </c>
    </row>
    <row r="483" spans="1:8" x14ac:dyDescent="0.3">
      <c r="A483" t="s">
        <v>73</v>
      </c>
      <c r="B483" t="s">
        <v>11</v>
      </c>
      <c r="C483" t="s">
        <v>13</v>
      </c>
      <c r="D483" s="3">
        <v>44136</v>
      </c>
      <c r="E483">
        <v>18795</v>
      </c>
      <c r="F483">
        <v>2020</v>
      </c>
      <c r="G483">
        <v>11</v>
      </c>
      <c r="H483" s="4">
        <f>SUMIFS(VolumesTable[Volume],VolumesTable[Products],$C483,VolumesTable[Period],EDATE($D483,-12))</f>
        <v>0</v>
      </c>
    </row>
    <row r="484" spans="1:8" x14ac:dyDescent="0.3">
      <c r="A484" t="s">
        <v>73</v>
      </c>
      <c r="B484" t="s">
        <v>11</v>
      </c>
      <c r="C484" t="s">
        <v>13</v>
      </c>
      <c r="D484" s="3">
        <v>44166</v>
      </c>
      <c r="E484">
        <v>20585</v>
      </c>
      <c r="F484">
        <v>2020</v>
      </c>
      <c r="G484">
        <v>12</v>
      </c>
      <c r="H484" s="4">
        <f>SUMIFS(VolumesTable[Volume],VolumesTable[Products],$C484,VolumesTable[Period],EDATE($D484,-12))</f>
        <v>0</v>
      </c>
    </row>
    <row r="485" spans="1:8" x14ac:dyDescent="0.3">
      <c r="A485" t="s">
        <v>73</v>
      </c>
      <c r="B485" t="s">
        <v>11</v>
      </c>
      <c r="C485" t="s">
        <v>14</v>
      </c>
      <c r="D485" s="3">
        <v>43831</v>
      </c>
      <c r="E485">
        <v>17595</v>
      </c>
      <c r="F485">
        <v>2020</v>
      </c>
      <c r="G485">
        <v>1</v>
      </c>
      <c r="H485" s="4">
        <f>SUMIFS(VolumesTable[Volume],VolumesTable[Products],$C485,VolumesTable[Period],EDATE($D485,-12))</f>
        <v>0</v>
      </c>
    </row>
    <row r="486" spans="1:8" x14ac:dyDescent="0.3">
      <c r="A486" t="s">
        <v>73</v>
      </c>
      <c r="B486" t="s">
        <v>11</v>
      </c>
      <c r="C486" t="s">
        <v>14</v>
      </c>
      <c r="D486" s="3">
        <v>43862</v>
      </c>
      <c r="E486">
        <v>15300</v>
      </c>
      <c r="F486">
        <v>2020</v>
      </c>
      <c r="G486">
        <v>2</v>
      </c>
      <c r="H486" s="4">
        <f>SUMIFS(VolumesTable[Volume],VolumesTable[Products],$C486,VolumesTable[Period],EDATE($D486,-12))</f>
        <v>0</v>
      </c>
    </row>
    <row r="487" spans="1:8" x14ac:dyDescent="0.3">
      <c r="A487" t="s">
        <v>73</v>
      </c>
      <c r="B487" t="s">
        <v>11</v>
      </c>
      <c r="C487" t="s">
        <v>14</v>
      </c>
      <c r="D487" s="3">
        <v>43891</v>
      </c>
      <c r="E487">
        <v>16830</v>
      </c>
      <c r="F487">
        <v>2020</v>
      </c>
      <c r="G487">
        <v>3</v>
      </c>
      <c r="H487" s="4">
        <f>SUMIFS(VolumesTable[Volume],VolumesTable[Products],$C487,VolumesTable[Period],EDATE($D487,-12))</f>
        <v>0</v>
      </c>
    </row>
    <row r="488" spans="1:8" x14ac:dyDescent="0.3">
      <c r="A488" t="s">
        <v>73</v>
      </c>
      <c r="B488" t="s">
        <v>11</v>
      </c>
      <c r="C488" t="s">
        <v>14</v>
      </c>
      <c r="D488" s="3">
        <v>43922</v>
      </c>
      <c r="E488">
        <v>16830</v>
      </c>
      <c r="F488">
        <v>2020</v>
      </c>
      <c r="G488">
        <v>4</v>
      </c>
      <c r="H488" s="4">
        <f>SUMIFS(VolumesTable[Volume],VolumesTable[Products],$C488,VolumesTable[Period],EDATE($D488,-12))</f>
        <v>0</v>
      </c>
    </row>
    <row r="489" spans="1:8" x14ac:dyDescent="0.3">
      <c r="A489" t="s">
        <v>73</v>
      </c>
      <c r="B489" t="s">
        <v>11</v>
      </c>
      <c r="C489" t="s">
        <v>14</v>
      </c>
      <c r="D489" s="3">
        <v>43952</v>
      </c>
      <c r="E489">
        <v>16065</v>
      </c>
      <c r="F489">
        <v>2020</v>
      </c>
      <c r="G489">
        <v>5</v>
      </c>
      <c r="H489" s="4">
        <f>SUMIFS(VolumesTable[Volume],VolumesTable[Products],$C489,VolumesTable[Period],EDATE($D489,-12))</f>
        <v>0</v>
      </c>
    </row>
    <row r="490" spans="1:8" x14ac:dyDescent="0.3">
      <c r="A490" t="s">
        <v>73</v>
      </c>
      <c r="B490" t="s">
        <v>11</v>
      </c>
      <c r="C490" t="s">
        <v>14</v>
      </c>
      <c r="D490" s="3">
        <v>43983</v>
      </c>
      <c r="E490">
        <v>16830</v>
      </c>
      <c r="F490">
        <v>2020</v>
      </c>
      <c r="G490">
        <v>6</v>
      </c>
      <c r="H490" s="4">
        <f>SUMIFS(VolumesTable[Volume],VolumesTable[Products],$C490,VolumesTable[Period],EDATE($D490,-12))</f>
        <v>0</v>
      </c>
    </row>
    <row r="491" spans="1:8" x14ac:dyDescent="0.3">
      <c r="A491" t="s">
        <v>73</v>
      </c>
      <c r="B491" t="s">
        <v>11</v>
      </c>
      <c r="C491" t="s">
        <v>14</v>
      </c>
      <c r="D491" s="3">
        <v>44013</v>
      </c>
      <c r="E491">
        <v>17595</v>
      </c>
      <c r="F491">
        <v>2020</v>
      </c>
      <c r="G491">
        <v>7</v>
      </c>
      <c r="H491" s="4">
        <f>SUMIFS(VolumesTable[Volume],VolumesTable[Products],$C491,VolumesTable[Period],EDATE($D491,-12))</f>
        <v>0</v>
      </c>
    </row>
    <row r="492" spans="1:8" x14ac:dyDescent="0.3">
      <c r="A492" t="s">
        <v>73</v>
      </c>
      <c r="B492" t="s">
        <v>11</v>
      </c>
      <c r="C492" t="s">
        <v>14</v>
      </c>
      <c r="D492" s="3">
        <v>44044</v>
      </c>
      <c r="E492">
        <v>16065</v>
      </c>
      <c r="F492">
        <v>2020</v>
      </c>
      <c r="G492">
        <v>8</v>
      </c>
      <c r="H492" s="4">
        <f>SUMIFS(VolumesTable[Volume],VolumesTable[Products],$C492,VolumesTable[Period],EDATE($D492,-12))</f>
        <v>0</v>
      </c>
    </row>
    <row r="493" spans="1:8" x14ac:dyDescent="0.3">
      <c r="A493" t="s">
        <v>73</v>
      </c>
      <c r="B493" t="s">
        <v>11</v>
      </c>
      <c r="C493" t="s">
        <v>14</v>
      </c>
      <c r="D493" s="3">
        <v>44075</v>
      </c>
      <c r="E493">
        <v>16830</v>
      </c>
      <c r="F493">
        <v>2020</v>
      </c>
      <c r="G493">
        <v>9</v>
      </c>
      <c r="H493" s="4">
        <f>SUMIFS(VolumesTable[Volume],VolumesTable[Products],$C493,VolumesTable[Period],EDATE($D493,-12))</f>
        <v>0</v>
      </c>
    </row>
    <row r="494" spans="1:8" x14ac:dyDescent="0.3">
      <c r="A494" t="s">
        <v>73</v>
      </c>
      <c r="B494" t="s">
        <v>11</v>
      </c>
      <c r="C494" t="s">
        <v>14</v>
      </c>
      <c r="D494" s="3">
        <v>44105</v>
      </c>
      <c r="E494">
        <v>16830</v>
      </c>
      <c r="F494">
        <v>2020</v>
      </c>
      <c r="G494">
        <v>10</v>
      </c>
      <c r="H494" s="4">
        <f>SUMIFS(VolumesTable[Volume],VolumesTable[Products],$C494,VolumesTable[Period],EDATE($D494,-12))</f>
        <v>0</v>
      </c>
    </row>
    <row r="495" spans="1:8" x14ac:dyDescent="0.3">
      <c r="A495" t="s">
        <v>73</v>
      </c>
      <c r="B495" t="s">
        <v>11</v>
      </c>
      <c r="C495" t="s">
        <v>14</v>
      </c>
      <c r="D495" s="3">
        <v>44136</v>
      </c>
      <c r="E495">
        <v>16065</v>
      </c>
      <c r="F495">
        <v>2020</v>
      </c>
      <c r="G495">
        <v>11</v>
      </c>
      <c r="H495" s="4">
        <f>SUMIFS(VolumesTable[Volume],VolumesTable[Products],$C495,VolumesTable[Period],EDATE($D495,-12))</f>
        <v>0</v>
      </c>
    </row>
    <row r="496" spans="1:8" x14ac:dyDescent="0.3">
      <c r="A496" t="s">
        <v>73</v>
      </c>
      <c r="B496" t="s">
        <v>11</v>
      </c>
      <c r="C496" t="s">
        <v>14</v>
      </c>
      <c r="D496" s="3">
        <v>44166</v>
      </c>
      <c r="E496">
        <v>17595</v>
      </c>
      <c r="F496">
        <v>2020</v>
      </c>
      <c r="G496">
        <v>12</v>
      </c>
      <c r="H496" s="4">
        <f>SUMIFS(VolumesTable[Volume],VolumesTable[Products],$C496,VolumesTable[Period],EDATE($D496,-12))</f>
        <v>0</v>
      </c>
    </row>
    <row r="497" spans="1:8" x14ac:dyDescent="0.3">
      <c r="A497" t="s">
        <v>21</v>
      </c>
      <c r="B497" t="s">
        <v>12</v>
      </c>
      <c r="C497" t="s">
        <v>17</v>
      </c>
      <c r="D497" s="3">
        <v>43831</v>
      </c>
      <c r="E497">
        <v>21045</v>
      </c>
      <c r="F497">
        <v>2020</v>
      </c>
      <c r="G497">
        <v>1</v>
      </c>
      <c r="H497" s="4">
        <f>SUMIFS(VolumesTable[Volume],VolumesTable[Products],$C497,VolumesTable[Period],EDATE($D497,-12))</f>
        <v>0</v>
      </c>
    </row>
    <row r="498" spans="1:8" x14ac:dyDescent="0.3">
      <c r="A498" t="s">
        <v>21</v>
      </c>
      <c r="B498" t="s">
        <v>12</v>
      </c>
      <c r="C498" t="s">
        <v>17</v>
      </c>
      <c r="D498" s="3">
        <v>43862</v>
      </c>
      <c r="E498">
        <v>18300</v>
      </c>
      <c r="F498">
        <v>2020</v>
      </c>
      <c r="G498">
        <v>2</v>
      </c>
      <c r="H498" s="4">
        <f>SUMIFS(VolumesTable[Volume],VolumesTable[Products],$C498,VolumesTable[Period],EDATE($D498,-12))</f>
        <v>0</v>
      </c>
    </row>
    <row r="499" spans="1:8" x14ac:dyDescent="0.3">
      <c r="A499" t="s">
        <v>21</v>
      </c>
      <c r="B499" t="s">
        <v>12</v>
      </c>
      <c r="C499" t="s">
        <v>17</v>
      </c>
      <c r="D499" s="3">
        <v>43891</v>
      </c>
      <c r="E499">
        <v>20130</v>
      </c>
      <c r="F499">
        <v>2020</v>
      </c>
      <c r="G499">
        <v>3</v>
      </c>
      <c r="H499" s="4">
        <f>SUMIFS(VolumesTable[Volume],VolumesTable[Products],$C499,VolumesTable[Period],EDATE($D499,-12))</f>
        <v>0</v>
      </c>
    </row>
    <row r="500" spans="1:8" x14ac:dyDescent="0.3">
      <c r="A500" t="s">
        <v>21</v>
      </c>
      <c r="B500" t="s">
        <v>12</v>
      </c>
      <c r="C500" t="s">
        <v>17</v>
      </c>
      <c r="D500" s="3">
        <v>43922</v>
      </c>
      <c r="E500">
        <v>20130</v>
      </c>
      <c r="F500">
        <v>2020</v>
      </c>
      <c r="G500">
        <v>4</v>
      </c>
      <c r="H500" s="4">
        <f>SUMIFS(VolumesTable[Volume],VolumesTable[Products],$C500,VolumesTable[Period],EDATE($D500,-12))</f>
        <v>0</v>
      </c>
    </row>
    <row r="501" spans="1:8" x14ac:dyDescent="0.3">
      <c r="A501" t="s">
        <v>21</v>
      </c>
      <c r="B501" t="s">
        <v>12</v>
      </c>
      <c r="C501" t="s">
        <v>17</v>
      </c>
      <c r="D501" s="3">
        <v>43952</v>
      </c>
      <c r="E501">
        <v>19215</v>
      </c>
      <c r="F501">
        <v>2020</v>
      </c>
      <c r="G501">
        <v>5</v>
      </c>
      <c r="H501" s="4">
        <f>SUMIFS(VolumesTable[Volume],VolumesTable[Products],$C501,VolumesTable[Period],EDATE($D501,-12))</f>
        <v>0</v>
      </c>
    </row>
    <row r="502" spans="1:8" x14ac:dyDescent="0.3">
      <c r="A502" t="s">
        <v>21</v>
      </c>
      <c r="B502" t="s">
        <v>12</v>
      </c>
      <c r="C502" t="s">
        <v>17</v>
      </c>
      <c r="D502" s="3">
        <v>43983</v>
      </c>
      <c r="E502">
        <v>20130</v>
      </c>
      <c r="F502">
        <v>2020</v>
      </c>
      <c r="G502">
        <v>6</v>
      </c>
      <c r="H502" s="4">
        <f>SUMIFS(VolumesTable[Volume],VolumesTable[Products],$C502,VolumesTable[Period],EDATE($D502,-12))</f>
        <v>0</v>
      </c>
    </row>
    <row r="503" spans="1:8" x14ac:dyDescent="0.3">
      <c r="A503" t="s">
        <v>21</v>
      </c>
      <c r="B503" t="s">
        <v>12</v>
      </c>
      <c r="C503" t="s">
        <v>17</v>
      </c>
      <c r="D503" s="3">
        <v>44013</v>
      </c>
      <c r="E503">
        <v>21045</v>
      </c>
      <c r="F503">
        <v>2020</v>
      </c>
      <c r="G503">
        <v>7</v>
      </c>
      <c r="H503" s="4">
        <f>SUMIFS(VolumesTable[Volume],VolumesTable[Products],$C503,VolumesTable[Period],EDATE($D503,-12))</f>
        <v>0</v>
      </c>
    </row>
    <row r="504" spans="1:8" x14ac:dyDescent="0.3">
      <c r="A504" t="s">
        <v>21</v>
      </c>
      <c r="B504" t="s">
        <v>12</v>
      </c>
      <c r="C504" t="s">
        <v>17</v>
      </c>
      <c r="D504" s="3">
        <v>44044</v>
      </c>
      <c r="E504">
        <v>19215</v>
      </c>
      <c r="F504">
        <v>2020</v>
      </c>
      <c r="G504">
        <v>8</v>
      </c>
      <c r="H504" s="4">
        <f>SUMIFS(VolumesTable[Volume],VolumesTable[Products],$C504,VolumesTable[Period],EDATE($D504,-12))</f>
        <v>0</v>
      </c>
    </row>
    <row r="505" spans="1:8" x14ac:dyDescent="0.3">
      <c r="A505" t="s">
        <v>21</v>
      </c>
      <c r="B505" t="s">
        <v>12</v>
      </c>
      <c r="C505" t="s">
        <v>17</v>
      </c>
      <c r="D505" s="3">
        <v>44075</v>
      </c>
      <c r="E505">
        <v>20130</v>
      </c>
      <c r="F505">
        <v>2020</v>
      </c>
      <c r="G505">
        <v>9</v>
      </c>
      <c r="H505" s="4">
        <f>SUMIFS(VolumesTable[Volume],VolumesTable[Products],$C505,VolumesTable[Period],EDATE($D505,-12))</f>
        <v>0</v>
      </c>
    </row>
    <row r="506" spans="1:8" x14ac:dyDescent="0.3">
      <c r="A506" t="s">
        <v>21</v>
      </c>
      <c r="B506" t="s">
        <v>12</v>
      </c>
      <c r="C506" t="s">
        <v>17</v>
      </c>
      <c r="D506" s="3">
        <v>44105</v>
      </c>
      <c r="E506">
        <v>20130</v>
      </c>
      <c r="F506">
        <v>2020</v>
      </c>
      <c r="G506">
        <v>10</v>
      </c>
      <c r="H506" s="4">
        <f>SUMIFS(VolumesTable[Volume],VolumesTable[Products],$C506,VolumesTable[Period],EDATE($D506,-12))</f>
        <v>0</v>
      </c>
    </row>
    <row r="507" spans="1:8" x14ac:dyDescent="0.3">
      <c r="A507" t="s">
        <v>21</v>
      </c>
      <c r="B507" t="s">
        <v>12</v>
      </c>
      <c r="C507" t="s">
        <v>17</v>
      </c>
      <c r="D507" s="3">
        <v>44136</v>
      </c>
      <c r="E507">
        <v>19215</v>
      </c>
      <c r="F507">
        <v>2020</v>
      </c>
      <c r="G507">
        <v>11</v>
      </c>
      <c r="H507" s="4">
        <f>SUMIFS(VolumesTable[Volume],VolumesTable[Products],$C507,VolumesTable[Period],EDATE($D507,-12))</f>
        <v>0</v>
      </c>
    </row>
    <row r="508" spans="1:8" x14ac:dyDescent="0.3">
      <c r="A508" t="s">
        <v>21</v>
      </c>
      <c r="B508" t="s">
        <v>12</v>
      </c>
      <c r="C508" t="s">
        <v>17</v>
      </c>
      <c r="D508" s="3">
        <v>44166</v>
      </c>
      <c r="E508">
        <v>21045</v>
      </c>
      <c r="F508">
        <v>2020</v>
      </c>
      <c r="G508">
        <v>12</v>
      </c>
      <c r="H508" s="4">
        <f>SUMIFS(VolumesTable[Volume],VolumesTable[Products],$C508,VolumesTable[Period],EDATE($D508,-12))</f>
        <v>0</v>
      </c>
    </row>
    <row r="509" spans="1:8" x14ac:dyDescent="0.3">
      <c r="A509" t="s">
        <v>21</v>
      </c>
      <c r="B509" t="s">
        <v>12</v>
      </c>
      <c r="C509" t="s">
        <v>19</v>
      </c>
      <c r="D509" s="3">
        <v>43831</v>
      </c>
      <c r="E509">
        <v>18975</v>
      </c>
      <c r="F509">
        <v>2020</v>
      </c>
      <c r="G509">
        <v>1</v>
      </c>
      <c r="H509" s="4">
        <f>SUMIFS(VolumesTable[Volume],VolumesTable[Products],$C509,VolumesTable[Period],EDATE($D509,-12))</f>
        <v>0</v>
      </c>
    </row>
    <row r="510" spans="1:8" x14ac:dyDescent="0.3">
      <c r="A510" t="s">
        <v>21</v>
      </c>
      <c r="B510" t="s">
        <v>12</v>
      </c>
      <c r="C510" t="s">
        <v>19</v>
      </c>
      <c r="D510" s="3">
        <v>43862</v>
      </c>
      <c r="E510">
        <v>16500</v>
      </c>
      <c r="F510">
        <v>2020</v>
      </c>
      <c r="G510">
        <v>2</v>
      </c>
      <c r="H510" s="4">
        <f>SUMIFS(VolumesTable[Volume],VolumesTable[Products],$C510,VolumesTable[Period],EDATE($D510,-12))</f>
        <v>0</v>
      </c>
    </row>
    <row r="511" spans="1:8" x14ac:dyDescent="0.3">
      <c r="A511" t="s">
        <v>21</v>
      </c>
      <c r="B511" t="s">
        <v>12</v>
      </c>
      <c r="C511" t="s">
        <v>19</v>
      </c>
      <c r="D511" s="3">
        <v>43891</v>
      </c>
      <c r="E511">
        <v>18150</v>
      </c>
      <c r="F511">
        <v>2020</v>
      </c>
      <c r="G511">
        <v>3</v>
      </c>
      <c r="H511" s="4">
        <f>SUMIFS(VolumesTable[Volume],VolumesTable[Products],$C511,VolumesTable[Period],EDATE($D511,-12))</f>
        <v>0</v>
      </c>
    </row>
    <row r="512" spans="1:8" x14ac:dyDescent="0.3">
      <c r="A512" t="s">
        <v>21</v>
      </c>
      <c r="B512" t="s">
        <v>12</v>
      </c>
      <c r="C512" t="s">
        <v>19</v>
      </c>
      <c r="D512" s="3">
        <v>43922</v>
      </c>
      <c r="E512">
        <v>18150</v>
      </c>
      <c r="F512">
        <v>2020</v>
      </c>
      <c r="G512">
        <v>4</v>
      </c>
      <c r="H512" s="4">
        <f>SUMIFS(VolumesTable[Volume],VolumesTable[Products],$C512,VolumesTable[Period],EDATE($D512,-12))</f>
        <v>0</v>
      </c>
    </row>
    <row r="513" spans="1:8" x14ac:dyDescent="0.3">
      <c r="A513" t="s">
        <v>21</v>
      </c>
      <c r="B513" t="s">
        <v>12</v>
      </c>
      <c r="C513" t="s">
        <v>19</v>
      </c>
      <c r="D513" s="3">
        <v>43952</v>
      </c>
      <c r="E513">
        <v>17325</v>
      </c>
      <c r="F513">
        <v>2020</v>
      </c>
      <c r="G513">
        <v>5</v>
      </c>
      <c r="H513" s="4">
        <f>SUMIFS(VolumesTable[Volume],VolumesTable[Products],$C513,VolumesTable[Period],EDATE($D513,-12))</f>
        <v>0</v>
      </c>
    </row>
    <row r="514" spans="1:8" x14ac:dyDescent="0.3">
      <c r="A514" t="s">
        <v>21</v>
      </c>
      <c r="B514" t="s">
        <v>12</v>
      </c>
      <c r="C514" t="s">
        <v>19</v>
      </c>
      <c r="D514" s="3">
        <v>43983</v>
      </c>
      <c r="E514">
        <v>18150</v>
      </c>
      <c r="F514">
        <v>2020</v>
      </c>
      <c r="G514">
        <v>6</v>
      </c>
      <c r="H514" s="4">
        <f>SUMIFS(VolumesTable[Volume],VolumesTable[Products],$C514,VolumesTable[Period],EDATE($D514,-12))</f>
        <v>0</v>
      </c>
    </row>
    <row r="515" spans="1:8" x14ac:dyDescent="0.3">
      <c r="A515" t="s">
        <v>21</v>
      </c>
      <c r="B515" t="s">
        <v>12</v>
      </c>
      <c r="C515" t="s">
        <v>19</v>
      </c>
      <c r="D515" s="3">
        <v>44013</v>
      </c>
      <c r="E515">
        <v>18975</v>
      </c>
      <c r="F515">
        <v>2020</v>
      </c>
      <c r="G515">
        <v>7</v>
      </c>
      <c r="H515" s="4">
        <f>SUMIFS(VolumesTable[Volume],VolumesTable[Products],$C515,VolumesTable[Period],EDATE($D515,-12))</f>
        <v>0</v>
      </c>
    </row>
    <row r="516" spans="1:8" x14ac:dyDescent="0.3">
      <c r="A516" t="s">
        <v>21</v>
      </c>
      <c r="B516" t="s">
        <v>12</v>
      </c>
      <c r="C516" t="s">
        <v>19</v>
      </c>
      <c r="D516" s="3">
        <v>44044</v>
      </c>
      <c r="E516">
        <v>17325</v>
      </c>
      <c r="F516">
        <v>2020</v>
      </c>
      <c r="G516">
        <v>8</v>
      </c>
      <c r="H516" s="4">
        <f>SUMIFS(VolumesTable[Volume],VolumesTable[Products],$C516,VolumesTable[Period],EDATE($D516,-12))</f>
        <v>0</v>
      </c>
    </row>
    <row r="517" spans="1:8" x14ac:dyDescent="0.3">
      <c r="A517" t="s">
        <v>21</v>
      </c>
      <c r="B517" t="s">
        <v>12</v>
      </c>
      <c r="C517" t="s">
        <v>19</v>
      </c>
      <c r="D517" s="3">
        <v>44075</v>
      </c>
      <c r="E517">
        <v>18150</v>
      </c>
      <c r="F517">
        <v>2020</v>
      </c>
      <c r="G517">
        <v>9</v>
      </c>
      <c r="H517" s="4">
        <f>SUMIFS(VolumesTable[Volume],VolumesTable[Products],$C517,VolumesTable[Period],EDATE($D517,-12))</f>
        <v>0</v>
      </c>
    </row>
    <row r="518" spans="1:8" x14ac:dyDescent="0.3">
      <c r="A518" t="s">
        <v>21</v>
      </c>
      <c r="B518" t="s">
        <v>12</v>
      </c>
      <c r="C518" t="s">
        <v>19</v>
      </c>
      <c r="D518" s="3">
        <v>44105</v>
      </c>
      <c r="E518">
        <v>18150</v>
      </c>
      <c r="F518">
        <v>2020</v>
      </c>
      <c r="G518">
        <v>10</v>
      </c>
      <c r="H518" s="4">
        <f>SUMIFS(VolumesTable[Volume],VolumesTable[Products],$C518,VolumesTable[Period],EDATE($D518,-12))</f>
        <v>0</v>
      </c>
    </row>
    <row r="519" spans="1:8" x14ac:dyDescent="0.3">
      <c r="A519" t="s">
        <v>21</v>
      </c>
      <c r="B519" t="s">
        <v>12</v>
      </c>
      <c r="C519" t="s">
        <v>19</v>
      </c>
      <c r="D519" s="3">
        <v>44136</v>
      </c>
      <c r="E519">
        <v>17325</v>
      </c>
      <c r="F519">
        <v>2020</v>
      </c>
      <c r="G519">
        <v>11</v>
      </c>
      <c r="H519" s="4">
        <f>SUMIFS(VolumesTable[Volume],VolumesTable[Products],$C519,VolumesTable[Period],EDATE($D519,-12))</f>
        <v>0</v>
      </c>
    </row>
    <row r="520" spans="1:8" x14ac:dyDescent="0.3">
      <c r="A520" t="s">
        <v>21</v>
      </c>
      <c r="B520" t="s">
        <v>12</v>
      </c>
      <c r="C520" t="s">
        <v>19</v>
      </c>
      <c r="D520" s="3">
        <v>44166</v>
      </c>
      <c r="E520">
        <v>18975</v>
      </c>
      <c r="F520">
        <v>2020</v>
      </c>
      <c r="G520">
        <v>12</v>
      </c>
      <c r="H520" s="4">
        <f>SUMIFS(VolumesTable[Volume],VolumesTable[Products],$C520,VolumesTable[Period],EDATE($D520,-12))</f>
        <v>0</v>
      </c>
    </row>
    <row r="521" spans="1:8" x14ac:dyDescent="0.3">
      <c r="A521" t="s">
        <v>21</v>
      </c>
      <c r="B521" t="s">
        <v>12</v>
      </c>
      <c r="C521" t="s">
        <v>18</v>
      </c>
      <c r="D521" s="3">
        <v>43831</v>
      </c>
      <c r="E521">
        <v>15640</v>
      </c>
      <c r="F521">
        <v>2020</v>
      </c>
      <c r="G521">
        <v>1</v>
      </c>
      <c r="H521" s="4">
        <f>SUMIFS(VolumesTable[Volume],VolumesTable[Products],$C521,VolumesTable[Period],EDATE($D521,-12))</f>
        <v>0</v>
      </c>
    </row>
    <row r="522" spans="1:8" x14ac:dyDescent="0.3">
      <c r="A522" t="s">
        <v>21</v>
      </c>
      <c r="B522" t="s">
        <v>12</v>
      </c>
      <c r="C522" t="s">
        <v>18</v>
      </c>
      <c r="D522" s="3">
        <v>43862</v>
      </c>
      <c r="E522">
        <v>13600</v>
      </c>
      <c r="F522">
        <v>2020</v>
      </c>
      <c r="G522">
        <v>2</v>
      </c>
      <c r="H522" s="4">
        <f>SUMIFS(VolumesTable[Volume],VolumesTable[Products],$C522,VolumesTable[Period],EDATE($D522,-12))</f>
        <v>0</v>
      </c>
    </row>
    <row r="523" spans="1:8" x14ac:dyDescent="0.3">
      <c r="A523" t="s">
        <v>21</v>
      </c>
      <c r="B523" t="s">
        <v>12</v>
      </c>
      <c r="C523" t="s">
        <v>18</v>
      </c>
      <c r="D523" s="3">
        <v>43891</v>
      </c>
      <c r="E523">
        <v>14960</v>
      </c>
      <c r="F523">
        <v>2020</v>
      </c>
      <c r="G523">
        <v>3</v>
      </c>
      <c r="H523" s="4">
        <f>SUMIFS(VolumesTable[Volume],VolumesTable[Products],$C523,VolumesTable[Period],EDATE($D523,-12))</f>
        <v>0</v>
      </c>
    </row>
    <row r="524" spans="1:8" x14ac:dyDescent="0.3">
      <c r="A524" t="s">
        <v>21</v>
      </c>
      <c r="B524" t="s">
        <v>12</v>
      </c>
      <c r="C524" t="s">
        <v>18</v>
      </c>
      <c r="D524" s="3">
        <v>43922</v>
      </c>
      <c r="E524">
        <v>14960</v>
      </c>
      <c r="F524">
        <v>2020</v>
      </c>
      <c r="G524">
        <v>4</v>
      </c>
      <c r="H524" s="4">
        <f>SUMIFS(VolumesTable[Volume],VolumesTable[Products],$C524,VolumesTable[Period],EDATE($D524,-12))</f>
        <v>0</v>
      </c>
    </row>
    <row r="525" spans="1:8" x14ac:dyDescent="0.3">
      <c r="A525" t="s">
        <v>21</v>
      </c>
      <c r="B525" t="s">
        <v>12</v>
      </c>
      <c r="C525" t="s">
        <v>18</v>
      </c>
      <c r="D525" s="3">
        <v>43952</v>
      </c>
      <c r="E525">
        <v>14280</v>
      </c>
      <c r="F525">
        <v>2020</v>
      </c>
      <c r="G525">
        <v>5</v>
      </c>
      <c r="H525" s="4">
        <f>SUMIFS(VolumesTable[Volume],VolumesTable[Products],$C525,VolumesTable[Period],EDATE($D525,-12))</f>
        <v>0</v>
      </c>
    </row>
    <row r="526" spans="1:8" x14ac:dyDescent="0.3">
      <c r="A526" t="s">
        <v>21</v>
      </c>
      <c r="B526" t="s">
        <v>12</v>
      </c>
      <c r="C526" t="s">
        <v>18</v>
      </c>
      <c r="D526" s="3">
        <v>43983</v>
      </c>
      <c r="E526">
        <v>14960</v>
      </c>
      <c r="F526">
        <v>2020</v>
      </c>
      <c r="G526">
        <v>6</v>
      </c>
      <c r="H526" s="4">
        <f>SUMIFS(VolumesTable[Volume],VolumesTable[Products],$C526,VolumesTable[Period],EDATE($D526,-12))</f>
        <v>0</v>
      </c>
    </row>
    <row r="527" spans="1:8" x14ac:dyDescent="0.3">
      <c r="A527" t="s">
        <v>21</v>
      </c>
      <c r="B527" t="s">
        <v>12</v>
      </c>
      <c r="C527" t="s">
        <v>18</v>
      </c>
      <c r="D527" s="3">
        <v>44013</v>
      </c>
      <c r="E527">
        <v>15640</v>
      </c>
      <c r="F527">
        <v>2020</v>
      </c>
      <c r="G527">
        <v>7</v>
      </c>
      <c r="H527" s="4">
        <f>SUMIFS(VolumesTable[Volume],VolumesTable[Products],$C527,VolumesTable[Period],EDATE($D527,-12))</f>
        <v>0</v>
      </c>
    </row>
    <row r="528" spans="1:8" x14ac:dyDescent="0.3">
      <c r="A528" t="s">
        <v>21</v>
      </c>
      <c r="B528" t="s">
        <v>12</v>
      </c>
      <c r="C528" t="s">
        <v>18</v>
      </c>
      <c r="D528" s="3">
        <v>44044</v>
      </c>
      <c r="E528">
        <v>14280</v>
      </c>
      <c r="F528">
        <v>2020</v>
      </c>
      <c r="G528">
        <v>8</v>
      </c>
      <c r="H528" s="4">
        <f>SUMIFS(VolumesTable[Volume],VolumesTable[Products],$C528,VolumesTable[Period],EDATE($D528,-12))</f>
        <v>0</v>
      </c>
    </row>
    <row r="529" spans="1:8" x14ac:dyDescent="0.3">
      <c r="A529" t="s">
        <v>21</v>
      </c>
      <c r="B529" t="s">
        <v>12</v>
      </c>
      <c r="C529" t="s">
        <v>18</v>
      </c>
      <c r="D529" s="3">
        <v>44075</v>
      </c>
      <c r="E529">
        <v>14960</v>
      </c>
      <c r="F529">
        <v>2020</v>
      </c>
      <c r="G529">
        <v>9</v>
      </c>
      <c r="H529" s="4">
        <f>SUMIFS(VolumesTable[Volume],VolumesTable[Products],$C529,VolumesTable[Period],EDATE($D529,-12))</f>
        <v>0</v>
      </c>
    </row>
    <row r="530" spans="1:8" x14ac:dyDescent="0.3">
      <c r="A530" t="s">
        <v>21</v>
      </c>
      <c r="B530" t="s">
        <v>12</v>
      </c>
      <c r="C530" t="s">
        <v>18</v>
      </c>
      <c r="D530" s="3">
        <v>44105</v>
      </c>
      <c r="E530">
        <v>14960</v>
      </c>
      <c r="F530">
        <v>2020</v>
      </c>
      <c r="G530">
        <v>10</v>
      </c>
      <c r="H530" s="4">
        <f>SUMIFS(VolumesTable[Volume],VolumesTable[Products],$C530,VolumesTable[Period],EDATE($D530,-12))</f>
        <v>0</v>
      </c>
    </row>
    <row r="531" spans="1:8" x14ac:dyDescent="0.3">
      <c r="A531" t="s">
        <v>21</v>
      </c>
      <c r="B531" t="s">
        <v>12</v>
      </c>
      <c r="C531" t="s">
        <v>18</v>
      </c>
      <c r="D531" s="3">
        <v>44136</v>
      </c>
      <c r="E531">
        <v>14280</v>
      </c>
      <c r="F531">
        <v>2020</v>
      </c>
      <c r="G531">
        <v>11</v>
      </c>
      <c r="H531" s="4">
        <f>SUMIFS(VolumesTable[Volume],VolumesTable[Products],$C531,VolumesTable[Period],EDATE($D531,-12))</f>
        <v>0</v>
      </c>
    </row>
    <row r="532" spans="1:8" x14ac:dyDescent="0.3">
      <c r="A532" t="s">
        <v>21</v>
      </c>
      <c r="B532" t="s">
        <v>12</v>
      </c>
      <c r="C532" t="s">
        <v>18</v>
      </c>
      <c r="D532" s="3">
        <v>44166</v>
      </c>
      <c r="E532">
        <v>15640</v>
      </c>
      <c r="F532">
        <v>2020</v>
      </c>
      <c r="G532">
        <v>12</v>
      </c>
      <c r="H532" s="4">
        <f>SUMIFS(VolumesTable[Volume],VolumesTable[Products],$C532,VolumesTable[Period],EDATE($D532,-12))</f>
        <v>0</v>
      </c>
    </row>
  </sheetData>
  <sheetProtection algorithmName="SHA-512" hashValue="2zAzKBZtD0Ii9s8CFYjmUUHgMsAnOgRJr4ehT+PfV6ZAyCiq/f9FbaMdmWYNTEH7hvrItV+KSAH0rnqAcuJplQ==" saltValue="78+JjHkOwIdIqhFhU82DTw==" spinCount="100000" sheet="1" objects="1" scenarios="1" autoFilter="0"/>
  <phoneticPr fontId="5"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65FF7-DF71-4CCA-B4DA-77B4C9CF043D}">
  <dimension ref="A1:AI51"/>
  <sheetViews>
    <sheetView showGridLines="0" workbookViewId="0">
      <pane xSplit="9" ySplit="4" topLeftCell="Y11" activePane="bottomRight" state="frozen"/>
      <selection pane="topRight" activeCell="I1" sqref="I1"/>
      <selection pane="bottomLeft" activeCell="A5" sqref="A5"/>
      <selection pane="bottomRight" activeCell="I4" sqref="I4"/>
    </sheetView>
  </sheetViews>
  <sheetFormatPr defaultRowHeight="14.4" outlineLevelCol="1" x14ac:dyDescent="0.3"/>
  <cols>
    <col min="1" max="1" width="16.88671875" customWidth="1"/>
    <col min="2" max="2" width="8.77734375" bestFit="1" customWidth="1"/>
    <col min="6" max="8" width="12.33203125" bestFit="1" customWidth="1"/>
    <col min="9" max="9" width="13" bestFit="1" customWidth="1"/>
    <col min="10" max="10" width="3.44140625" customWidth="1"/>
    <col min="11" max="14" width="10.33203125" bestFit="1" customWidth="1"/>
    <col min="15" max="15" width="3.44140625" customWidth="1"/>
    <col min="16" max="16" width="13.88671875" customWidth="1" outlineLevel="1"/>
    <col min="17" max="18" width="12.33203125" customWidth="1" outlineLevel="1"/>
    <col min="19" max="19" width="12.44140625" customWidth="1" outlineLevel="1"/>
    <col min="20" max="20" width="3.44140625" customWidth="1"/>
    <col min="21" max="21" width="13.88671875" customWidth="1" outlineLevel="1"/>
    <col min="22" max="23" width="12.33203125" customWidth="1" outlineLevel="1"/>
    <col min="24" max="24" width="12.44140625" customWidth="1" outlineLevel="1"/>
    <col min="25" max="25" width="3.44140625" customWidth="1"/>
    <col min="26" max="26" width="12.6640625" customWidth="1" outlineLevel="1"/>
    <col min="27" max="28" width="12.33203125" customWidth="1" outlineLevel="1"/>
    <col min="29" max="29" width="12.44140625" customWidth="1" outlineLevel="1"/>
    <col min="30" max="30" width="3.44140625" customWidth="1"/>
    <col min="31" max="31" width="13.44140625" bestFit="1" customWidth="1"/>
    <col min="32" max="33" width="12.33203125" bestFit="1" customWidth="1"/>
    <col min="34" max="34" width="12.44140625" bestFit="1" customWidth="1"/>
    <col min="35" max="35" width="3.44140625" customWidth="1"/>
  </cols>
  <sheetData>
    <row r="1" spans="1:34" x14ac:dyDescent="0.3">
      <c r="A1" s="12" t="s">
        <v>3</v>
      </c>
      <c r="B1" s="12"/>
    </row>
    <row r="2" spans="1:34" x14ac:dyDescent="0.3">
      <c r="A2" s="12" t="s">
        <v>74</v>
      </c>
      <c r="B2" s="12"/>
      <c r="P2">
        <v>2020</v>
      </c>
      <c r="Q2">
        <v>2020</v>
      </c>
      <c r="R2">
        <v>2020</v>
      </c>
      <c r="S2">
        <v>2020</v>
      </c>
      <c r="U2">
        <v>2021</v>
      </c>
      <c r="V2">
        <v>2021</v>
      </c>
      <c r="W2">
        <v>2021</v>
      </c>
      <c r="X2">
        <v>2021</v>
      </c>
      <c r="Z2">
        <v>2022</v>
      </c>
      <c r="AA2">
        <v>2022</v>
      </c>
      <c r="AB2">
        <v>2022</v>
      </c>
      <c r="AC2">
        <v>2022</v>
      </c>
      <c r="AE2">
        <v>2023</v>
      </c>
      <c r="AF2">
        <v>2023</v>
      </c>
      <c r="AG2">
        <v>2023</v>
      </c>
      <c r="AH2">
        <v>2023</v>
      </c>
    </row>
    <row r="3" spans="1:34" x14ac:dyDescent="0.3">
      <c r="F3" s="25" t="s">
        <v>90</v>
      </c>
      <c r="G3" s="25"/>
      <c r="H3" s="25"/>
      <c r="I3" s="25"/>
      <c r="K3" s="44" t="s">
        <v>106</v>
      </c>
      <c r="L3" s="44"/>
      <c r="M3" s="44"/>
      <c r="N3" s="44"/>
      <c r="P3" s="43" t="s">
        <v>108</v>
      </c>
      <c r="Q3" s="43"/>
      <c r="R3" s="43"/>
      <c r="S3" s="43"/>
      <c r="U3" s="43" t="s">
        <v>108</v>
      </c>
      <c r="V3" s="43"/>
      <c r="W3" s="43"/>
      <c r="X3" s="43"/>
      <c r="Z3" s="43" t="s">
        <v>108</v>
      </c>
      <c r="AA3" s="43"/>
      <c r="AB3" s="43"/>
      <c r="AC3" s="43"/>
      <c r="AE3" s="43" t="s">
        <v>107</v>
      </c>
      <c r="AF3" s="43"/>
      <c r="AG3" s="43"/>
      <c r="AH3" s="43"/>
    </row>
    <row r="4" spans="1:34" x14ac:dyDescent="0.3">
      <c r="A4" s="21" t="s">
        <v>75</v>
      </c>
      <c r="B4" s="21" t="s">
        <v>154</v>
      </c>
      <c r="C4" s="21" t="s">
        <v>105</v>
      </c>
      <c r="D4" s="21" t="s">
        <v>94</v>
      </c>
      <c r="E4" s="21"/>
      <c r="F4" s="21">
        <v>2020</v>
      </c>
      <c r="G4" s="21">
        <v>2021</v>
      </c>
      <c r="H4" s="21">
        <v>2022</v>
      </c>
      <c r="I4" s="21">
        <v>2023</v>
      </c>
      <c r="K4" s="28" t="str">
        <f>F4&amp;" Share"</f>
        <v>2020 Share</v>
      </c>
      <c r="L4" s="28" t="str">
        <f t="shared" ref="L4:N4" si="0">G4&amp;" Share"</f>
        <v>2021 Share</v>
      </c>
      <c r="M4" s="28" t="str">
        <f t="shared" si="0"/>
        <v>2022 Share</v>
      </c>
      <c r="N4" s="28" t="str">
        <f t="shared" si="0"/>
        <v>2023 Share</v>
      </c>
      <c r="P4" s="70" t="s">
        <v>78</v>
      </c>
      <c r="Q4" s="21" t="s">
        <v>6</v>
      </c>
      <c r="R4" s="21" t="s">
        <v>73</v>
      </c>
      <c r="S4" s="21" t="s">
        <v>21</v>
      </c>
      <c r="U4" s="70" t="s">
        <v>78</v>
      </c>
      <c r="V4" s="21" t="s">
        <v>6</v>
      </c>
      <c r="W4" s="21" t="s">
        <v>73</v>
      </c>
      <c r="X4" s="21" t="s">
        <v>21</v>
      </c>
      <c r="Z4" s="70" t="s">
        <v>78</v>
      </c>
      <c r="AA4" s="21" t="s">
        <v>6</v>
      </c>
      <c r="AB4" s="21" t="s">
        <v>73</v>
      </c>
      <c r="AC4" s="21" t="s">
        <v>21</v>
      </c>
      <c r="AE4" s="70" t="s">
        <v>78</v>
      </c>
      <c r="AF4" s="21" t="s">
        <v>6</v>
      </c>
      <c r="AG4" s="21" t="s">
        <v>73</v>
      </c>
      <c r="AH4" s="21" t="s">
        <v>21</v>
      </c>
    </row>
    <row r="5" spans="1:34" ht="6.6" customHeight="1" x14ac:dyDescent="0.3">
      <c r="A5" s="33"/>
      <c r="B5" s="33"/>
      <c r="C5" s="33"/>
      <c r="D5" s="33"/>
      <c r="E5" s="33"/>
      <c r="F5" s="33"/>
      <c r="G5" s="33"/>
      <c r="H5" s="33"/>
      <c r="I5" s="33"/>
      <c r="K5" s="33"/>
      <c r="L5" s="33"/>
      <c r="M5" s="33"/>
      <c r="N5" s="33"/>
      <c r="P5" s="71"/>
      <c r="Q5" s="33"/>
      <c r="R5" s="33"/>
      <c r="S5" s="33"/>
      <c r="U5" s="71"/>
      <c r="V5" s="33"/>
      <c r="W5" s="33"/>
      <c r="X5" s="33"/>
      <c r="Z5" s="71"/>
      <c r="AA5" s="33"/>
      <c r="AB5" s="33"/>
      <c r="AC5" s="33"/>
      <c r="AE5" s="71"/>
      <c r="AF5" s="66"/>
      <c r="AG5" s="66"/>
      <c r="AH5" s="66"/>
    </row>
    <row r="6" spans="1:34" x14ac:dyDescent="0.3">
      <c r="C6" s="28" t="s">
        <v>102</v>
      </c>
      <c r="D6" s="33"/>
      <c r="E6" s="33"/>
      <c r="F6" s="33"/>
      <c r="G6" s="33"/>
      <c r="H6" s="33"/>
      <c r="I6" s="33"/>
      <c r="K6" s="33"/>
      <c r="L6" s="33"/>
      <c r="M6" s="33"/>
      <c r="N6" s="33"/>
      <c r="P6" s="71"/>
      <c r="Q6" s="33"/>
      <c r="R6" s="33"/>
      <c r="S6" s="33"/>
      <c r="U6" s="71"/>
      <c r="V6" s="33"/>
      <c r="W6" s="33"/>
      <c r="X6" s="33"/>
      <c r="Z6" s="71"/>
      <c r="AA6" s="33"/>
      <c r="AB6" s="33"/>
      <c r="AC6" s="33"/>
      <c r="AE6" s="71"/>
      <c r="AF6" s="33"/>
      <c r="AG6" s="33"/>
      <c r="AH6" s="33"/>
    </row>
    <row r="7" spans="1:34" x14ac:dyDescent="0.3">
      <c r="A7" s="33"/>
      <c r="B7" s="33"/>
      <c r="C7" t="s">
        <v>116</v>
      </c>
      <c r="D7" s="33"/>
      <c r="E7" s="33"/>
      <c r="F7" s="35">
        <v>120000</v>
      </c>
      <c r="G7" s="36">
        <f>F7*1.03</f>
        <v>123600</v>
      </c>
      <c r="H7" s="36">
        <f t="shared" ref="H7:I7" si="1">G7*1.03</f>
        <v>127308</v>
      </c>
      <c r="I7" s="36">
        <f t="shared" si="1"/>
        <v>131127.24</v>
      </c>
      <c r="K7" s="33"/>
      <c r="L7" s="33"/>
      <c r="M7" s="33"/>
      <c r="N7" s="33"/>
      <c r="P7" s="71"/>
      <c r="Q7" s="39">
        <f>SUMIFS($F7:$I7,$F$4:$I$4,Q$2)</f>
        <v>120000</v>
      </c>
      <c r="R7" s="39">
        <f t="shared" ref="R7:S10" si="2">SUMIFS($F7:$I7,$F$4:$I$4,R$2)</f>
        <v>120000</v>
      </c>
      <c r="S7" s="39">
        <f t="shared" si="2"/>
        <v>120000</v>
      </c>
      <c r="U7" s="71"/>
      <c r="V7" s="39">
        <f>SUMIFS($F7:$I7,$F$4:$I$4,V$2)</f>
        <v>123600</v>
      </c>
      <c r="W7" s="39">
        <f t="shared" ref="W7:X10" si="3">SUMIFS($F7:$I7,$F$4:$I$4,W$2)</f>
        <v>123600</v>
      </c>
      <c r="X7" s="39">
        <f t="shared" si="3"/>
        <v>123600</v>
      </c>
      <c r="Z7" s="71"/>
      <c r="AA7" s="39">
        <f>SUMIFS($F7:$I7,$F$4:$I$4,AA$2)</f>
        <v>127308</v>
      </c>
      <c r="AB7" s="39">
        <f t="shared" ref="AB7:AC10" si="4">SUMIFS($F7:$I7,$F$4:$I$4,AB$2)</f>
        <v>127308</v>
      </c>
      <c r="AC7" s="39">
        <f t="shared" si="4"/>
        <v>127308</v>
      </c>
      <c r="AE7" s="71"/>
      <c r="AF7" s="39">
        <f>SUMIFS($F7:$I7,$F$4:$I$4,AF$2)</f>
        <v>131127.24</v>
      </c>
      <c r="AG7" s="39">
        <f t="shared" ref="AG7:AH10" si="5">SUMIFS($F7:$I7,$F$4:$I$4,AG$2)</f>
        <v>131127.24</v>
      </c>
      <c r="AH7" s="39">
        <f t="shared" si="5"/>
        <v>131127.24</v>
      </c>
    </row>
    <row r="8" spans="1:34" x14ac:dyDescent="0.3">
      <c r="A8" s="33"/>
      <c r="B8" s="33"/>
      <c r="C8" t="s">
        <v>117</v>
      </c>
      <c r="D8" s="33"/>
      <c r="E8" s="33"/>
      <c r="F8" s="35">
        <v>70000</v>
      </c>
      <c r="G8" s="36">
        <f>F8*1.03</f>
        <v>72100</v>
      </c>
      <c r="H8" s="36">
        <f t="shared" ref="H8:I8" si="6">G8*1.03</f>
        <v>74263</v>
      </c>
      <c r="I8" s="36">
        <f t="shared" si="6"/>
        <v>76490.89</v>
      </c>
      <c r="K8" s="33"/>
      <c r="L8" s="33"/>
      <c r="M8" s="33"/>
      <c r="N8" s="33"/>
      <c r="P8" s="71"/>
      <c r="Q8" s="39">
        <f t="shared" ref="Q8:Q10" si="7">SUMIFS($F8:$I8,$F$4:$I$4,Q$2)</f>
        <v>70000</v>
      </c>
      <c r="R8" s="39">
        <f t="shared" si="2"/>
        <v>70000</v>
      </c>
      <c r="S8" s="39">
        <f t="shared" si="2"/>
        <v>70000</v>
      </c>
      <c r="U8" s="71"/>
      <c r="V8" s="39">
        <f t="shared" ref="V8:V10" si="8">SUMIFS($F8:$I8,$F$4:$I$4,V$2)</f>
        <v>72100</v>
      </c>
      <c r="W8" s="39">
        <f t="shared" si="3"/>
        <v>72100</v>
      </c>
      <c r="X8" s="39">
        <f t="shared" si="3"/>
        <v>72100</v>
      </c>
      <c r="Z8" s="71"/>
      <c r="AA8" s="39">
        <f t="shared" ref="AA8:AA10" si="9">SUMIFS($F8:$I8,$F$4:$I$4,AA$2)</f>
        <v>74263</v>
      </c>
      <c r="AB8" s="39">
        <f t="shared" si="4"/>
        <v>74263</v>
      </c>
      <c r="AC8" s="39">
        <f t="shared" si="4"/>
        <v>74263</v>
      </c>
      <c r="AE8" s="71"/>
      <c r="AF8" s="39">
        <f t="shared" ref="AF8:AF10" si="10">SUMIFS($F8:$I8,$F$4:$I$4,AF$2)</f>
        <v>76490.89</v>
      </c>
      <c r="AG8" s="39">
        <f t="shared" si="5"/>
        <v>76490.89</v>
      </c>
      <c r="AH8" s="39">
        <f t="shared" si="5"/>
        <v>76490.89</v>
      </c>
    </row>
    <row r="9" spans="1:34" x14ac:dyDescent="0.3">
      <c r="A9" s="33"/>
      <c r="B9" s="33"/>
      <c r="C9" t="s">
        <v>101</v>
      </c>
      <c r="D9" s="33"/>
      <c r="E9" s="33"/>
      <c r="F9" s="35">
        <v>25</v>
      </c>
      <c r="G9" s="35">
        <v>25</v>
      </c>
      <c r="H9" s="35">
        <v>25</v>
      </c>
      <c r="I9" s="35">
        <v>25</v>
      </c>
      <c r="K9" s="33"/>
      <c r="L9" s="33"/>
      <c r="M9" s="33"/>
      <c r="N9" s="33"/>
      <c r="P9" s="71"/>
      <c r="Q9" s="39">
        <f t="shared" si="7"/>
        <v>25</v>
      </c>
      <c r="R9" s="39">
        <f t="shared" si="2"/>
        <v>25</v>
      </c>
      <c r="S9" s="39">
        <f t="shared" si="2"/>
        <v>25</v>
      </c>
      <c r="U9" s="71"/>
      <c r="V9" s="39">
        <f t="shared" si="8"/>
        <v>25</v>
      </c>
      <c r="W9" s="39">
        <f t="shared" si="3"/>
        <v>25</v>
      </c>
      <c r="X9" s="39">
        <f t="shared" si="3"/>
        <v>25</v>
      </c>
      <c r="Z9" s="71"/>
      <c r="AA9" s="39">
        <f t="shared" si="9"/>
        <v>25</v>
      </c>
      <c r="AB9" s="39">
        <f t="shared" si="4"/>
        <v>25</v>
      </c>
      <c r="AC9" s="39">
        <f t="shared" si="4"/>
        <v>25</v>
      </c>
      <c r="AE9" s="71"/>
      <c r="AF9" s="39">
        <f t="shared" si="10"/>
        <v>25</v>
      </c>
      <c r="AG9" s="39">
        <f t="shared" si="5"/>
        <v>25</v>
      </c>
      <c r="AH9" s="39">
        <f t="shared" si="5"/>
        <v>25</v>
      </c>
    </row>
    <row r="10" spans="1:34" x14ac:dyDescent="0.3">
      <c r="A10" s="33"/>
      <c r="B10" s="33"/>
      <c r="C10" t="s">
        <v>131</v>
      </c>
      <c r="D10" s="33"/>
      <c r="E10" s="33"/>
      <c r="F10" s="35">
        <v>5300</v>
      </c>
      <c r="G10" s="35">
        <f>F10*1.05</f>
        <v>5565</v>
      </c>
      <c r="H10" s="35">
        <f t="shared" ref="H10:I10" si="11">G10*1.05</f>
        <v>5843.25</v>
      </c>
      <c r="I10" s="35">
        <f t="shared" si="11"/>
        <v>6135.4125000000004</v>
      </c>
      <c r="K10" s="33"/>
      <c r="L10" s="33"/>
      <c r="M10" s="33"/>
      <c r="N10" s="33"/>
      <c r="P10" s="71"/>
      <c r="Q10" s="39">
        <f t="shared" si="7"/>
        <v>5300</v>
      </c>
      <c r="R10" s="39">
        <f t="shared" si="2"/>
        <v>5300</v>
      </c>
      <c r="S10" s="39">
        <f t="shared" si="2"/>
        <v>5300</v>
      </c>
      <c r="U10" s="71"/>
      <c r="V10" s="39">
        <f t="shared" si="8"/>
        <v>5565</v>
      </c>
      <c r="W10" s="39">
        <f t="shared" si="3"/>
        <v>5565</v>
      </c>
      <c r="X10" s="39">
        <f t="shared" si="3"/>
        <v>5565</v>
      </c>
      <c r="Z10" s="71"/>
      <c r="AA10" s="39">
        <f t="shared" si="9"/>
        <v>5843.25</v>
      </c>
      <c r="AB10" s="39">
        <f t="shared" si="4"/>
        <v>5843.25</v>
      </c>
      <c r="AC10" s="39">
        <f t="shared" si="4"/>
        <v>5843.25</v>
      </c>
      <c r="AE10" s="71"/>
      <c r="AF10" s="39">
        <f t="shared" si="10"/>
        <v>6135.4125000000004</v>
      </c>
      <c r="AG10" s="39">
        <f t="shared" si="5"/>
        <v>6135.4125000000004</v>
      </c>
      <c r="AH10" s="39">
        <f t="shared" si="5"/>
        <v>6135.4125000000004</v>
      </c>
    </row>
    <row r="11" spans="1:34" x14ac:dyDescent="0.3">
      <c r="C11" t="s">
        <v>99</v>
      </c>
      <c r="D11" s="33"/>
      <c r="E11" s="33"/>
      <c r="F11" s="34">
        <v>6</v>
      </c>
      <c r="G11" s="34">
        <v>6</v>
      </c>
      <c r="H11" s="34">
        <v>7</v>
      </c>
      <c r="I11" s="34">
        <v>6</v>
      </c>
      <c r="K11" s="33"/>
      <c r="L11" s="33"/>
      <c r="M11" s="33"/>
      <c r="N11" s="33"/>
      <c r="P11" s="72">
        <f t="shared" ref="P11:P12" si="12">SUM(Q11:S11)</f>
        <v>6</v>
      </c>
      <c r="Q11" s="38">
        <v>1.5</v>
      </c>
      <c r="R11" s="38">
        <v>1</v>
      </c>
      <c r="S11" s="38">
        <v>3.5</v>
      </c>
      <c r="U11" s="72">
        <f t="shared" ref="U11" si="13">SUM(V11:X11)</f>
        <v>6</v>
      </c>
      <c r="V11" s="38">
        <v>1.5</v>
      </c>
      <c r="W11" s="38">
        <v>1</v>
      </c>
      <c r="X11" s="38">
        <v>3.5</v>
      </c>
      <c r="Z11" s="72">
        <f t="shared" ref="Z11:Z12" si="14">SUM(AA11:AC11)</f>
        <v>7</v>
      </c>
      <c r="AA11" s="38">
        <v>2</v>
      </c>
      <c r="AB11" s="38">
        <v>1.25</v>
      </c>
      <c r="AC11" s="38">
        <v>3.75</v>
      </c>
      <c r="AE11" s="72">
        <f t="shared" ref="AE11:AE12" si="15">SUM(AF11:AH11)</f>
        <v>6</v>
      </c>
      <c r="AF11" s="38">
        <v>1.5</v>
      </c>
      <c r="AG11" s="38">
        <v>1</v>
      </c>
      <c r="AH11" s="38">
        <v>3.5</v>
      </c>
    </row>
    <row r="12" spans="1:34" x14ac:dyDescent="0.3">
      <c r="C12" t="s">
        <v>100</v>
      </c>
      <c r="D12" s="33"/>
      <c r="E12" s="33"/>
      <c r="F12" s="34">
        <v>115</v>
      </c>
      <c r="G12" s="34">
        <v>117</v>
      </c>
      <c r="H12" s="34">
        <v>120</v>
      </c>
      <c r="I12" s="34">
        <v>115</v>
      </c>
      <c r="K12" s="33"/>
      <c r="L12" s="33"/>
      <c r="M12" s="33"/>
      <c r="N12" s="33"/>
      <c r="P12" s="72">
        <f t="shared" si="12"/>
        <v>115</v>
      </c>
      <c r="Q12" s="38">
        <v>27.75</v>
      </c>
      <c r="R12" s="38">
        <v>20.25</v>
      </c>
      <c r="S12" s="38">
        <v>67</v>
      </c>
      <c r="U12" s="72">
        <f t="shared" ref="U12" si="16">SUM(V12:X12)</f>
        <v>117</v>
      </c>
      <c r="V12" s="38">
        <v>29</v>
      </c>
      <c r="W12" s="38">
        <v>20</v>
      </c>
      <c r="X12" s="38">
        <v>68</v>
      </c>
      <c r="Z12" s="72">
        <f t="shared" si="14"/>
        <v>120</v>
      </c>
      <c r="AA12" s="38">
        <v>30</v>
      </c>
      <c r="AB12" s="38">
        <v>21</v>
      </c>
      <c r="AC12" s="38">
        <v>69</v>
      </c>
      <c r="AE12" s="72">
        <f t="shared" si="15"/>
        <v>115</v>
      </c>
      <c r="AF12" s="38">
        <v>28.5</v>
      </c>
      <c r="AG12" s="38">
        <f>115-28.5-65.88</f>
        <v>20.620000000000005</v>
      </c>
      <c r="AH12" s="38">
        <v>65.88</v>
      </c>
    </row>
    <row r="13" spans="1:34" x14ac:dyDescent="0.3">
      <c r="C13" t="s">
        <v>103</v>
      </c>
      <c r="D13" s="33"/>
      <c r="E13" s="33"/>
      <c r="F13" s="37">
        <v>35000</v>
      </c>
      <c r="G13" s="37">
        <v>35000</v>
      </c>
      <c r="H13" s="37">
        <v>35000</v>
      </c>
      <c r="I13" s="37">
        <v>35000</v>
      </c>
      <c r="K13" s="33"/>
      <c r="L13" s="33"/>
      <c r="M13" s="33"/>
      <c r="N13" s="33"/>
      <c r="P13" s="73"/>
      <c r="Q13" s="33"/>
      <c r="R13" s="33"/>
      <c r="S13" s="33"/>
      <c r="U13" s="73"/>
      <c r="V13" s="33"/>
      <c r="W13" s="33"/>
      <c r="X13" s="33"/>
      <c r="Z13" s="73"/>
      <c r="AA13" s="33"/>
      <c r="AB13" s="33"/>
      <c r="AC13" s="33"/>
      <c r="AE13" s="73"/>
      <c r="AF13" s="33"/>
      <c r="AG13" s="33"/>
      <c r="AH13" s="33"/>
    </row>
    <row r="14" spans="1:34" x14ac:dyDescent="0.3">
      <c r="A14" s="33"/>
      <c r="B14" s="33"/>
      <c r="C14" s="33"/>
      <c r="D14" s="33"/>
      <c r="E14" s="33"/>
      <c r="F14" s="33"/>
      <c r="G14" s="33"/>
      <c r="H14" s="33"/>
      <c r="I14" s="33"/>
      <c r="K14" s="33"/>
      <c r="L14" s="33"/>
      <c r="M14" s="33"/>
      <c r="N14" s="33"/>
      <c r="P14" s="71"/>
      <c r="Q14" s="33"/>
      <c r="R14" s="33"/>
      <c r="S14" s="33"/>
      <c r="U14" s="71"/>
      <c r="V14" s="33"/>
      <c r="W14" s="33"/>
      <c r="X14" s="33"/>
      <c r="Z14" s="71"/>
      <c r="AA14" s="33"/>
      <c r="AB14" s="33"/>
      <c r="AC14" s="33"/>
      <c r="AE14" s="71"/>
      <c r="AF14" s="33"/>
      <c r="AG14" s="33"/>
      <c r="AH14" s="33"/>
    </row>
    <row r="15" spans="1:34" x14ac:dyDescent="0.3">
      <c r="A15" t="s">
        <v>84</v>
      </c>
      <c r="B15" t="s">
        <v>149</v>
      </c>
      <c r="C15" t="s">
        <v>79</v>
      </c>
      <c r="D15" t="s">
        <v>95</v>
      </c>
      <c r="F15" s="18">
        <f>F$11*F$7</f>
        <v>720000</v>
      </c>
      <c r="G15" s="18">
        <f>G$11*G$7</f>
        <v>741600</v>
      </c>
      <c r="H15" s="18">
        <f>H$11*H$7</f>
        <v>891156</v>
      </c>
      <c r="I15" s="18">
        <f>I$11*I$7</f>
        <v>786763.44</v>
      </c>
      <c r="K15" s="8">
        <f t="shared" ref="K15:N17" si="17">F15/F$31</f>
        <v>2.4460173609719311E-2</v>
      </c>
      <c r="L15" s="8">
        <f t="shared" si="17"/>
        <v>2.4579058623876177E-2</v>
      </c>
      <c r="M15" s="8">
        <f t="shared" si="17"/>
        <v>2.868972185369445E-2</v>
      </c>
      <c r="N15" s="8">
        <f t="shared" si="17"/>
        <v>2.5563629739915647E-2</v>
      </c>
      <c r="P15" s="73">
        <f>SUM(Q15:S15)</f>
        <v>720000</v>
      </c>
      <c r="Q15" s="18">
        <f t="shared" ref="Q15:S15" si="18">Q$11*Q$7</f>
        <v>180000</v>
      </c>
      <c r="R15" s="18">
        <f t="shared" si="18"/>
        <v>120000</v>
      </c>
      <c r="S15" s="18">
        <f t="shared" si="18"/>
        <v>420000</v>
      </c>
      <c r="U15" s="73">
        <f>SUM(V15:X15)</f>
        <v>741600</v>
      </c>
      <c r="V15" s="18">
        <f t="shared" ref="V15:X15" si="19">V$11*V$7</f>
        <v>185400</v>
      </c>
      <c r="W15" s="18">
        <f t="shared" si="19"/>
        <v>123600</v>
      </c>
      <c r="X15" s="18">
        <f t="shared" si="19"/>
        <v>432600</v>
      </c>
      <c r="Z15" s="73">
        <f>SUM(AA15:AC15)</f>
        <v>891156</v>
      </c>
      <c r="AA15" s="18">
        <f t="shared" ref="AA15:AC15" si="20">AA$11*AA$7</f>
        <v>254616</v>
      </c>
      <c r="AB15" s="18">
        <f t="shared" si="20"/>
        <v>159135</v>
      </c>
      <c r="AC15" s="18">
        <f t="shared" si="20"/>
        <v>477405</v>
      </c>
      <c r="AE15" s="73">
        <f>SUM(AF15:AH15)</f>
        <v>786763.44</v>
      </c>
      <c r="AF15" s="67">
        <f t="shared" ref="AF15:AH15" si="21">AF$11*AF$7</f>
        <v>196690.86</v>
      </c>
      <c r="AG15" s="67">
        <f t="shared" si="21"/>
        <v>131127.24</v>
      </c>
      <c r="AH15" s="67">
        <f t="shared" si="21"/>
        <v>458945.33999999997</v>
      </c>
    </row>
    <row r="16" spans="1:34" x14ac:dyDescent="0.3">
      <c r="A16" t="s">
        <v>85</v>
      </c>
      <c r="B16" t="s">
        <v>149</v>
      </c>
      <c r="C16" t="s">
        <v>79</v>
      </c>
      <c r="D16" t="s">
        <v>96</v>
      </c>
      <c r="F16" s="4">
        <f>F$12*F$8</f>
        <v>8050000</v>
      </c>
      <c r="G16" s="4">
        <f>G$12*G$8</f>
        <v>8435700</v>
      </c>
      <c r="H16" s="4">
        <f>H$12*H$8</f>
        <v>8911560</v>
      </c>
      <c r="I16" s="4">
        <f>I$12*I$8</f>
        <v>8796452.3499999996</v>
      </c>
      <c r="K16" s="8">
        <f t="shared" si="17"/>
        <v>0.27347832994200061</v>
      </c>
      <c r="L16" s="8">
        <f t="shared" si="17"/>
        <v>0.27958679184659152</v>
      </c>
      <c r="M16" s="8">
        <f t="shared" si="17"/>
        <v>0.2868972185369445</v>
      </c>
      <c r="N16" s="8">
        <f t="shared" si="17"/>
        <v>0.28581558250877914</v>
      </c>
      <c r="P16" s="73">
        <f t="shared" ref="P16:P29" si="22">SUM(Q16:S16)</f>
        <v>8050000</v>
      </c>
      <c r="Q16" s="4">
        <f t="shared" ref="Q16:S16" si="23">Q$12*Q$8</f>
        <v>1942500</v>
      </c>
      <c r="R16" s="4">
        <f t="shared" si="23"/>
        <v>1417500</v>
      </c>
      <c r="S16" s="4">
        <f t="shared" si="23"/>
        <v>4690000</v>
      </c>
      <c r="U16" s="73">
        <f t="shared" ref="U16:U29" si="24">SUM(V16:X16)</f>
        <v>8435700</v>
      </c>
      <c r="V16" s="4">
        <f t="shared" ref="V16:X16" si="25">V$12*V$8</f>
        <v>2090900</v>
      </c>
      <c r="W16" s="4">
        <f t="shared" si="25"/>
        <v>1442000</v>
      </c>
      <c r="X16" s="4">
        <f t="shared" si="25"/>
        <v>4902800</v>
      </c>
      <c r="Z16" s="73">
        <f t="shared" ref="Z16:Z29" si="26">SUM(AA16:AC16)</f>
        <v>8911560</v>
      </c>
      <c r="AA16" s="4">
        <f t="shared" ref="AA16:AC16" si="27">AA$12*AA$8</f>
        <v>2227890</v>
      </c>
      <c r="AB16" s="4">
        <f t="shared" si="27"/>
        <v>1559523</v>
      </c>
      <c r="AC16" s="4">
        <f t="shared" si="27"/>
        <v>5124147</v>
      </c>
      <c r="AE16" s="73">
        <f t="shared" ref="AE16:AE29" si="28">SUM(AF16:AH16)</f>
        <v>8796452.3499999996</v>
      </c>
      <c r="AF16" s="68">
        <f t="shared" ref="AF16:AH16" si="29">AF$12*AF$8</f>
        <v>2179990.3649999998</v>
      </c>
      <c r="AG16" s="68">
        <f t="shared" si="29"/>
        <v>1577242.1518000003</v>
      </c>
      <c r="AH16" s="68">
        <f t="shared" si="29"/>
        <v>5039219.8331999993</v>
      </c>
    </row>
    <row r="17" spans="1:35" x14ac:dyDescent="0.3">
      <c r="A17" t="s">
        <v>81</v>
      </c>
      <c r="B17" t="s">
        <v>150</v>
      </c>
      <c r="C17" t="s">
        <v>91</v>
      </c>
      <c r="D17" t="s">
        <v>95</v>
      </c>
      <c r="E17" t="s">
        <v>6</v>
      </c>
      <c r="F17" s="4">
        <f>P17</f>
        <v>1018000</v>
      </c>
      <c r="G17" s="4">
        <f>U17</f>
        <v>1018000</v>
      </c>
      <c r="H17" s="4">
        <f>Z17</f>
        <v>1018000</v>
      </c>
      <c r="I17" s="4">
        <v>868000</v>
      </c>
      <c r="J17" s="4"/>
      <c r="K17" s="8">
        <f t="shared" si="17"/>
        <v>3.4583967687075355E-2</v>
      </c>
      <c r="L17" s="8">
        <f t="shared" si="17"/>
        <v>3.3739862026841892E-2</v>
      </c>
      <c r="M17" s="8">
        <f t="shared" si="17"/>
        <v>3.2773315611476499E-2</v>
      </c>
      <c r="N17" s="8">
        <f t="shared" si="17"/>
        <v>2.8203179616794069E-2</v>
      </c>
      <c r="O17" s="4"/>
      <c r="P17" s="73">
        <f t="shared" si="22"/>
        <v>1018000</v>
      </c>
      <c r="Q17" s="47">
        <f>V17</f>
        <v>1018000</v>
      </c>
      <c r="R17" s="47">
        <f t="shared" ref="R17" si="30">W17</f>
        <v>0</v>
      </c>
      <c r="S17" s="47">
        <f t="shared" ref="S17" si="31">X17</f>
        <v>0</v>
      </c>
      <c r="T17" s="4"/>
      <c r="U17" s="73">
        <f t="shared" si="24"/>
        <v>1018000</v>
      </c>
      <c r="V17" s="47">
        <f>AA17</f>
        <v>1018000</v>
      </c>
      <c r="W17" s="47">
        <f t="shared" ref="W17:X17" si="32">AB17</f>
        <v>0</v>
      </c>
      <c r="X17" s="47">
        <f t="shared" si="32"/>
        <v>0</v>
      </c>
      <c r="Y17" s="4"/>
      <c r="Z17" s="73">
        <f t="shared" si="26"/>
        <v>1018000</v>
      </c>
      <c r="AA17" s="47">
        <f>AF17+150000</f>
        <v>1018000</v>
      </c>
      <c r="AB17" s="47">
        <f>AG17</f>
        <v>0</v>
      </c>
      <c r="AC17" s="47">
        <f t="shared" ref="AC17:AC19" si="33">AH17</f>
        <v>0</v>
      </c>
      <c r="AD17" s="4"/>
      <c r="AE17" s="73">
        <f t="shared" si="28"/>
        <v>868000</v>
      </c>
      <c r="AF17" s="68">
        <v>868000</v>
      </c>
      <c r="AG17" s="68">
        <v>0</v>
      </c>
      <c r="AH17" s="68">
        <v>0</v>
      </c>
      <c r="AI17" s="4"/>
    </row>
    <row r="18" spans="1:35" x14ac:dyDescent="0.3">
      <c r="A18" t="s">
        <v>81</v>
      </c>
      <c r="B18" t="s">
        <v>150</v>
      </c>
      <c r="C18" t="s">
        <v>91</v>
      </c>
      <c r="D18" t="s">
        <v>95</v>
      </c>
      <c r="E18" t="s">
        <v>73</v>
      </c>
      <c r="F18" s="4">
        <f t="shared" ref="F18:F19" si="34">P18</f>
        <v>724000</v>
      </c>
      <c r="G18" s="4">
        <f t="shared" ref="G18:G19" si="35">U18</f>
        <v>724000</v>
      </c>
      <c r="H18" s="4">
        <f t="shared" ref="H18:H19" si="36">Z18</f>
        <v>724000</v>
      </c>
      <c r="I18" s="4">
        <v>624000</v>
      </c>
      <c r="J18" s="4"/>
      <c r="K18" s="8">
        <f t="shared" ref="K18:K19" si="37">F18/F$31</f>
        <v>2.4596063463106641E-2</v>
      </c>
      <c r="L18" s="8">
        <f t="shared" ref="L18:L19" si="38">G18/G$31</f>
        <v>2.399573684423726E-2</v>
      </c>
      <c r="M18" s="8">
        <f t="shared" ref="M18:M19" si="39">H18/H$31</f>
        <v>2.3308330552759316E-2</v>
      </c>
      <c r="N18" s="8">
        <f t="shared" ref="N18:N19" si="40">I18/I$31</f>
        <v>2.0275096867372694E-2</v>
      </c>
      <c r="O18" s="4"/>
      <c r="P18" s="73">
        <f t="shared" ref="P18:P19" si="41">SUM(Q18:S18)</f>
        <v>724000</v>
      </c>
      <c r="Q18" s="47">
        <f t="shared" ref="Q18:Q19" si="42">V18</f>
        <v>0</v>
      </c>
      <c r="R18" s="47">
        <f t="shared" ref="R18:R19" si="43">W18</f>
        <v>724000</v>
      </c>
      <c r="S18" s="47">
        <f t="shared" ref="S18:S19" si="44">X18</f>
        <v>0</v>
      </c>
      <c r="T18" s="4"/>
      <c r="U18" s="73">
        <f t="shared" si="24"/>
        <v>724000</v>
      </c>
      <c r="V18" s="47">
        <f t="shared" ref="V18:V19" si="45">AA18</f>
        <v>0</v>
      </c>
      <c r="W18" s="47">
        <f t="shared" ref="W18:W19" si="46">AB18</f>
        <v>724000</v>
      </c>
      <c r="X18" s="47">
        <f t="shared" ref="X18:X19" si="47">AC18</f>
        <v>0</v>
      </c>
      <c r="Y18" s="4"/>
      <c r="Z18" s="73">
        <f t="shared" si="26"/>
        <v>724000</v>
      </c>
      <c r="AA18" s="47">
        <f t="shared" ref="AA18:AA19" si="48">AF18</f>
        <v>0</v>
      </c>
      <c r="AB18" s="47">
        <f t="shared" ref="AB18" si="49">AG18+100000</f>
        <v>724000</v>
      </c>
      <c r="AC18" s="47">
        <f t="shared" si="33"/>
        <v>0</v>
      </c>
      <c r="AD18" s="4"/>
      <c r="AE18" s="73">
        <f t="shared" si="28"/>
        <v>624000</v>
      </c>
      <c r="AF18" s="68">
        <v>0</v>
      </c>
      <c r="AG18" s="68">
        <v>624000</v>
      </c>
      <c r="AH18" s="68">
        <v>0</v>
      </c>
      <c r="AI18" s="4"/>
    </row>
    <row r="19" spans="1:35" x14ac:dyDescent="0.3">
      <c r="A19" t="s">
        <v>81</v>
      </c>
      <c r="B19" t="s">
        <v>150</v>
      </c>
      <c r="C19" t="s">
        <v>91</v>
      </c>
      <c r="D19" t="s">
        <v>95</v>
      </c>
      <c r="E19" t="s">
        <v>21</v>
      </c>
      <c r="F19" s="4">
        <f t="shared" si="34"/>
        <v>2008000</v>
      </c>
      <c r="G19" s="4">
        <f t="shared" si="35"/>
        <v>2008000</v>
      </c>
      <c r="H19" s="4">
        <f t="shared" si="36"/>
        <v>2008000</v>
      </c>
      <c r="I19" s="4">
        <v>2008000</v>
      </c>
      <c r="J19" s="4"/>
      <c r="K19" s="8">
        <f t="shared" si="37"/>
        <v>6.8216706400439406E-2</v>
      </c>
      <c r="L19" s="8">
        <f t="shared" si="38"/>
        <v>6.6551712131530966E-2</v>
      </c>
      <c r="M19" s="8">
        <f t="shared" si="39"/>
        <v>6.4645204074503748E-2</v>
      </c>
      <c r="N19" s="8">
        <f t="shared" si="40"/>
        <v>6.5244221970648025E-2</v>
      </c>
      <c r="O19" s="4"/>
      <c r="P19" s="73">
        <f t="shared" si="41"/>
        <v>2008000</v>
      </c>
      <c r="Q19" s="47">
        <f t="shared" si="42"/>
        <v>0</v>
      </c>
      <c r="R19" s="47">
        <f t="shared" si="43"/>
        <v>0</v>
      </c>
      <c r="S19" s="47">
        <f t="shared" si="44"/>
        <v>2008000</v>
      </c>
      <c r="T19" s="4"/>
      <c r="U19" s="73">
        <f t="shared" si="24"/>
        <v>2008000</v>
      </c>
      <c r="V19" s="47">
        <f t="shared" si="45"/>
        <v>0</v>
      </c>
      <c r="W19" s="47">
        <f t="shared" si="46"/>
        <v>0</v>
      </c>
      <c r="X19" s="47">
        <f t="shared" si="47"/>
        <v>2008000</v>
      </c>
      <c r="Y19" s="4"/>
      <c r="Z19" s="73">
        <f t="shared" si="26"/>
        <v>2008000</v>
      </c>
      <c r="AA19" s="47">
        <f t="shared" si="48"/>
        <v>0</v>
      </c>
      <c r="AB19" s="47">
        <f>AG19</f>
        <v>0</v>
      </c>
      <c r="AC19" s="47">
        <f t="shared" si="33"/>
        <v>2008000</v>
      </c>
      <c r="AD19" s="4"/>
      <c r="AE19" s="73">
        <f t="shared" si="28"/>
        <v>2008000</v>
      </c>
      <c r="AF19" s="68">
        <v>0</v>
      </c>
      <c r="AG19" s="68">
        <v>0</v>
      </c>
      <c r="AH19" s="68">
        <v>2008000</v>
      </c>
      <c r="AI19" s="4"/>
    </row>
    <row r="20" spans="1:35" x14ac:dyDescent="0.3">
      <c r="A20" t="s">
        <v>82</v>
      </c>
      <c r="B20" t="s">
        <v>150</v>
      </c>
      <c r="C20" t="s">
        <v>92</v>
      </c>
      <c r="D20" t="s">
        <v>95</v>
      </c>
      <c r="F20" s="4">
        <f>ROUND(F17*0.35,0)</f>
        <v>356300</v>
      </c>
      <c r="G20" s="4">
        <f>ROUND(F20*1.05,0)</f>
        <v>374115</v>
      </c>
      <c r="H20" s="4">
        <f t="shared" ref="H20:I20" si="50">ROUND(G20*1.05,0)</f>
        <v>392821</v>
      </c>
      <c r="I20" s="4">
        <f t="shared" si="50"/>
        <v>412462</v>
      </c>
      <c r="J20" s="4"/>
      <c r="K20" s="8">
        <f t="shared" ref="K20:N23" si="51">F20/F$31</f>
        <v>1.2104388690476375E-2</v>
      </c>
      <c r="L20" s="8">
        <f t="shared" si="51"/>
        <v>1.2399399294864395E-2</v>
      </c>
      <c r="M20" s="8">
        <f t="shared" si="51"/>
        <v>1.2646411210035177E-2</v>
      </c>
      <c r="N20" s="8">
        <f t="shared" si="51"/>
        <v>1.340177404504852E-2</v>
      </c>
      <c r="O20" s="4"/>
      <c r="P20" s="73">
        <f t="shared" si="22"/>
        <v>356300</v>
      </c>
      <c r="Q20" s="46">
        <f t="shared" ref="Q20:Q21" si="52">ROUND(AF20/$AE20*SUMIFS($F20:$I20,$F$4:$I$4,Q$2),2)</f>
        <v>88362.4</v>
      </c>
      <c r="R20" s="46">
        <f t="shared" ref="R20:R21" si="53">ROUND(AG20/$AE20*SUMIFS($F20:$I20,$F$4:$I$4,R$2),2)</f>
        <v>63523.199999999997</v>
      </c>
      <c r="S20" s="46">
        <f t="shared" ref="S20:S21" si="54">ROUND(AH20/$AE20*SUMIFS($F20:$I20,$F$4:$I$4,S$2),2)</f>
        <v>204414.4</v>
      </c>
      <c r="T20" s="4"/>
      <c r="U20" s="73">
        <f t="shared" si="24"/>
        <v>374115</v>
      </c>
      <c r="V20" s="46">
        <f t="shared" ref="V20:X21" si="55">ROUND(AF20/$AE20*SUMIFS($F20:$I20,$F$4:$I$4,V$2),2)</f>
        <v>92780.52</v>
      </c>
      <c r="W20" s="46">
        <f t="shared" si="55"/>
        <v>66699.360000000001</v>
      </c>
      <c r="X20" s="46">
        <f t="shared" si="55"/>
        <v>214635.12</v>
      </c>
      <c r="Y20" s="4"/>
      <c r="Z20" s="73">
        <f t="shared" si="26"/>
        <v>392821</v>
      </c>
      <c r="AA20" s="46">
        <f t="shared" ref="AA20:AC21" si="56">ROUND(AF20/$AE20*SUMIFS($F20:$I20,$F$4:$I$4,AA$2),2)</f>
        <v>97419.61</v>
      </c>
      <c r="AB20" s="46">
        <f t="shared" si="56"/>
        <v>70034.37</v>
      </c>
      <c r="AC20" s="46">
        <f t="shared" si="56"/>
        <v>225367.02</v>
      </c>
      <c r="AD20" s="4"/>
      <c r="AE20" s="73">
        <f t="shared" si="28"/>
        <v>412462</v>
      </c>
      <c r="AF20" s="68">
        <f>SUM(AF17:AF19)/SUM($AE17:$AE19)*$I20</f>
        <v>102290.576</v>
      </c>
      <c r="AG20" s="68">
        <f>SUM(AG17:AG19)/SUM($AE17:$AE19)*$I20</f>
        <v>73536.082285714292</v>
      </c>
      <c r="AH20" s="68">
        <f>SUM(AH17:AH19)/SUM($AE17:$AE19)*$I20</f>
        <v>236635.34171428572</v>
      </c>
      <c r="AI20" s="4"/>
    </row>
    <row r="21" spans="1:35" x14ac:dyDescent="0.3">
      <c r="A21" t="s">
        <v>83</v>
      </c>
      <c r="B21" t="s">
        <v>83</v>
      </c>
      <c r="C21" t="s">
        <v>93</v>
      </c>
      <c r="D21" t="s">
        <v>95</v>
      </c>
      <c r="F21" s="4">
        <f>F$13*F$9</f>
        <v>875000</v>
      </c>
      <c r="G21" s="4">
        <f t="shared" ref="G21:I21" si="57">G$13*G$9</f>
        <v>875000</v>
      </c>
      <c r="H21" s="4">
        <f t="shared" si="57"/>
        <v>875000</v>
      </c>
      <c r="I21" s="4">
        <f t="shared" si="57"/>
        <v>875000</v>
      </c>
      <c r="J21" s="4"/>
      <c r="K21" s="8">
        <f t="shared" si="51"/>
        <v>2.972590542847833E-2</v>
      </c>
      <c r="L21" s="8">
        <f t="shared" si="51"/>
        <v>2.9000372567275695E-2</v>
      </c>
      <c r="M21" s="8">
        <f t="shared" si="51"/>
        <v>2.8169598389039232E-2</v>
      </c>
      <c r="N21" s="8">
        <f t="shared" si="51"/>
        <v>2.8430624613703701E-2</v>
      </c>
      <c r="O21" s="4"/>
      <c r="P21" s="73">
        <f t="shared" si="22"/>
        <v>875000</v>
      </c>
      <c r="Q21" s="46">
        <f t="shared" si="52"/>
        <v>215000</v>
      </c>
      <c r="R21" s="46">
        <f t="shared" si="53"/>
        <v>160000</v>
      </c>
      <c r="S21" s="46">
        <f t="shared" si="54"/>
        <v>500000</v>
      </c>
      <c r="T21" s="4"/>
      <c r="U21" s="73">
        <f t="shared" si="24"/>
        <v>875000</v>
      </c>
      <c r="V21" s="46">
        <f t="shared" si="55"/>
        <v>215000</v>
      </c>
      <c r="W21" s="46">
        <f t="shared" si="55"/>
        <v>160000</v>
      </c>
      <c r="X21" s="46">
        <f t="shared" si="55"/>
        <v>500000</v>
      </c>
      <c r="Y21" s="4"/>
      <c r="Z21" s="73">
        <f t="shared" si="26"/>
        <v>875000</v>
      </c>
      <c r="AA21" s="46">
        <f t="shared" si="56"/>
        <v>215000</v>
      </c>
      <c r="AB21" s="46">
        <f t="shared" si="56"/>
        <v>160000</v>
      </c>
      <c r="AC21" s="46">
        <f t="shared" si="56"/>
        <v>500000</v>
      </c>
      <c r="AD21" s="4"/>
      <c r="AE21" s="73">
        <f t="shared" si="28"/>
        <v>875000</v>
      </c>
      <c r="AF21" s="68">
        <v>215000</v>
      </c>
      <c r="AG21" s="68">
        <v>160000</v>
      </c>
      <c r="AH21" s="68">
        <v>500000</v>
      </c>
      <c r="AI21" s="4"/>
    </row>
    <row r="22" spans="1:35" x14ac:dyDescent="0.3">
      <c r="A22" t="s">
        <v>20</v>
      </c>
      <c r="B22" t="s">
        <v>20</v>
      </c>
      <c r="D22" t="s">
        <v>96</v>
      </c>
      <c r="F22" s="4">
        <f>P22</f>
        <v>13691407.648116898</v>
      </c>
      <c r="G22" s="4">
        <f>U22</f>
        <v>14175449.168634763</v>
      </c>
      <c r="H22" s="4">
        <f>Z22</f>
        <v>14328434.939801451</v>
      </c>
      <c r="I22" s="4">
        <f>AE22</f>
        <v>14456608.998840172</v>
      </c>
      <c r="J22" s="4"/>
      <c r="K22" s="8">
        <f t="shared" si="51"/>
        <v>0.46513084449219178</v>
      </c>
      <c r="L22" s="8">
        <f t="shared" si="51"/>
        <v>0.46982092251301327</v>
      </c>
      <c r="M22" s="8">
        <f t="shared" si="51"/>
        <v>0.46128715176878216</v>
      </c>
      <c r="N22" s="8">
        <f t="shared" si="51"/>
        <v>0.46972619843784658</v>
      </c>
      <c r="O22" s="4"/>
      <c r="P22" s="73">
        <f t="shared" si="22"/>
        <v>13691407.648116898</v>
      </c>
      <c r="Q22" s="4" cm="1">
        <f t="array" ref="Q22">SUMPRODUCT(ProductRatesTable[Materials CPU],ProductRatesTable[Volume]*(ProductRatesTable[Department Name]=Q$4)*(ProductRatesTable[Year]=Q$2))</f>
        <v>3398548.4175052051</v>
      </c>
      <c r="R22" s="4" cm="1">
        <f t="array" ref="R22">SUMPRODUCT(ProductRatesTable[Materials CPU],ProductRatesTable[Volume]*(ProductRatesTable[Department Name]=R$4)*(ProductRatesTable[Year]=R$2))</f>
        <v>2445004.8082998614</v>
      </c>
      <c r="S22" s="4" cm="1">
        <f t="array" ref="S22">SUMPRODUCT(ProductRatesTable[Materials CPU],ProductRatesTable[Volume]*(ProductRatesTable[Department Name]=S$4)*(ProductRatesTable[Year]=S$2))</f>
        <v>7847854.4223118322</v>
      </c>
      <c r="T22" s="4"/>
      <c r="U22" s="73">
        <f t="shared" si="24"/>
        <v>14175449.168634763</v>
      </c>
      <c r="V22" s="4" cm="1">
        <f t="array" ref="V22">SUMPRODUCT(ProductRatesTable[Materials CPU],ProductRatesTable[Volume]*(ProductRatesTable[Department Name]=V$4)*(ProductRatesTable[Year]=V$2))</f>
        <v>3492162.9592998261</v>
      </c>
      <c r="W22" s="4" cm="1">
        <f t="array" ref="W22">SUMPRODUCT(ProductRatesTable[Materials CPU],ProductRatesTable[Volume]*(ProductRatesTable[Department Name]=W$4)*(ProductRatesTable[Year]=W$2))</f>
        <v>2496454.3729760656</v>
      </c>
      <c r="X22" s="4" cm="1">
        <f t="array" ref="X22">SUMPRODUCT(ProductRatesTable[Materials CPU],ProductRatesTable[Volume]*(ProductRatesTable[Department Name]=X$4)*(ProductRatesTable[Year]=X$2))</f>
        <v>8186831.8363588713</v>
      </c>
      <c r="Y22" s="4"/>
      <c r="Z22" s="73">
        <f t="shared" si="26"/>
        <v>14328434.939801451</v>
      </c>
      <c r="AA22" s="4" cm="1">
        <f t="array" ref="AA22">SUMPRODUCT(ProductRatesTable[Materials CPU],ProductRatesTable[Volume]*(ProductRatesTable[Department Name]=AA$4)*(ProductRatesTable[Year]=AA$2))</f>
        <v>3563152.7306065368</v>
      </c>
      <c r="AB22" s="4" cm="1">
        <f t="array" ref="AB22">SUMPRODUCT(ProductRatesTable[Materials CPU],ProductRatesTable[Volume]*(ProductRatesTable[Department Name]=AB$4)*(ProductRatesTable[Year]=AB$2))</f>
        <v>2493622.743012534</v>
      </c>
      <c r="AC22" s="4" cm="1">
        <f t="array" ref="AC22">SUMPRODUCT(ProductRatesTable[Materials CPU],ProductRatesTable[Volume]*(ProductRatesTable[Department Name]=AC$4)*(ProductRatesTable[Year]=AC$2))</f>
        <v>8271659.46618238</v>
      </c>
      <c r="AD22" s="4"/>
      <c r="AE22" s="73">
        <f t="shared" si="28"/>
        <v>14456608.998840172</v>
      </c>
      <c r="AF22" s="68" cm="1">
        <f t="array" ref="AF22">SUMPRODUCT(ProductRatesTable[Materials CPU],ProductRatesTable[Volume]*(ProductRatesTable[Department Name]=AF$4)*(ProductRatesTable[Year]=AF$2))</f>
        <v>3602280.6380296247</v>
      </c>
      <c r="AG22" s="68" cm="1">
        <f t="array" ref="AG22">SUMPRODUCT(ProductRatesTable[Materials CPU],ProductRatesTable[Volume]*(ProductRatesTable[Department Name]=AG$4)*(ProductRatesTable[Year]=AG$2))</f>
        <v>2500198.7390349959</v>
      </c>
      <c r="AH22" s="68" cm="1">
        <f t="array" ref="AH22">SUMPRODUCT(ProductRatesTable[Materials CPU],ProductRatesTable[Volume]*(ProductRatesTable[Department Name]=AH$4)*(ProductRatesTable[Year]=AH$2))</f>
        <v>8354129.6217755498</v>
      </c>
      <c r="AI22" s="4"/>
    </row>
    <row r="23" spans="1:35" x14ac:dyDescent="0.3">
      <c r="A23" t="s">
        <v>86</v>
      </c>
      <c r="B23" t="s">
        <v>86</v>
      </c>
      <c r="D23" t="s">
        <v>95</v>
      </c>
      <c r="E23" t="s">
        <v>6</v>
      </c>
      <c r="F23" s="4">
        <f>ROUND(G23*0.97,0)</f>
        <v>171126</v>
      </c>
      <c r="G23" s="4">
        <f>ROUND(H23*0.97,0)</f>
        <v>176419</v>
      </c>
      <c r="H23" s="4">
        <f>ROUND(I23*0.97,0)</f>
        <v>181875</v>
      </c>
      <c r="I23" s="4">
        <f>AE23</f>
        <v>187500</v>
      </c>
      <c r="J23" s="4"/>
      <c r="K23" s="8">
        <f t="shared" si="51"/>
        <v>5.813571762690037E-3</v>
      </c>
      <c r="L23" s="8">
        <f t="shared" si="51"/>
        <v>5.8471048319385264E-3</v>
      </c>
      <c r="M23" s="8">
        <f t="shared" si="51"/>
        <v>5.8552522365788685E-3</v>
      </c>
      <c r="N23" s="8">
        <f t="shared" si="51"/>
        <v>6.0922767029365065E-3</v>
      </c>
      <c r="O23" s="4"/>
      <c r="P23" s="73">
        <f t="shared" si="22"/>
        <v>171126</v>
      </c>
      <c r="Q23" s="46">
        <f t="shared" ref="Q23" si="58">ROUND(AF23/$AE23*SUMIFS($F23:$I23,$F$4:$I$4,Q$2),2)</f>
        <v>171126</v>
      </c>
      <c r="R23" s="46">
        <f t="shared" ref="R23" si="59">ROUND(AG23/$AE23*SUMIFS($F23:$I23,$F$4:$I$4,R$2),2)</f>
        <v>0</v>
      </c>
      <c r="S23" s="46">
        <f t="shared" ref="S23" si="60">ROUND(AH23/$AE23*SUMIFS($F23:$I23,$F$4:$I$4,S$2),2)</f>
        <v>0</v>
      </c>
      <c r="T23" s="4"/>
      <c r="U23" s="73">
        <f t="shared" si="24"/>
        <v>176419</v>
      </c>
      <c r="V23" s="46">
        <f t="shared" ref="V23:X23" si="61">ROUND(AF23/$AE23*SUMIFS($F23:$I23,$F$4:$I$4,V$2),2)</f>
        <v>176419</v>
      </c>
      <c r="W23" s="46">
        <f t="shared" si="61"/>
        <v>0</v>
      </c>
      <c r="X23" s="46">
        <f t="shared" si="61"/>
        <v>0</v>
      </c>
      <c r="Y23" s="4"/>
      <c r="Z23" s="73">
        <f t="shared" si="26"/>
        <v>181875</v>
      </c>
      <c r="AA23" s="46">
        <f t="shared" ref="AA23:AC23" si="62">ROUND(AF23/$AE23*SUMIFS($F23:$I23,$F$4:$I$4,AA$2),2)</f>
        <v>181875</v>
      </c>
      <c r="AB23" s="46">
        <f t="shared" si="62"/>
        <v>0</v>
      </c>
      <c r="AC23" s="46">
        <f t="shared" si="62"/>
        <v>0</v>
      </c>
      <c r="AD23" s="4"/>
      <c r="AE23" s="72">
        <f t="shared" si="28"/>
        <v>187500</v>
      </c>
      <c r="AF23" s="68">
        <f>62500*3</f>
        <v>187500</v>
      </c>
      <c r="AG23" s="68">
        <v>0</v>
      </c>
      <c r="AH23" s="68">
        <v>0</v>
      </c>
      <c r="AI23" s="4"/>
    </row>
    <row r="24" spans="1:35" x14ac:dyDescent="0.3">
      <c r="A24" t="s">
        <v>86</v>
      </c>
      <c r="B24" t="s">
        <v>86</v>
      </c>
      <c r="D24" t="s">
        <v>95</v>
      </c>
      <c r="E24" t="s">
        <v>73</v>
      </c>
      <c r="F24" s="4">
        <f t="shared" ref="F24" si="63">ROUND(G24*0.97,0)</f>
        <v>118420</v>
      </c>
      <c r="G24" s="4">
        <f t="shared" ref="G24:H25" si="64">ROUND(H24*0.97,0)</f>
        <v>122082</v>
      </c>
      <c r="H24" s="4">
        <f t="shared" si="64"/>
        <v>125858</v>
      </c>
      <c r="I24" s="4">
        <f t="shared" ref="I24:I28" si="65">AE24</f>
        <v>129750</v>
      </c>
      <c r="J24" s="4"/>
      <c r="K24" s="8">
        <f t="shared" ref="K24:K25" si="66">F24/F$31</f>
        <v>4.0230191095318897E-3</v>
      </c>
      <c r="L24" s="8">
        <f t="shared" ref="L24:L25" si="67">G24/G$31</f>
        <v>4.0461982671521728E-3</v>
      </c>
      <c r="M24" s="8">
        <f t="shared" ref="M24:M25" si="68">H24/H$31</f>
        <v>4.0518506446259421E-3</v>
      </c>
      <c r="N24" s="8">
        <f t="shared" ref="N24:N25" si="69">I24/I$31</f>
        <v>4.2158554784320632E-3</v>
      </c>
      <c r="O24" s="4"/>
      <c r="P24" s="73">
        <f t="shared" ref="P24:P25" si="70">SUM(Q24:S24)</f>
        <v>118420</v>
      </c>
      <c r="Q24" s="46">
        <f t="shared" ref="Q24:Q25" si="71">ROUND(AF24/$AE24*SUMIFS($F24:$I24,$F$4:$I$4,Q$2),2)</f>
        <v>0</v>
      </c>
      <c r="R24" s="46">
        <f t="shared" ref="R24:R25" si="72">ROUND(AG24/$AE24*SUMIFS($F24:$I24,$F$4:$I$4,R$2),2)</f>
        <v>118420</v>
      </c>
      <c r="S24" s="46">
        <f t="shared" ref="S24:S25" si="73">ROUND(AH24/$AE24*SUMIFS($F24:$I24,$F$4:$I$4,S$2),2)</f>
        <v>0</v>
      </c>
      <c r="T24" s="4"/>
      <c r="U24" s="73">
        <f t="shared" ref="U24:U25" si="74">SUM(V24:X24)</f>
        <v>122082</v>
      </c>
      <c r="V24" s="46">
        <f t="shared" ref="V24:V25" si="75">ROUND(AF24/$AE24*SUMIFS($F24:$I24,$F$4:$I$4,V$2),2)</f>
        <v>0</v>
      </c>
      <c r="W24" s="46">
        <f t="shared" ref="W24:W25" si="76">ROUND(AG24/$AE24*SUMIFS($F24:$I24,$F$4:$I$4,W$2),2)</f>
        <v>122082</v>
      </c>
      <c r="X24" s="46">
        <f t="shared" ref="X24:X25" si="77">ROUND(AH24/$AE24*SUMIFS($F24:$I24,$F$4:$I$4,X$2),2)</f>
        <v>0</v>
      </c>
      <c r="Y24" s="4"/>
      <c r="Z24" s="73">
        <f t="shared" ref="Z24:Z25" si="78">SUM(AA24:AC24)</f>
        <v>125858</v>
      </c>
      <c r="AA24" s="46">
        <f t="shared" ref="AA24:AA25" si="79">ROUND(AF24/$AE24*SUMIFS($F24:$I24,$F$4:$I$4,AA$2),2)</f>
        <v>0</v>
      </c>
      <c r="AB24" s="46">
        <f t="shared" ref="AB24:AB25" si="80">ROUND(AG24/$AE24*SUMIFS($F24:$I24,$F$4:$I$4,AB$2),2)</f>
        <v>125858</v>
      </c>
      <c r="AC24" s="46">
        <f t="shared" ref="AC24:AC25" si="81">ROUND(AH24/$AE24*SUMIFS($F24:$I24,$F$4:$I$4,AC$2),2)</f>
        <v>0</v>
      </c>
      <c r="AD24" s="4"/>
      <c r="AE24" s="72">
        <f t="shared" si="28"/>
        <v>129750</v>
      </c>
      <c r="AF24" s="68">
        <v>0</v>
      </c>
      <c r="AG24" s="68">
        <f>43250*3</f>
        <v>129750</v>
      </c>
      <c r="AH24" s="68">
        <v>0</v>
      </c>
      <c r="AI24" s="4"/>
    </row>
    <row r="25" spans="1:35" x14ac:dyDescent="0.3">
      <c r="A25" t="s">
        <v>86</v>
      </c>
      <c r="B25" t="s">
        <v>86</v>
      </c>
      <c r="D25" t="s">
        <v>95</v>
      </c>
      <c r="E25" t="s">
        <v>21</v>
      </c>
      <c r="F25" s="4">
        <f t="shared" ref="F25" si="82">ROUND(G25*0.97,0)</f>
        <v>131653</v>
      </c>
      <c r="G25" s="4">
        <f t="shared" si="64"/>
        <v>135725</v>
      </c>
      <c r="H25" s="4">
        <f t="shared" si="64"/>
        <v>139923</v>
      </c>
      <c r="I25" s="4">
        <f t="shared" si="65"/>
        <v>144250</v>
      </c>
      <c r="J25" s="4"/>
      <c r="K25" s="8">
        <f t="shared" si="66"/>
        <v>4.472576717000523E-3</v>
      </c>
      <c r="L25" s="8">
        <f t="shared" si="67"/>
        <v>4.4983720762211358E-3</v>
      </c>
      <c r="M25" s="8">
        <f t="shared" si="68"/>
        <v>4.5046568175880417E-3</v>
      </c>
      <c r="N25" s="8">
        <f t="shared" si="69"/>
        <v>4.6869915434591524E-3</v>
      </c>
      <c r="O25" s="4"/>
      <c r="P25" s="73">
        <f t="shared" si="70"/>
        <v>131653</v>
      </c>
      <c r="Q25" s="46">
        <f t="shared" si="71"/>
        <v>0</v>
      </c>
      <c r="R25" s="46">
        <f t="shared" si="72"/>
        <v>0</v>
      </c>
      <c r="S25" s="46">
        <f t="shared" si="73"/>
        <v>131653</v>
      </c>
      <c r="T25" s="4"/>
      <c r="U25" s="73">
        <f t="shared" si="74"/>
        <v>135725</v>
      </c>
      <c r="V25" s="46">
        <f t="shared" si="75"/>
        <v>0</v>
      </c>
      <c r="W25" s="46">
        <f t="shared" si="76"/>
        <v>0</v>
      </c>
      <c r="X25" s="46">
        <f t="shared" si="77"/>
        <v>135725</v>
      </c>
      <c r="Y25" s="4"/>
      <c r="Z25" s="73">
        <f t="shared" si="78"/>
        <v>139923</v>
      </c>
      <c r="AA25" s="46">
        <f t="shared" si="79"/>
        <v>0</v>
      </c>
      <c r="AB25" s="46">
        <f t="shared" si="80"/>
        <v>0</v>
      </c>
      <c r="AC25" s="46">
        <f t="shared" si="81"/>
        <v>139923</v>
      </c>
      <c r="AD25" s="4"/>
      <c r="AE25" s="72">
        <f t="shared" si="28"/>
        <v>144250</v>
      </c>
      <c r="AF25" s="68">
        <v>0</v>
      </c>
      <c r="AG25" s="68">
        <v>0</v>
      </c>
      <c r="AH25" s="68">
        <f>144250</f>
        <v>144250</v>
      </c>
      <c r="AI25" s="4"/>
    </row>
    <row r="26" spans="1:35" x14ac:dyDescent="0.3">
      <c r="A26" t="s">
        <v>88</v>
      </c>
      <c r="B26" t="s">
        <v>88</v>
      </c>
      <c r="C26" t="s">
        <v>79</v>
      </c>
      <c r="D26" t="s">
        <v>96</v>
      </c>
      <c r="E26" t="s">
        <v>6</v>
      </c>
      <c r="F26" s="4">
        <f t="shared" ref="F26:F28" si="83">P26</f>
        <v>155025</v>
      </c>
      <c r="G26" s="4">
        <f t="shared" ref="G26:G28" si="84">U26</f>
        <v>169732.5</v>
      </c>
      <c r="H26" s="4">
        <f t="shared" ref="H26:H28" si="85">Z26</f>
        <v>186984</v>
      </c>
      <c r="I26" s="4">
        <f t="shared" si="65"/>
        <v>184062.375</v>
      </c>
      <c r="K26" s="8">
        <f>F26/F$31</f>
        <v>5.2665811303426891E-3</v>
      </c>
      <c r="L26" s="8">
        <f>G26/G$31</f>
        <v>5.6254922706001388E-3</v>
      </c>
      <c r="M26" s="8">
        <f>H26/H$31</f>
        <v>6.0197304973441277E-3</v>
      </c>
      <c r="N26" s="8">
        <f>I26/I$31</f>
        <v>5.9805809018648693E-3</v>
      </c>
      <c r="P26" s="73">
        <f t="shared" si="22"/>
        <v>155025</v>
      </c>
      <c r="Q26" s="68">
        <f>SUM(Q$11:Q$12)*Q$10</f>
        <v>155025</v>
      </c>
      <c r="R26" s="68">
        <v>0</v>
      </c>
      <c r="S26" s="68">
        <v>0</v>
      </c>
      <c r="U26" s="73">
        <f t="shared" si="24"/>
        <v>169732.5</v>
      </c>
      <c r="V26" s="68">
        <f>SUM(V$11:V$12)*V$10</f>
        <v>169732.5</v>
      </c>
      <c r="W26" s="68">
        <v>0</v>
      </c>
      <c r="X26" s="68">
        <v>0</v>
      </c>
      <c r="Z26" s="73">
        <f t="shared" si="26"/>
        <v>186984</v>
      </c>
      <c r="AA26" s="68">
        <f>SUM(AA$11:AA$12)*AA$10</f>
        <v>186984</v>
      </c>
      <c r="AB26" s="68">
        <v>0</v>
      </c>
      <c r="AC26" s="68">
        <v>0</v>
      </c>
      <c r="AE26" s="73">
        <f t="shared" si="28"/>
        <v>184062.375</v>
      </c>
      <c r="AF26" s="68">
        <f>SUM(AF$11:AF$12)*AF$10</f>
        <v>184062.375</v>
      </c>
      <c r="AG26" s="68">
        <v>0</v>
      </c>
      <c r="AH26" s="68">
        <v>0</v>
      </c>
    </row>
    <row r="27" spans="1:35" x14ac:dyDescent="0.3">
      <c r="A27" t="s">
        <v>88</v>
      </c>
      <c r="B27" t="s">
        <v>88</v>
      </c>
      <c r="C27" t="s">
        <v>79</v>
      </c>
      <c r="D27" t="s">
        <v>96</v>
      </c>
      <c r="E27" t="s">
        <v>73</v>
      </c>
      <c r="F27" s="4">
        <f t="shared" si="83"/>
        <v>112625</v>
      </c>
      <c r="G27" s="4">
        <f t="shared" si="84"/>
        <v>116865</v>
      </c>
      <c r="H27" s="4">
        <f t="shared" si="85"/>
        <v>130012.3125</v>
      </c>
      <c r="I27" s="4">
        <f t="shared" si="65"/>
        <v>132647.61825000003</v>
      </c>
      <c r="K27" s="8">
        <f t="shared" ref="K27:K28" si="86">F27/F$31</f>
        <v>3.8261486844369964E-3</v>
      </c>
      <c r="L27" s="8">
        <f t="shared" ref="L27:L28" si="87">G27/G$31</f>
        <v>3.8732897600853417E-3</v>
      </c>
      <c r="M27" s="8">
        <f t="shared" ref="M27:M28" si="88">H27/H$31</f>
        <v>4.1855938614345882E-3</v>
      </c>
      <c r="N27" s="8">
        <f t="shared" ref="N27:N28" si="89">I27/I$31</f>
        <v>4.3100053032772831E-3</v>
      </c>
      <c r="P27" s="73">
        <f t="shared" ref="P27:P28" si="90">SUM(Q27:S27)</f>
        <v>112625</v>
      </c>
      <c r="Q27" s="68">
        <v>0</v>
      </c>
      <c r="R27" s="68">
        <f>SUM(R$11:R$12)*R$10</f>
        <v>112625</v>
      </c>
      <c r="S27" s="68">
        <v>0</v>
      </c>
      <c r="U27" s="73">
        <f t="shared" ref="U27:U28" si="91">SUM(V27:X27)</f>
        <v>116865</v>
      </c>
      <c r="V27" s="68">
        <v>0</v>
      </c>
      <c r="W27" s="68">
        <f>SUM(W$11:W$12)*W$10</f>
        <v>116865</v>
      </c>
      <c r="X27" s="68">
        <v>0</v>
      </c>
      <c r="Z27" s="73">
        <f t="shared" ref="Z27:Z28" si="92">SUM(AA27:AC27)</f>
        <v>130012.3125</v>
      </c>
      <c r="AA27" s="68">
        <v>0</v>
      </c>
      <c r="AB27" s="68">
        <f>SUM(AB$11:AB$12)*AB$10</f>
        <v>130012.3125</v>
      </c>
      <c r="AC27" s="68">
        <v>0</v>
      </c>
      <c r="AE27" s="73">
        <f t="shared" ref="AE27:AE28" si="93">SUM(AF27:AH27)</f>
        <v>132647.61825000003</v>
      </c>
      <c r="AF27" s="68">
        <v>0</v>
      </c>
      <c r="AG27" s="68">
        <f>SUM(AG$11:AG$12)*AG$10</f>
        <v>132647.61825000003</v>
      </c>
      <c r="AH27" s="68">
        <v>0</v>
      </c>
    </row>
    <row r="28" spans="1:35" x14ac:dyDescent="0.3">
      <c r="A28" t="s">
        <v>88</v>
      </c>
      <c r="B28" t="s">
        <v>88</v>
      </c>
      <c r="C28" t="s">
        <v>79</v>
      </c>
      <c r="D28" t="s">
        <v>96</v>
      </c>
      <c r="E28" t="s">
        <v>21</v>
      </c>
      <c r="F28" s="4">
        <f t="shared" si="83"/>
        <v>373650</v>
      </c>
      <c r="G28" s="4">
        <f t="shared" si="84"/>
        <v>397897.5</v>
      </c>
      <c r="H28" s="4">
        <f t="shared" si="85"/>
        <v>425096.4375</v>
      </c>
      <c r="I28" s="4">
        <f t="shared" si="65"/>
        <v>425674.91924999998</v>
      </c>
      <c r="K28" s="8">
        <f t="shared" si="86"/>
        <v>1.2693810929543917E-2</v>
      </c>
      <c r="L28" s="8">
        <f t="shared" si="87"/>
        <v>1.318762942124295E-2</v>
      </c>
      <c r="M28" s="8">
        <f t="shared" si="88"/>
        <v>1.3685481052555789E-2</v>
      </c>
      <c r="N28" s="8">
        <f t="shared" si="89"/>
        <v>1.3831090099046152E-2</v>
      </c>
      <c r="P28" s="73">
        <f t="shared" si="90"/>
        <v>373650</v>
      </c>
      <c r="Q28" s="68">
        <v>0</v>
      </c>
      <c r="R28" s="68">
        <v>0</v>
      </c>
      <c r="S28" s="68">
        <f>SUM(S$11:S$12)*S$10</f>
        <v>373650</v>
      </c>
      <c r="U28" s="73">
        <f t="shared" si="91"/>
        <v>397897.5</v>
      </c>
      <c r="V28" s="68">
        <v>0</v>
      </c>
      <c r="W28" s="68">
        <v>0</v>
      </c>
      <c r="X28" s="68">
        <f>SUM(X$11:X$12)*X$10</f>
        <v>397897.5</v>
      </c>
      <c r="Z28" s="73">
        <f t="shared" si="92"/>
        <v>425096.4375</v>
      </c>
      <c r="AA28" s="68">
        <v>0</v>
      </c>
      <c r="AB28" s="68">
        <v>0</v>
      </c>
      <c r="AC28" s="68">
        <f>SUM(AC$11:AC$12)*AC$10</f>
        <v>425096.4375</v>
      </c>
      <c r="AE28" s="73">
        <f t="shared" si="93"/>
        <v>425674.91924999998</v>
      </c>
      <c r="AF28" s="68">
        <v>0</v>
      </c>
      <c r="AG28" s="68">
        <v>0</v>
      </c>
      <c r="AH28" s="68">
        <f>SUM(AH$11:AH$12)*AH$10</f>
        <v>425674.91924999998</v>
      </c>
    </row>
    <row r="29" spans="1:35" x14ac:dyDescent="0.3">
      <c r="A29" t="s">
        <v>87</v>
      </c>
      <c r="B29" t="s">
        <v>87</v>
      </c>
      <c r="C29" t="s">
        <v>89</v>
      </c>
      <c r="D29" t="s">
        <v>95</v>
      </c>
      <c r="F29" s="4">
        <f>ROUND(G29*0.97,0)+250000</f>
        <v>930398</v>
      </c>
      <c r="G29" s="4">
        <f t="shared" ref="G29" si="94">ROUND(H29*0.97,0)</f>
        <v>701441</v>
      </c>
      <c r="H29" s="4">
        <f>ROUND(I29*0.97,0)</f>
        <v>723135</v>
      </c>
      <c r="I29" s="4">
        <v>745500</v>
      </c>
      <c r="K29" s="8">
        <f>F29/F$31</f>
        <v>3.1607911952966146E-2</v>
      </c>
      <c r="L29" s="8">
        <f>G29/G$31</f>
        <v>2.3248057524528493E-2</v>
      </c>
      <c r="M29" s="8">
        <f>H29/H$31</f>
        <v>2.328048289263758E-2</v>
      </c>
      <c r="N29" s="8">
        <f>I29/I$31</f>
        <v>2.4222892170875553E-2</v>
      </c>
      <c r="P29" s="73">
        <f t="shared" si="22"/>
        <v>930398</v>
      </c>
      <c r="Q29" s="16">
        <f>INDEX($F$5:$I$30,MATCH($A29,$A$5:$A$30,0),MATCH(Q$2,$F$4:$I$4,0))/INDEX(Rates2020,MATCH($C$12,$C$5:$C$14,0),MATCH("Total",$AE$4:$AH$4,0))*Q$12</f>
        <v>224509.08260869567</v>
      </c>
      <c r="R29" s="16">
        <f>INDEX($F$5:$I$30,MATCH($A29,$A$5:$A$30,0),MATCH(R$2,$F$4:$I$4,0))/INDEX(Rates2020,MATCH($C$12,$C$5:$C$14,0),MATCH("Total",$AE$4:$AH$4,0))*R$12</f>
        <v>163830.95217391304</v>
      </c>
      <c r="S29" s="16">
        <f>INDEX($F$5:$I$30,MATCH($A29,$A$5:$A$30,0),MATCH(S$2,$F$4:$I$4,0))/INDEX(Rates2020,MATCH($C$12,$C$5:$C$14,0),MATCH("Total",$AE$4:$AH$4,0))*S$12</f>
        <v>542057.96521739126</v>
      </c>
      <c r="U29" s="73">
        <f t="shared" si="24"/>
        <v>701441</v>
      </c>
      <c r="V29" s="16">
        <f>INDEX($F$5:$I$30,MATCH($A29,$A$5:$A$30,0),MATCH(V$2,$F$4:$I$4,0))/INDEX(Rates2021,MATCH($C$12,$C$5:$C$14,0),MATCH("Total",$AE$4:$AH$4,0))*V$12</f>
        <v>173861.44444444447</v>
      </c>
      <c r="W29" s="16">
        <f>INDEX($F$5:$I$30,MATCH($A29,$A$5:$A$30,0),MATCH(W$2,$F$4:$I$4,0))/INDEX(Rates2021,MATCH($C$12,$C$5:$C$14,0),MATCH("Total",$AE$4:$AH$4,0))*W$12</f>
        <v>119904.44444444445</v>
      </c>
      <c r="X29" s="16">
        <f>INDEX($F$5:$I$30,MATCH($A29,$A$5:$A$30,0),MATCH(X$2,$F$4:$I$4,0))/INDEX(Rates2021,MATCH($C$12,$C$5:$C$14,0),MATCH("Total",$AE$4:$AH$4,0))*X$12</f>
        <v>407675.11111111112</v>
      </c>
      <c r="Z29" s="73">
        <f t="shared" si="26"/>
        <v>723135</v>
      </c>
      <c r="AA29" s="16">
        <f>INDEX($F$5:$I$30,MATCH($A29,$A$5:$A$30,0),MATCH(AA$2,$F$4:$I$4,0))/INDEX(Rates2022,MATCH($C$12,$C$5:$C$14,0),MATCH("Total",$AE$4:$AH$4,0))*AA$12</f>
        <v>180783.75</v>
      </c>
      <c r="AB29" s="16">
        <f>INDEX($F$5:$I$30,MATCH($A29,$A$5:$A$30,0),MATCH(AB$2,$F$4:$I$4,0))/INDEX(Rates2022,MATCH($C$12,$C$5:$C$14,0),MATCH("Total",$AE$4:$AH$4,0))*AB$12</f>
        <v>126548.625</v>
      </c>
      <c r="AC29" s="16">
        <f>INDEX($F$5:$I$30,MATCH($A29,$A$5:$A$30,0),MATCH(AC$2,$F$4:$I$4,0))/INDEX(Rates2022,MATCH($C$12,$C$5:$C$14,0),MATCH("Total",$AE$4:$AH$4,0))*AC$12</f>
        <v>415802.625</v>
      </c>
      <c r="AE29" s="73">
        <f t="shared" si="28"/>
        <v>745500</v>
      </c>
      <c r="AF29" s="69">
        <f>INDEX($F$5:$I$30,MATCH($A29,$A$5:$A$30,0),MATCH(AF$2,$F$4:$I$4,0))/INDEX(Rates2023,MATCH($C$12,$C$5:$C$14,0),MATCH("Total",$AE$4:$AH$4,0))*AF$12</f>
        <v>184754.34782608695</v>
      </c>
      <c r="AG29" s="69">
        <f>INDEX($F$5:$I$30,MATCH($A29,$A$5:$A$30,0),MATCH(AG$2,$F$4:$I$4,0))/INDEX(Rates2023,MATCH($C$12,$C$5:$C$14,0),MATCH("Total",$AE$4:$AH$4,0))*AG$12</f>
        <v>133671.39130434787</v>
      </c>
      <c r="AH29" s="69">
        <f>INDEX($F$5:$I$30,MATCH($A29,$A$5:$A$30,0),MATCH(AH$2,$F$4:$I$4,0))/INDEX(Rates2023,MATCH($C$12,$C$5:$C$14,0),MATCH("Total",$AE$4:$AH$4,0))*AH$12</f>
        <v>427074.26086956519</v>
      </c>
    </row>
    <row r="30" spans="1:35" x14ac:dyDescent="0.3">
      <c r="F30" s="4"/>
      <c r="G30" s="4"/>
      <c r="H30" s="4"/>
      <c r="I30" s="4"/>
      <c r="K30" s="4"/>
      <c r="L30" s="4"/>
      <c r="M30" s="4"/>
      <c r="N30" s="4"/>
      <c r="P30" s="59"/>
      <c r="U30" s="59"/>
      <c r="Z30" s="59"/>
      <c r="AE30" s="59"/>
    </row>
    <row r="31" spans="1:35" ht="15" thickBot="1" x14ac:dyDescent="0.35">
      <c r="A31" s="12" t="s">
        <v>78</v>
      </c>
      <c r="B31" s="12"/>
      <c r="F31" s="22">
        <f>SUBTOTAL(9,F15:F30)</f>
        <v>29435604.648116898</v>
      </c>
      <c r="G31" s="22">
        <f>SUBTOTAL(9,G15:G30)</f>
        <v>30172026.168634765</v>
      </c>
      <c r="H31" s="22">
        <f>SUBTOTAL(9,H15:H30)</f>
        <v>31061855.689801451</v>
      </c>
      <c r="I31" s="22">
        <f>SUBTOTAL(9,I15:I30)</f>
        <v>30776671.701340172</v>
      </c>
      <c r="K31" s="29"/>
      <c r="L31" s="29"/>
      <c r="M31" s="29"/>
      <c r="N31" s="29"/>
      <c r="P31" s="61">
        <f>SUBTOTAL(9,P15:P30)</f>
        <v>29435604.648116898</v>
      </c>
      <c r="Q31" s="22">
        <f>SUBTOTAL(9,Q15:Q30)</f>
        <v>7393070.9001139011</v>
      </c>
      <c r="R31" s="22">
        <f>SUBTOTAL(9,R15:R30)</f>
        <v>5324903.960473774</v>
      </c>
      <c r="S31" s="22">
        <f>SUBTOTAL(9,S15:S30)</f>
        <v>16717629.787529225</v>
      </c>
      <c r="U31" s="61">
        <f>SUBTOTAL(9,U15:U30)</f>
        <v>30172026.168634765</v>
      </c>
      <c r="V31" s="22">
        <f>SUBTOTAL(9,V15:V30)</f>
        <v>7614256.4237442706</v>
      </c>
      <c r="W31" s="22">
        <f>SUBTOTAL(9,W15:W30)</f>
        <v>5371605.17742051</v>
      </c>
      <c r="X31" s="22">
        <f>SUBTOTAL(9,X15:X30)</f>
        <v>17186164.567469984</v>
      </c>
      <c r="Z31" s="61">
        <f>SUBTOTAL(9,Z15:Z30)</f>
        <v>31061855.689801451</v>
      </c>
      <c r="AA31" s="22">
        <f>SUBTOTAL(9,AA15:AA30)</f>
        <v>7925721.0906065367</v>
      </c>
      <c r="AB31" s="22">
        <f>SUBTOTAL(9,AB15:AB30)</f>
        <v>5548734.0505125336</v>
      </c>
      <c r="AC31" s="22">
        <f>SUBTOTAL(9,AC15:AC30)</f>
        <v>17587400.54868238</v>
      </c>
      <c r="AE31" s="61">
        <f>SUBTOTAL(9,AE15:AE30)</f>
        <v>30776671.701340172</v>
      </c>
      <c r="AF31" s="22">
        <f>SUBTOTAL(9,AF15:AF30)</f>
        <v>7720569.1618557116</v>
      </c>
      <c r="AG31" s="22">
        <f>SUBTOTAL(9,AG15:AG30)</f>
        <v>5462173.2226750581</v>
      </c>
      <c r="AH31" s="22">
        <f>SUBTOTAL(9,AH15:AH30)</f>
        <v>17593929.316809401</v>
      </c>
    </row>
    <row r="32" spans="1:35" ht="15" thickTop="1" x14ac:dyDescent="0.3"/>
    <row r="33" spans="1:34" s="40" customFormat="1" x14ac:dyDescent="0.3">
      <c r="A33" s="40" t="s">
        <v>104</v>
      </c>
      <c r="I33" s="41"/>
      <c r="K33" s="41"/>
      <c r="L33" s="41"/>
      <c r="M33" s="41"/>
      <c r="N33" s="41"/>
      <c r="P33" s="50">
        <f>SUMIFS($F31:$I31,$F$4:$I$4,P$2)</f>
        <v>29435604.648116898</v>
      </c>
      <c r="Q33"/>
      <c r="R33"/>
      <c r="S33"/>
      <c r="U33" s="50">
        <f>SUMIFS($F31:$I31,$F$4:$I$4,U$2)</f>
        <v>30172026.168634765</v>
      </c>
      <c r="V33"/>
      <c r="W33"/>
      <c r="X33"/>
      <c r="Z33" s="50">
        <f>SUMIFS($F31:$I31,$F$4:$I$4,Z$2)</f>
        <v>31061855.689801451</v>
      </c>
      <c r="AA33"/>
      <c r="AB33"/>
      <c r="AC33"/>
      <c r="AE33" s="42">
        <f>AE31-AE35</f>
        <v>0</v>
      </c>
      <c r="AF33" s="42">
        <f>AF31-AF35</f>
        <v>0</v>
      </c>
      <c r="AG33" s="42">
        <f>AG31-AG35</f>
        <v>0</v>
      </c>
      <c r="AH33" s="42">
        <f>AH31-AH35</f>
        <v>0</v>
      </c>
    </row>
    <row r="34" spans="1:34" s="40" customFormat="1" x14ac:dyDescent="0.3">
      <c r="I34" s="41"/>
      <c r="AE34"/>
      <c r="AF34" s="26">
        <f>AF35/$AE$35</f>
        <v>0.25085783273697915</v>
      </c>
      <c r="AG34" s="26">
        <f>AG35/$AE$35</f>
        <v>0.17747771025017003</v>
      </c>
      <c r="AH34" s="26">
        <f>AH35/$AE$35</f>
        <v>0.57166445701285085</v>
      </c>
    </row>
    <row r="35" spans="1:34" s="40" customFormat="1" x14ac:dyDescent="0.3">
      <c r="I35" s="41"/>
      <c r="K35" s="41"/>
      <c r="L35" s="41"/>
      <c r="M35" s="41"/>
      <c r="P35" s="49">
        <f>P31-P33</f>
        <v>0</v>
      </c>
      <c r="U35" s="49">
        <f>U31-U33</f>
        <v>0</v>
      </c>
      <c r="Z35" s="49">
        <f>Z31-Z33</f>
        <v>0</v>
      </c>
      <c r="AE35" s="4">
        <f t="shared" ref="AE35" si="95">SUM(AF35:AH35)</f>
        <v>30776671.701340169</v>
      </c>
      <c r="AF35" s="4">
        <f>SUMIFS(ProductsCalcTable[Actual Costs],ProductsCalcTable[Department Name],AF$4,ProductsCalcTable[Year],AF$2)</f>
        <v>7720569.1618557107</v>
      </c>
      <c r="AG35" s="4">
        <f>SUMIFS(ProductsCalcTable[Actual Costs],ProductsCalcTable[Department Name],AG$4,ProductsCalcTable[Year],AG$2)</f>
        <v>5462173.2226750581</v>
      </c>
      <c r="AH35" s="4">
        <f>SUMIFS(ProductsCalcTable[Actual Costs],ProductsCalcTable[Department Name],AH$4,ProductsCalcTable[Year],AH$2)</f>
        <v>17593929.316809401</v>
      </c>
    </row>
    <row r="37" spans="1:34" x14ac:dyDescent="0.3">
      <c r="Q37" s="26"/>
      <c r="R37" s="26"/>
      <c r="S37" s="26"/>
      <c r="U37" s="58">
        <f>SUM(V37:X37)</f>
        <v>0</v>
      </c>
      <c r="V37" s="56">
        <f t="shared" ref="V37:X38" si="96">V11-Q11</f>
        <v>0</v>
      </c>
      <c r="W37" s="56">
        <f t="shared" si="96"/>
        <v>0</v>
      </c>
      <c r="X37" s="56">
        <f t="shared" si="96"/>
        <v>0</v>
      </c>
      <c r="Z37" s="58">
        <f>SUM(AA37:AC37)</f>
        <v>1</v>
      </c>
      <c r="AA37" s="56">
        <f t="shared" ref="AA37:AC38" si="97">AA11-V11</f>
        <v>0.5</v>
      </c>
      <c r="AB37" s="56">
        <f t="shared" si="97"/>
        <v>0.25</v>
      </c>
      <c r="AC37" s="56">
        <f t="shared" si="97"/>
        <v>0.25</v>
      </c>
      <c r="AE37" s="58">
        <f>SUM(AF37:AH37)</f>
        <v>-1</v>
      </c>
      <c r="AF37" s="56">
        <f t="shared" ref="AF37:AH38" si="98">AF11-AA11</f>
        <v>-0.5</v>
      </c>
      <c r="AG37" s="56">
        <f t="shared" si="98"/>
        <v>-0.25</v>
      </c>
      <c r="AH37" s="56">
        <f t="shared" si="98"/>
        <v>-0.25</v>
      </c>
    </row>
    <row r="38" spans="1:34" x14ac:dyDescent="0.3">
      <c r="P38" s="4"/>
      <c r="Q38" s="4"/>
      <c r="R38" s="4"/>
      <c r="S38" s="4"/>
      <c r="U38" s="58">
        <f>SUM(V38:X38)</f>
        <v>2</v>
      </c>
      <c r="V38" s="56">
        <f t="shared" si="96"/>
        <v>1.25</v>
      </c>
      <c r="W38" s="56">
        <f t="shared" si="96"/>
        <v>-0.25</v>
      </c>
      <c r="X38" s="56">
        <f t="shared" si="96"/>
        <v>1</v>
      </c>
      <c r="Z38" s="58">
        <f>SUM(AA38:AC38)</f>
        <v>3</v>
      </c>
      <c r="AA38" s="56">
        <f t="shared" si="97"/>
        <v>1</v>
      </c>
      <c r="AB38" s="56">
        <f t="shared" si="97"/>
        <v>1</v>
      </c>
      <c r="AC38" s="56">
        <f t="shared" si="97"/>
        <v>1</v>
      </c>
      <c r="AE38" s="58">
        <f>SUM(AF38:AH38)</f>
        <v>-5</v>
      </c>
      <c r="AF38" s="56">
        <f t="shared" si="98"/>
        <v>-1.5</v>
      </c>
      <c r="AG38" s="56">
        <f t="shared" si="98"/>
        <v>-0.37999999999999545</v>
      </c>
      <c r="AH38" s="56">
        <f t="shared" si="98"/>
        <v>-3.1200000000000045</v>
      </c>
    </row>
    <row r="39" spans="1:34" x14ac:dyDescent="0.3">
      <c r="U39" s="59"/>
      <c r="Z39" s="59"/>
      <c r="AE39" s="59"/>
    </row>
    <row r="40" spans="1:34" x14ac:dyDescent="0.3">
      <c r="U40" s="60">
        <f t="shared" ref="U40:U47" si="99">SUM(V40:X40)</f>
        <v>21600</v>
      </c>
      <c r="V40" s="19">
        <f t="shared" ref="V40:X42" si="100">V15-Q15</f>
        <v>5400</v>
      </c>
      <c r="W40" s="19">
        <f t="shared" si="100"/>
        <v>3600</v>
      </c>
      <c r="X40" s="19">
        <f t="shared" si="100"/>
        <v>12600</v>
      </c>
      <c r="Z40" s="60">
        <f t="shared" ref="Z40:Z47" si="101">SUM(AA40:AC40)</f>
        <v>149556</v>
      </c>
      <c r="AA40" s="19">
        <f t="shared" ref="AA40:AC42" si="102">AA15-V15</f>
        <v>69216</v>
      </c>
      <c r="AB40" s="19">
        <f t="shared" si="102"/>
        <v>35535</v>
      </c>
      <c r="AC40" s="19">
        <f t="shared" si="102"/>
        <v>44805</v>
      </c>
      <c r="AE40" s="60">
        <f t="shared" ref="AE40:AE47" si="103">SUM(AF40:AH40)</f>
        <v>-104392.56000000006</v>
      </c>
      <c r="AF40" s="19">
        <f t="shared" ref="AF40:AH42" si="104">AF15-AA15</f>
        <v>-57925.140000000014</v>
      </c>
      <c r="AG40" s="19">
        <f t="shared" si="104"/>
        <v>-28007.760000000009</v>
      </c>
      <c r="AH40" s="19">
        <f t="shared" si="104"/>
        <v>-18459.660000000033</v>
      </c>
    </row>
    <row r="41" spans="1:34" x14ac:dyDescent="0.3">
      <c r="U41" s="60">
        <f t="shared" si="99"/>
        <v>385700</v>
      </c>
      <c r="V41" s="19">
        <f t="shared" si="100"/>
        <v>148400</v>
      </c>
      <c r="W41" s="19">
        <f t="shared" si="100"/>
        <v>24500</v>
      </c>
      <c r="X41" s="19">
        <f t="shared" si="100"/>
        <v>212800</v>
      </c>
      <c r="Z41" s="60">
        <f t="shared" si="101"/>
        <v>475860</v>
      </c>
      <c r="AA41" s="19">
        <f t="shared" si="102"/>
        <v>136990</v>
      </c>
      <c r="AB41" s="19">
        <f t="shared" si="102"/>
        <v>117523</v>
      </c>
      <c r="AC41" s="19">
        <f t="shared" si="102"/>
        <v>221347</v>
      </c>
      <c r="AE41" s="60">
        <f t="shared" si="103"/>
        <v>-115107.65000000061</v>
      </c>
      <c r="AF41" s="19">
        <f t="shared" si="104"/>
        <v>-47899.635000000242</v>
      </c>
      <c r="AG41" s="19">
        <f t="shared" si="104"/>
        <v>17719.151800000342</v>
      </c>
      <c r="AH41" s="19">
        <f t="shared" si="104"/>
        <v>-84927.166800000705</v>
      </c>
    </row>
    <row r="42" spans="1:34" x14ac:dyDescent="0.3">
      <c r="U42" s="60">
        <f t="shared" si="99"/>
        <v>0</v>
      </c>
      <c r="V42" s="19">
        <f t="shared" si="100"/>
        <v>0</v>
      </c>
      <c r="W42" s="19">
        <f t="shared" si="100"/>
        <v>0</v>
      </c>
      <c r="X42" s="19">
        <f t="shared" si="100"/>
        <v>0</v>
      </c>
      <c r="Z42" s="60">
        <f t="shared" si="101"/>
        <v>0</v>
      </c>
      <c r="AA42" s="19">
        <f t="shared" si="102"/>
        <v>0</v>
      </c>
      <c r="AB42" s="19">
        <f t="shared" si="102"/>
        <v>0</v>
      </c>
      <c r="AC42" s="19">
        <f t="shared" si="102"/>
        <v>0</v>
      </c>
      <c r="AE42" s="60">
        <f t="shared" si="103"/>
        <v>-150000</v>
      </c>
      <c r="AF42" s="19">
        <f t="shared" si="104"/>
        <v>-150000</v>
      </c>
      <c r="AG42" s="19">
        <f t="shared" si="104"/>
        <v>0</v>
      </c>
      <c r="AH42" s="19">
        <f t="shared" si="104"/>
        <v>0</v>
      </c>
    </row>
    <row r="43" spans="1:34" x14ac:dyDescent="0.3">
      <c r="U43" s="60">
        <f t="shared" si="99"/>
        <v>17815.000000000015</v>
      </c>
      <c r="V43" s="19">
        <f t="shared" ref="V43:X46" si="105">V20-Q20</f>
        <v>4418.1200000000099</v>
      </c>
      <c r="W43" s="19">
        <f t="shared" si="105"/>
        <v>3176.1600000000035</v>
      </c>
      <c r="X43" s="19">
        <f t="shared" si="105"/>
        <v>10220.720000000001</v>
      </c>
      <c r="Z43" s="60">
        <f t="shared" si="101"/>
        <v>18705.999999999985</v>
      </c>
      <c r="AA43" s="19">
        <f t="shared" ref="AA43:AC46" si="106">AA20-V20</f>
        <v>4639.0899999999965</v>
      </c>
      <c r="AB43" s="19">
        <f t="shared" si="106"/>
        <v>3335.0099999999948</v>
      </c>
      <c r="AC43" s="19">
        <f t="shared" si="106"/>
        <v>10731.899999999994</v>
      </c>
      <c r="AE43" s="60">
        <f t="shared" si="103"/>
        <v>19641.000000000029</v>
      </c>
      <c r="AF43" s="19">
        <f t="shared" ref="AF43:AH46" si="107">AF20-AA20</f>
        <v>4870.9660000000003</v>
      </c>
      <c r="AG43" s="19">
        <f t="shared" si="107"/>
        <v>3501.7122857142967</v>
      </c>
      <c r="AH43" s="19">
        <f t="shared" si="107"/>
        <v>11268.321714285732</v>
      </c>
    </row>
    <row r="44" spans="1:34" x14ac:dyDescent="0.3">
      <c r="U44" s="60">
        <f t="shared" si="99"/>
        <v>0</v>
      </c>
      <c r="V44" s="19">
        <f t="shared" si="105"/>
        <v>0</v>
      </c>
      <c r="W44" s="19">
        <f t="shared" si="105"/>
        <v>0</v>
      </c>
      <c r="X44" s="19">
        <f t="shared" si="105"/>
        <v>0</v>
      </c>
      <c r="Z44" s="60">
        <f t="shared" si="101"/>
        <v>0</v>
      </c>
      <c r="AA44" s="19">
        <f t="shared" si="106"/>
        <v>0</v>
      </c>
      <c r="AB44" s="19">
        <f t="shared" si="106"/>
        <v>0</v>
      </c>
      <c r="AC44" s="19">
        <f t="shared" si="106"/>
        <v>0</v>
      </c>
      <c r="AE44" s="60">
        <f t="shared" si="103"/>
        <v>0</v>
      </c>
      <c r="AF44" s="19">
        <f t="shared" si="107"/>
        <v>0</v>
      </c>
      <c r="AG44" s="19">
        <f t="shared" si="107"/>
        <v>0</v>
      </c>
      <c r="AH44" s="19">
        <f t="shared" si="107"/>
        <v>0</v>
      </c>
    </row>
    <row r="45" spans="1:34" x14ac:dyDescent="0.3">
      <c r="U45" s="60">
        <f t="shared" si="99"/>
        <v>484041.52051786426</v>
      </c>
      <c r="V45" s="19">
        <f t="shared" si="105"/>
        <v>93614.54179462092</v>
      </c>
      <c r="W45" s="19">
        <f t="shared" si="105"/>
        <v>51449.564676204231</v>
      </c>
      <c r="X45" s="19">
        <f t="shared" si="105"/>
        <v>338977.41404703911</v>
      </c>
      <c r="Z45" s="60">
        <f t="shared" si="101"/>
        <v>152985.77116668783</v>
      </c>
      <c r="AA45" s="19">
        <f t="shared" si="106"/>
        <v>70989.771306710783</v>
      </c>
      <c r="AB45" s="19">
        <f t="shared" si="106"/>
        <v>-2831.6299635316245</v>
      </c>
      <c r="AC45" s="19">
        <f t="shared" si="106"/>
        <v>84827.629823508672</v>
      </c>
      <c r="AE45" s="60">
        <f t="shared" si="103"/>
        <v>128174.05903871963</v>
      </c>
      <c r="AF45" s="19">
        <f t="shared" si="107"/>
        <v>39127.907423087861</v>
      </c>
      <c r="AG45" s="19">
        <f t="shared" si="107"/>
        <v>6575.9960224619135</v>
      </c>
      <c r="AH45" s="19">
        <f t="shared" si="107"/>
        <v>82470.155593169853</v>
      </c>
    </row>
    <row r="46" spans="1:34" x14ac:dyDescent="0.3">
      <c r="U46" s="60">
        <f t="shared" si="99"/>
        <v>5293</v>
      </c>
      <c r="V46" s="19">
        <f t="shared" si="105"/>
        <v>5293</v>
      </c>
      <c r="W46" s="19">
        <f t="shared" si="105"/>
        <v>0</v>
      </c>
      <c r="X46" s="19">
        <f t="shared" si="105"/>
        <v>0</v>
      </c>
      <c r="Z46" s="60">
        <f t="shared" si="101"/>
        <v>5456</v>
      </c>
      <c r="AA46" s="19">
        <f t="shared" si="106"/>
        <v>5456</v>
      </c>
      <c r="AB46" s="19">
        <f t="shared" si="106"/>
        <v>0</v>
      </c>
      <c r="AC46" s="19">
        <f t="shared" si="106"/>
        <v>0</v>
      </c>
      <c r="AE46" s="60">
        <f t="shared" si="103"/>
        <v>5625</v>
      </c>
      <c r="AF46" s="19">
        <f t="shared" si="107"/>
        <v>5625</v>
      </c>
      <c r="AG46" s="19">
        <f t="shared" si="107"/>
        <v>0</v>
      </c>
      <c r="AH46" s="19">
        <f t="shared" si="107"/>
        <v>0</v>
      </c>
    </row>
    <row r="47" spans="1:34" x14ac:dyDescent="0.3">
      <c r="U47" s="60">
        <f t="shared" si="99"/>
        <v>14707.5</v>
      </c>
      <c r="V47" s="19">
        <f>V26-Q26</f>
        <v>14707.5</v>
      </c>
      <c r="W47" s="19">
        <f>W26-R26</f>
        <v>0</v>
      </c>
      <c r="X47" s="19">
        <f>X26-S26</f>
        <v>0</v>
      </c>
      <c r="Z47" s="60">
        <f t="shared" si="101"/>
        <v>17251.5</v>
      </c>
      <c r="AA47" s="19">
        <f>AA26-V26</f>
        <v>17251.5</v>
      </c>
      <c r="AB47" s="19">
        <f>AB26-W26</f>
        <v>0</v>
      </c>
      <c r="AC47" s="19">
        <f>AC26-X26</f>
        <v>0</v>
      </c>
      <c r="AE47" s="60">
        <f t="shared" si="103"/>
        <v>-2921.625</v>
      </c>
      <c r="AF47" s="19">
        <f>AF26-AA26</f>
        <v>-2921.625</v>
      </c>
      <c r="AG47" s="19">
        <f>AG26-AB26</f>
        <v>0</v>
      </c>
      <c r="AH47" s="19">
        <f>AH26-AC26</f>
        <v>0</v>
      </c>
    </row>
    <row r="48" spans="1:34" x14ac:dyDescent="0.3">
      <c r="U48" s="60">
        <f>SUM(V48:X48)</f>
        <v>-228956.99999999994</v>
      </c>
      <c r="V48" s="19">
        <f t="shared" ref="V48" si="108">V29-Q29</f>
        <v>-50647.638164251199</v>
      </c>
      <c r="W48" s="19">
        <f t="shared" ref="W48" si="109">W29-R29</f>
        <v>-43926.507729468591</v>
      </c>
      <c r="X48" s="19">
        <f t="shared" ref="X48" si="110">X29-S29</f>
        <v>-134382.85410628014</v>
      </c>
      <c r="Z48" s="60">
        <f>SUM(AA48:AC48)</f>
        <v>21693.999999999956</v>
      </c>
      <c r="AA48" s="19">
        <f t="shared" ref="AA48" si="111">AA29-V29</f>
        <v>6922.3055555555329</v>
      </c>
      <c r="AB48" s="19">
        <f t="shared" ref="AB48" si="112">AB29-W29</f>
        <v>6644.1805555555475</v>
      </c>
      <c r="AC48" s="19">
        <f t="shared" ref="AC48" si="113">AC29-X29</f>
        <v>8127.513888888876</v>
      </c>
      <c r="AE48" s="60">
        <f>SUM(AF48:AH48)</f>
        <v>22365</v>
      </c>
      <c r="AF48" s="19">
        <f t="shared" ref="AF48" si="114">AF29-AA29</f>
        <v>3970.5978260869451</v>
      </c>
      <c r="AG48" s="19">
        <f t="shared" ref="AG48:AH48" si="115">AG29-AB29</f>
        <v>7122.7663043478678</v>
      </c>
      <c r="AH48" s="19">
        <f t="shared" si="115"/>
        <v>11271.635869565187</v>
      </c>
    </row>
    <row r="49" spans="21:34" x14ac:dyDescent="0.3">
      <c r="U49" s="59"/>
      <c r="Z49" s="59"/>
      <c r="AE49" s="59"/>
    </row>
    <row r="50" spans="21:34" ht="15" thickBot="1" x14ac:dyDescent="0.35">
      <c r="U50" s="61">
        <f>SUBTOTAL(9,U40:U49)</f>
        <v>700200.02051786426</v>
      </c>
      <c r="V50" s="22">
        <f t="shared" ref="V50:X50" si="116">SUBTOTAL(9,V40:V49)</f>
        <v>221185.52363036972</v>
      </c>
      <c r="W50" s="22">
        <f t="shared" si="116"/>
        <v>38799.216946735643</v>
      </c>
      <c r="X50" s="22">
        <f t="shared" si="116"/>
        <v>440215.27994075895</v>
      </c>
      <c r="Z50" s="61">
        <f>SUBTOTAL(9,Z40:Z49)</f>
        <v>841509.27116668783</v>
      </c>
      <c r="AA50" s="22">
        <f t="shared" ref="AA50:AC50" si="117">SUBTOTAL(9,AA40:AA49)</f>
        <v>311464.66686226625</v>
      </c>
      <c r="AB50" s="22">
        <f t="shared" si="117"/>
        <v>160205.56059202395</v>
      </c>
      <c r="AC50" s="22">
        <f t="shared" si="117"/>
        <v>369839.04371239757</v>
      </c>
      <c r="AE50" s="61">
        <f>SUBTOTAL(9,AE40:AE49)</f>
        <v>-196616.77596128103</v>
      </c>
      <c r="AF50" s="22">
        <f t="shared" ref="AF50:AH50" si="118">SUBTOTAL(9,AF40:AF49)</f>
        <v>-205151.92875082543</v>
      </c>
      <c r="AG50" s="22">
        <f t="shared" si="118"/>
        <v>6911.8664125244104</v>
      </c>
      <c r="AH50" s="22">
        <f t="shared" si="118"/>
        <v>1623.2863770200347</v>
      </c>
    </row>
    <row r="51" spans="21:34" ht="15" thickTop="1" x14ac:dyDescent="0.3"/>
  </sheetData>
  <sheetProtection algorithmName="SHA-512" hashValue="yi5i4HtfBmQMq7G9EV9EdiAec9J8FTNqX0CLnnumqcWGOzeFom5Yx6tMTC1sfItCkNfcht/odC7V9QMJwNZrwQ==" saltValue="zOjIU7RTtvYD/MsWmtaWrg==" spinCount="100000" sheet="1" objects="1" scenarios="1"/>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5A633-2E3C-48EE-A970-DF3919AD02C8}">
  <dimension ref="A1:BE18"/>
  <sheetViews>
    <sheetView showGridLines="0" workbookViewId="0">
      <pane xSplit="3" ySplit="4" topLeftCell="D5" activePane="bottomRight" state="frozen"/>
      <selection pane="topRight" activeCell="D1" sqref="D1"/>
      <selection pane="bottomLeft" activeCell="A5" sqref="A5"/>
      <selection pane="bottomRight" activeCell="D5" sqref="D5"/>
    </sheetView>
  </sheetViews>
  <sheetFormatPr defaultRowHeight="14.4" x14ac:dyDescent="0.3"/>
  <cols>
    <col min="1" max="1" width="25.5546875" bestFit="1" customWidth="1"/>
    <col min="2" max="2" width="11" customWidth="1"/>
    <col min="3" max="3" width="38.33203125" bestFit="1" customWidth="1"/>
    <col min="4" max="51" width="11.33203125" bestFit="1" customWidth="1"/>
  </cols>
  <sheetData>
    <row r="1" spans="1:57" x14ac:dyDescent="0.3">
      <c r="A1" t="s">
        <v>3</v>
      </c>
      <c r="D1">
        <f>YEAR(D4)</f>
        <v>2020</v>
      </c>
      <c r="E1">
        <f t="shared" ref="E1:AY1" si="0">YEAR(E4)</f>
        <v>2020</v>
      </c>
      <c r="F1">
        <f t="shared" si="0"/>
        <v>2020</v>
      </c>
      <c r="G1">
        <f t="shared" si="0"/>
        <v>2020</v>
      </c>
      <c r="H1">
        <f t="shared" si="0"/>
        <v>2020</v>
      </c>
      <c r="I1">
        <f t="shared" si="0"/>
        <v>2020</v>
      </c>
      <c r="J1">
        <f t="shared" si="0"/>
        <v>2020</v>
      </c>
      <c r="K1">
        <f t="shared" si="0"/>
        <v>2020</v>
      </c>
      <c r="L1">
        <f t="shared" si="0"/>
        <v>2020</v>
      </c>
      <c r="M1">
        <f t="shared" si="0"/>
        <v>2020</v>
      </c>
      <c r="N1">
        <f t="shared" si="0"/>
        <v>2020</v>
      </c>
      <c r="O1">
        <f t="shared" si="0"/>
        <v>2020</v>
      </c>
      <c r="P1">
        <f t="shared" si="0"/>
        <v>2021</v>
      </c>
      <c r="Q1">
        <f t="shared" si="0"/>
        <v>2021</v>
      </c>
      <c r="R1">
        <f t="shared" si="0"/>
        <v>2021</v>
      </c>
      <c r="S1">
        <f t="shared" si="0"/>
        <v>2021</v>
      </c>
      <c r="T1">
        <f t="shared" si="0"/>
        <v>2021</v>
      </c>
      <c r="U1">
        <f t="shared" si="0"/>
        <v>2021</v>
      </c>
      <c r="V1">
        <f t="shared" si="0"/>
        <v>2021</v>
      </c>
      <c r="W1">
        <f t="shared" si="0"/>
        <v>2021</v>
      </c>
      <c r="X1">
        <f t="shared" si="0"/>
        <v>2021</v>
      </c>
      <c r="Y1">
        <f t="shared" si="0"/>
        <v>2021</v>
      </c>
      <c r="Z1">
        <f t="shared" si="0"/>
        <v>2021</v>
      </c>
      <c r="AA1">
        <f t="shared" si="0"/>
        <v>2021</v>
      </c>
      <c r="AB1">
        <f t="shared" si="0"/>
        <v>2022</v>
      </c>
      <c r="AC1">
        <f t="shared" si="0"/>
        <v>2022</v>
      </c>
      <c r="AD1">
        <f t="shared" si="0"/>
        <v>2022</v>
      </c>
      <c r="AE1">
        <f t="shared" si="0"/>
        <v>2022</v>
      </c>
      <c r="AF1">
        <f t="shared" si="0"/>
        <v>2022</v>
      </c>
      <c r="AG1">
        <f t="shared" si="0"/>
        <v>2022</v>
      </c>
      <c r="AH1">
        <f t="shared" si="0"/>
        <v>2022</v>
      </c>
      <c r="AI1">
        <f t="shared" si="0"/>
        <v>2022</v>
      </c>
      <c r="AJ1">
        <f t="shared" si="0"/>
        <v>2022</v>
      </c>
      <c r="AK1">
        <f t="shared" si="0"/>
        <v>2022</v>
      </c>
      <c r="AL1">
        <f t="shared" si="0"/>
        <v>2022</v>
      </c>
      <c r="AM1">
        <f t="shared" si="0"/>
        <v>2022</v>
      </c>
      <c r="AN1">
        <f t="shared" si="0"/>
        <v>2023</v>
      </c>
      <c r="AO1">
        <f t="shared" si="0"/>
        <v>2023</v>
      </c>
      <c r="AP1">
        <f t="shared" si="0"/>
        <v>2023</v>
      </c>
      <c r="AQ1">
        <f t="shared" si="0"/>
        <v>2023</v>
      </c>
      <c r="AR1">
        <f t="shared" si="0"/>
        <v>2023</v>
      </c>
      <c r="AS1">
        <f t="shared" si="0"/>
        <v>2023</v>
      </c>
      <c r="AT1">
        <f t="shared" si="0"/>
        <v>2023</v>
      </c>
      <c r="AU1">
        <f t="shared" si="0"/>
        <v>2023</v>
      </c>
      <c r="AV1">
        <f t="shared" si="0"/>
        <v>2023</v>
      </c>
      <c r="AW1">
        <f t="shared" si="0"/>
        <v>2023</v>
      </c>
      <c r="AX1">
        <f t="shared" si="0"/>
        <v>2023</v>
      </c>
      <c r="AY1">
        <f t="shared" si="0"/>
        <v>2023</v>
      </c>
      <c r="BA1" t="s">
        <v>13</v>
      </c>
    </row>
    <row r="2" spans="1:57" x14ac:dyDescent="0.3">
      <c r="A2" t="s">
        <v>4</v>
      </c>
      <c r="D2" s="5"/>
      <c r="E2" s="5"/>
      <c r="F2" s="5"/>
      <c r="G2" s="5"/>
      <c r="H2" s="6"/>
      <c r="I2" s="6"/>
      <c r="J2" s="5"/>
      <c r="K2" s="5"/>
      <c r="L2" s="5"/>
      <c r="M2" s="5"/>
      <c r="N2" s="5"/>
      <c r="O2" s="5"/>
      <c r="BA2" s="4">
        <f>SUMIFS(INDEX($D$5:$AY$16,MATCH($BA$1,$C$5:$C$16,0),0),$D$1:$AY$1,$BB2)/BE2</f>
        <v>895</v>
      </c>
      <c r="BB2">
        <v>2020</v>
      </c>
      <c r="BC2" s="9"/>
      <c r="BD2" s="9"/>
      <c r="BE2" s="4">
        <f>SUMIFS(INDEX($D$1:$AY$16,MATCH($C$3,$C$1:$C$16,0),0),$D$1:$AY$1,$BB2)</f>
        <v>262</v>
      </c>
    </row>
    <row r="3" spans="1:57" x14ac:dyDescent="0.3">
      <c r="C3" t="s">
        <v>5</v>
      </c>
      <c r="D3">
        <f>NETWORKDAYS(D4,EOMONTH(D4,0))</f>
        <v>23</v>
      </c>
      <c r="E3">
        <f t="shared" ref="E3:AY3" si="1">NETWORKDAYS(E4,EOMONTH(E4,0))</f>
        <v>20</v>
      </c>
      <c r="F3">
        <f t="shared" si="1"/>
        <v>22</v>
      </c>
      <c r="G3">
        <f t="shared" si="1"/>
        <v>22</v>
      </c>
      <c r="H3">
        <f t="shared" si="1"/>
        <v>21</v>
      </c>
      <c r="I3">
        <f t="shared" si="1"/>
        <v>22</v>
      </c>
      <c r="J3">
        <f t="shared" si="1"/>
        <v>23</v>
      </c>
      <c r="K3">
        <f t="shared" si="1"/>
        <v>21</v>
      </c>
      <c r="L3">
        <f t="shared" si="1"/>
        <v>22</v>
      </c>
      <c r="M3">
        <f t="shared" si="1"/>
        <v>22</v>
      </c>
      <c r="N3">
        <f t="shared" si="1"/>
        <v>21</v>
      </c>
      <c r="O3">
        <f t="shared" si="1"/>
        <v>23</v>
      </c>
      <c r="P3">
        <f t="shared" si="1"/>
        <v>21</v>
      </c>
      <c r="Q3">
        <f t="shared" si="1"/>
        <v>20</v>
      </c>
      <c r="R3">
        <f t="shared" si="1"/>
        <v>23</v>
      </c>
      <c r="S3">
        <f t="shared" si="1"/>
        <v>22</v>
      </c>
      <c r="T3">
        <f t="shared" si="1"/>
        <v>21</v>
      </c>
      <c r="U3">
        <f t="shared" si="1"/>
        <v>22</v>
      </c>
      <c r="V3">
        <f t="shared" si="1"/>
        <v>22</v>
      </c>
      <c r="W3">
        <f t="shared" si="1"/>
        <v>22</v>
      </c>
      <c r="X3">
        <f t="shared" si="1"/>
        <v>22</v>
      </c>
      <c r="Y3">
        <f t="shared" si="1"/>
        <v>21</v>
      </c>
      <c r="Z3">
        <f t="shared" si="1"/>
        <v>22</v>
      </c>
      <c r="AA3">
        <f t="shared" si="1"/>
        <v>23</v>
      </c>
      <c r="AB3">
        <f t="shared" si="1"/>
        <v>21</v>
      </c>
      <c r="AC3">
        <f t="shared" si="1"/>
        <v>20</v>
      </c>
      <c r="AD3">
        <f t="shared" si="1"/>
        <v>23</v>
      </c>
      <c r="AE3">
        <f t="shared" si="1"/>
        <v>21</v>
      </c>
      <c r="AF3">
        <f t="shared" si="1"/>
        <v>22</v>
      </c>
      <c r="AG3">
        <f t="shared" si="1"/>
        <v>22</v>
      </c>
      <c r="AH3">
        <f t="shared" si="1"/>
        <v>21</v>
      </c>
      <c r="AI3">
        <f t="shared" si="1"/>
        <v>23</v>
      </c>
      <c r="AJ3">
        <f t="shared" si="1"/>
        <v>22</v>
      </c>
      <c r="AK3">
        <f t="shared" si="1"/>
        <v>21</v>
      </c>
      <c r="AL3">
        <f t="shared" si="1"/>
        <v>22</v>
      </c>
      <c r="AM3">
        <f t="shared" si="1"/>
        <v>22</v>
      </c>
      <c r="AN3">
        <f t="shared" si="1"/>
        <v>22</v>
      </c>
      <c r="AO3">
        <f t="shared" si="1"/>
        <v>20</v>
      </c>
      <c r="AP3">
        <f t="shared" si="1"/>
        <v>23</v>
      </c>
      <c r="AQ3">
        <f t="shared" si="1"/>
        <v>20</v>
      </c>
      <c r="AR3">
        <f t="shared" si="1"/>
        <v>23</v>
      </c>
      <c r="AS3">
        <f t="shared" si="1"/>
        <v>22</v>
      </c>
      <c r="AT3">
        <f t="shared" si="1"/>
        <v>21</v>
      </c>
      <c r="AU3">
        <f t="shared" si="1"/>
        <v>23</v>
      </c>
      <c r="AV3">
        <f t="shared" si="1"/>
        <v>21</v>
      </c>
      <c r="AW3">
        <f t="shared" si="1"/>
        <v>22</v>
      </c>
      <c r="AX3">
        <f t="shared" si="1"/>
        <v>22</v>
      </c>
      <c r="AY3">
        <f t="shared" si="1"/>
        <v>21</v>
      </c>
      <c r="BA3" s="4">
        <f>SUMIFS(INDEX($D$5:$AY$16,MATCH($BA$1,$C$5:$C$16,0),0),$D$1:$AY$1,$BB3)/BE3</f>
        <v>919.22222222222217</v>
      </c>
      <c r="BB3">
        <v>2021</v>
      </c>
      <c r="BC3" s="10">
        <f>BA3-BA2</f>
        <v>24.222222222222172</v>
      </c>
      <c r="BD3" s="11">
        <f>BC3/BA2</f>
        <v>2.7063935443823656E-2</v>
      </c>
      <c r="BE3" s="4">
        <f>SUMIFS(INDEX($D$1:$AY$16,MATCH($C$3,$C$1:$C$16,0),0),$D$1:$AY$1,$BB3)</f>
        <v>261</v>
      </c>
    </row>
    <row r="4" spans="1:57" ht="15" thickBot="1" x14ac:dyDescent="0.35">
      <c r="A4" s="2" t="s">
        <v>0</v>
      </c>
      <c r="B4" s="2" t="s">
        <v>20</v>
      </c>
      <c r="C4" s="2" t="s">
        <v>23</v>
      </c>
      <c r="D4" s="15" t="s">
        <v>24</v>
      </c>
      <c r="E4" s="15" t="s">
        <v>25</v>
      </c>
      <c r="F4" s="15" t="s">
        <v>26</v>
      </c>
      <c r="G4" s="15" t="s">
        <v>27</v>
      </c>
      <c r="H4" s="15" t="s">
        <v>28</v>
      </c>
      <c r="I4" s="15" t="s">
        <v>29</v>
      </c>
      <c r="J4" s="15" t="s">
        <v>30</v>
      </c>
      <c r="K4" s="15" t="s">
        <v>31</v>
      </c>
      <c r="L4" s="15" t="s">
        <v>32</v>
      </c>
      <c r="M4" s="15" t="s">
        <v>33</v>
      </c>
      <c r="N4" s="15" t="s">
        <v>34</v>
      </c>
      <c r="O4" s="15" t="s">
        <v>35</v>
      </c>
      <c r="P4" s="63" t="s">
        <v>36</v>
      </c>
      <c r="Q4" s="63" t="s">
        <v>37</v>
      </c>
      <c r="R4" s="63" t="s">
        <v>38</v>
      </c>
      <c r="S4" s="63" t="s">
        <v>39</v>
      </c>
      <c r="T4" s="63" t="s">
        <v>40</v>
      </c>
      <c r="U4" s="63" t="s">
        <v>41</v>
      </c>
      <c r="V4" s="63" t="s">
        <v>42</v>
      </c>
      <c r="W4" s="63" t="s">
        <v>43</v>
      </c>
      <c r="X4" s="63" t="s">
        <v>44</v>
      </c>
      <c r="Y4" s="63" t="s">
        <v>45</v>
      </c>
      <c r="Z4" s="63" t="s">
        <v>46</v>
      </c>
      <c r="AA4" s="63" t="s">
        <v>47</v>
      </c>
      <c r="AB4" s="62" t="s">
        <v>48</v>
      </c>
      <c r="AC4" s="62" t="s">
        <v>49</v>
      </c>
      <c r="AD4" s="62" t="s">
        <v>50</v>
      </c>
      <c r="AE4" s="62" t="s">
        <v>51</v>
      </c>
      <c r="AF4" s="62" t="s">
        <v>52</v>
      </c>
      <c r="AG4" s="62" t="s">
        <v>53</v>
      </c>
      <c r="AH4" s="62" t="s">
        <v>54</v>
      </c>
      <c r="AI4" s="62" t="s">
        <v>55</v>
      </c>
      <c r="AJ4" s="62" t="s">
        <v>56</v>
      </c>
      <c r="AK4" s="62" t="s">
        <v>57</v>
      </c>
      <c r="AL4" s="62" t="s">
        <v>58</v>
      </c>
      <c r="AM4" s="62" t="s">
        <v>59</v>
      </c>
      <c r="AN4" s="15" t="s">
        <v>60</v>
      </c>
      <c r="AO4" s="15" t="s">
        <v>61</v>
      </c>
      <c r="AP4" s="15" t="s">
        <v>62</v>
      </c>
      <c r="AQ4" s="15" t="s">
        <v>63</v>
      </c>
      <c r="AR4" s="15" t="s">
        <v>64</v>
      </c>
      <c r="AS4" s="15" t="s">
        <v>65</v>
      </c>
      <c r="AT4" s="15" t="s">
        <v>66</v>
      </c>
      <c r="AU4" s="15" t="s">
        <v>67</v>
      </c>
      <c r="AV4" s="15" t="s">
        <v>68</v>
      </c>
      <c r="AW4" s="15" t="s">
        <v>69</v>
      </c>
      <c r="AX4" s="15" t="s">
        <v>70</v>
      </c>
      <c r="AY4" s="15" t="s">
        <v>71</v>
      </c>
      <c r="BA4" s="4">
        <f>SUMIFS(INDEX($D$5:$AY$16,MATCH($BA$1,$C$5:$C$16,0),0),$D$1:$AY$1,$BB4)/BE4</f>
        <v>919.02692307692303</v>
      </c>
      <c r="BB4">
        <v>2022</v>
      </c>
      <c r="BC4" s="10">
        <f>BA4-BA3</f>
        <v>-0.19529914529914549</v>
      </c>
      <c r="BD4" s="11">
        <f>BC4/BA3</f>
        <v>-2.1246129671126672E-4</v>
      </c>
      <c r="BE4" s="4">
        <f>SUMIFS(INDEX($D$1:$AY$16,MATCH($C$3,$C$1:$C$16,0),0),$D$1:$AY$1,$BB4)</f>
        <v>260</v>
      </c>
    </row>
    <row r="5" spans="1:57" x14ac:dyDescent="0.3">
      <c r="A5" t="s">
        <v>6</v>
      </c>
      <c r="B5" t="s">
        <v>12</v>
      </c>
      <c r="C5" t="s">
        <v>9</v>
      </c>
      <c r="D5" s="13">
        <v>597425</v>
      </c>
      <c r="E5" s="13">
        <v>519740</v>
      </c>
      <c r="F5" s="13">
        <v>569536</v>
      </c>
      <c r="G5" s="13">
        <v>553102</v>
      </c>
      <c r="H5" s="13">
        <v>534975</v>
      </c>
      <c r="I5" s="13">
        <v>558668</v>
      </c>
      <c r="J5" s="13">
        <v>588455</v>
      </c>
      <c r="K5" s="13">
        <v>534198</v>
      </c>
      <c r="L5" s="13">
        <v>566302</v>
      </c>
      <c r="M5" s="13">
        <v>570460</v>
      </c>
      <c r="N5" s="13">
        <v>540120</v>
      </c>
      <c r="O5" s="13">
        <v>578887</v>
      </c>
      <c r="P5" s="48" cm="1">
        <f t="array" ref="P5">ROUND(SUM(($D5:O5)/SUM($D$3:O$3))*1.025*P$3,0)</f>
        <v>551424</v>
      </c>
      <c r="Q5" s="48" cm="1">
        <f t="array" ref="Q5">ROUND(SUM(($D5:P5)/SUM($D$3:P$3))*1.025*Q$3,0)</f>
        <v>526140</v>
      </c>
      <c r="R5" s="48" cm="1">
        <f t="array" ref="R5">ROUND(SUM(($D5:Q5)/SUM($D$3:Q$3))*1.025*R$3,0)</f>
        <v>606059</v>
      </c>
      <c r="S5" s="48" cm="1">
        <f t="array" ref="S5">ROUND(SUM(($D5:R5)/SUM($D$3:R$3))*1.025*S$3,0)</f>
        <v>580731</v>
      </c>
      <c r="T5" s="48" cm="1">
        <f t="array" ref="T5">ROUND(SUM(($D5:S5)/SUM($D$3:S$3))*1.025*T$3,0)</f>
        <v>555210</v>
      </c>
      <c r="U5" s="48" cm="1">
        <f t="array" ref="U5">ROUND(SUM(($D5:T5)/SUM($D$3:T$3))*1.025*U$3,0)</f>
        <v>582476</v>
      </c>
      <c r="V5" s="48" cm="1">
        <f t="array" ref="V5">ROUND(SUM(($D5:U5)/SUM($D$3:U$3))*1.025*V$3,0)</f>
        <v>583296</v>
      </c>
      <c r="W5" s="48" cm="1">
        <f t="array" ref="W5">ROUND(SUM(($D5:V5)/SUM($D$3:V$3))*1.025*W$3,0)</f>
        <v>584073</v>
      </c>
      <c r="X5" s="48" cm="1">
        <f t="array" ref="X5">ROUND(SUM(($D5:W5)/SUM($D$3:W$3))*1.025*X$3,0)</f>
        <v>584811</v>
      </c>
      <c r="Y5" s="48" cm="1">
        <f t="array" ref="Y5">ROUND(SUM(($D5:X5)/SUM($D$3:X$3))*1.025*Y$3,0)</f>
        <v>558901</v>
      </c>
      <c r="Z5" s="48" cm="1">
        <f t="array" ref="Z5">ROUND(SUM(($D5:Y5)/SUM($D$3:Y$3))*1.025*Z$3,0)</f>
        <v>586158</v>
      </c>
      <c r="AA5" s="48" cm="1">
        <f t="array" ref="AA5">ROUND(SUM(($D5:Z5)/SUM($D$3:Z$3))*1.025*AA$3,0)</f>
        <v>613476</v>
      </c>
      <c r="AB5" s="48" cm="1">
        <f t="array" ref="AB5">ROUND(SUM(($D5:AA5)/SUM($D$3:AA$3))*1.01*AB$3,0)</f>
        <v>552540</v>
      </c>
      <c r="AC5" s="48" cm="1">
        <f t="array" ref="AC5">ROUND(SUM(($D5:AB5)/SUM($D$3:AB$3))*1.01*AC$3,0)</f>
        <v>526431</v>
      </c>
      <c r="AD5" s="48" cm="1">
        <f t="array" ref="AD5">ROUND(SUM(($D5:AC5)/SUM($D$3:AC$3))*1.01*AD$3,0)</f>
        <v>605611</v>
      </c>
      <c r="AE5" s="48" cm="1">
        <f t="array" ref="AE5">ROUND(SUM(($D5:AD5)/SUM($D$3:AD$3))*1.01*AE$3,0)</f>
        <v>553166</v>
      </c>
      <c r="AF5" s="48" cm="1">
        <f t="array" ref="AF5">ROUND(SUM(($D5:AE5)/SUM($D$3:AE$3))*1.01*AF$3,0)</f>
        <v>579707</v>
      </c>
      <c r="AG5" s="48" cm="1">
        <f t="array" ref="AG5">ROUND(SUM(($D5:AF5)/SUM($D$3:AF$3))*1.01*AG$3,0)</f>
        <v>579909</v>
      </c>
      <c r="AH5" s="48" cm="1">
        <f t="array" ref="AH5">ROUND(SUM(($D5:AG5)/SUM($D$3:AG$3))*1.01*AH$3,0)</f>
        <v>553737</v>
      </c>
      <c r="AI5" s="48" cm="1">
        <f t="array" ref="AI5">ROUND(SUM(($D5:AH5)/SUM($D$3:AH$3))*1.01*AI$3,0)</f>
        <v>606663</v>
      </c>
      <c r="AJ5" s="48" cm="1">
        <f t="array" ref="AJ5">ROUND(SUM(($D5:AI5)/SUM($D$3:AI$3))*1.01*AJ$3,0)</f>
        <v>580478</v>
      </c>
      <c r="AK5" s="48" cm="1">
        <f t="array" ref="AK5">ROUND(SUM(($D5:AJ5)/SUM($D$3:AJ$3))*1.01*AK$3,0)</f>
        <v>554262</v>
      </c>
      <c r="AL5" s="48" cm="1">
        <f t="array" ref="AL5">ROUND(SUM(($D5:AK5)/SUM($D$3:AK$3))*1.01*AL$3,0)</f>
        <v>580821</v>
      </c>
      <c r="AM5" s="48" cm="1">
        <f t="array" ref="AM5">ROUND(SUM(($D5:AL5)/SUM($D$3:AL$3))*1.01*AM$3,0)</f>
        <v>580989</v>
      </c>
      <c r="AN5" s="48" cm="1">
        <f t="array" ref="AN5">ROUND(SUM(($D5:AM5)/SUM($D$3:AM$3))*1.01*AN$3,0)</f>
        <v>581152</v>
      </c>
      <c r="AO5" s="48" cm="1">
        <f t="array" ref="AO5">ROUND(SUM(($D5:AN5)/SUM($D$3:AN$3))*1.01*AO$3,0)</f>
        <v>528464</v>
      </c>
      <c r="AP5" s="48" cm="1">
        <f t="array" ref="AP5">ROUND(SUM(($D5:AO5)/SUM($D$3:AO$3))*1.01*AP$3,0)</f>
        <v>607881</v>
      </c>
      <c r="AQ5" s="48" cm="1">
        <f t="array" ref="AQ5">ROUND(SUM(($D5:AP5)/SUM($D$3:AP$3))*1.01*AQ$3,0)</f>
        <v>528736</v>
      </c>
      <c r="AR5" s="48" cm="1">
        <f t="array" ref="AR5">ROUND(SUM(($D5:AQ5)/SUM($D$3:AQ$3))*1.01*AR$3,0)</f>
        <v>608186</v>
      </c>
      <c r="AS5" s="48" cm="1">
        <f t="array" ref="AS5">ROUND(SUM(($D5:AR5)/SUM($D$3:AR$3))*1.01*AS$3,0)</f>
        <v>581894</v>
      </c>
      <c r="AT5" s="48" cm="1">
        <f t="array" ref="AT5">ROUND(SUM(($D5:AS5)/SUM($D$3:AS$3))*1.01*AT$3,0)</f>
        <v>555578</v>
      </c>
      <c r="AU5" s="48" cm="1">
        <f t="array" ref="AU5">ROUND(SUM(($D5:AT5)/SUM($D$3:AT$3))*1.01*AU$3,0)</f>
        <v>608627</v>
      </c>
      <c r="AV5" s="48" cm="1">
        <f t="array" ref="AV5">ROUND(SUM(($D5:AU5)/SUM($D$3:AU$3))*1.01*AV$3,0)</f>
        <v>555836</v>
      </c>
      <c r="AW5" s="48" cm="1">
        <f t="array" ref="AW5">ROUND(SUM(($D5:AV5)/SUM($D$3:AV$3))*1.01*AW$3,0)</f>
        <v>582430</v>
      </c>
      <c r="AX5" s="48" cm="1">
        <f t="array" ref="AX5">ROUND(SUM(($D5:AW5)/SUM($D$3:AW$3))*1.01*AX$3,0)</f>
        <v>582558</v>
      </c>
      <c r="AY5" s="48" cm="1">
        <f t="array" ref="AY5">ROUND(SUM(($D5:AX5)/SUM($D$3:AX$3))*1.01*AY$3,0)</f>
        <v>556198</v>
      </c>
      <c r="BA5" s="4">
        <f>SUMIFS(INDEX($D$5:$AY$16,MATCH($BA$1,$C$5:$C$16,0),0),$D$1:$AY$1,$BB5)/BE5</f>
        <v>922.46153846153845</v>
      </c>
      <c r="BB5">
        <v>2023</v>
      </c>
      <c r="BC5" s="10">
        <f>BA5-BA4</f>
        <v>3.4346153846154266</v>
      </c>
      <c r="BD5" s="11">
        <f>BC5/BA4</f>
        <v>3.7372304318531347E-3</v>
      </c>
      <c r="BE5" s="4">
        <f>SUMIFS(INDEX($D$1:$AY$16,MATCH($C$3,$C$1:$C$16,0),0),$D$1:$AY$1,$BB5)</f>
        <v>260</v>
      </c>
    </row>
    <row r="6" spans="1:57" x14ac:dyDescent="0.3">
      <c r="A6" t="s">
        <v>6</v>
      </c>
      <c r="B6" t="s">
        <v>12</v>
      </c>
      <c r="C6" t="s">
        <v>7</v>
      </c>
      <c r="D6" s="13">
        <v>578473</v>
      </c>
      <c r="E6" s="13">
        <v>508420</v>
      </c>
      <c r="F6" s="13">
        <v>561154</v>
      </c>
      <c r="G6" s="13">
        <v>552464</v>
      </c>
      <c r="H6" s="13">
        <v>542199</v>
      </c>
      <c r="I6" s="13">
        <v>564894</v>
      </c>
      <c r="J6" s="13">
        <v>583027</v>
      </c>
      <c r="K6" s="13">
        <v>537390</v>
      </c>
      <c r="L6" s="13">
        <v>560692</v>
      </c>
      <c r="M6" s="13">
        <v>563706</v>
      </c>
      <c r="N6" s="13">
        <v>544824</v>
      </c>
      <c r="O6" s="13">
        <v>589559</v>
      </c>
      <c r="P6" s="16" cm="1">
        <f t="array" ref="P6">ROUND(SUM(($D6:O6)/SUM($D$3:O$3))*1.04*P$3,0)</f>
        <v>557404</v>
      </c>
      <c r="Q6" s="16" cm="1">
        <f t="array" ref="Q6">ROUND(SUM(($D6:P6)/SUM($D$3:P$3))*1.04*Q$3,0)</f>
        <v>532436</v>
      </c>
      <c r="R6" s="16" cm="1">
        <f t="array" ref="R6">ROUND(SUM(($D6:Q6)/SUM($D$3:Q$3))*1.04*R$3,0)</f>
        <v>613918</v>
      </c>
      <c r="S6" s="16" cm="1">
        <f t="array" ref="S6">ROUND(SUM(($D6:R6)/SUM($D$3:R$3))*1.04*S$3,0)</f>
        <v>588883</v>
      </c>
      <c r="T6" s="16" cm="1">
        <f t="array" ref="T6">ROUND(SUM(($D6:S6)/SUM($D$3:S$3))*1.04*T$3,0)</f>
        <v>563537</v>
      </c>
      <c r="U6" s="16" cm="1">
        <f t="array" ref="U6">ROUND(SUM(($D6:T6)/SUM($D$3:T$3))*1.04*U$3,0)</f>
        <v>591716</v>
      </c>
      <c r="V6" s="16" cm="1">
        <f t="array" ref="V6">ROUND(SUM(($D6:U6)/SUM($D$3:U$3))*1.04*V$3,0)</f>
        <v>593048</v>
      </c>
      <c r="W6" s="16" cm="1">
        <f t="array" ref="W6">ROUND(SUM(($D6:V6)/SUM($D$3:V$3))*1.04*W$3,0)</f>
        <v>594312</v>
      </c>
      <c r="X6" s="16" cm="1">
        <f t="array" ref="X6">ROUND(SUM(($D6:W6)/SUM($D$3:W$3))*1.04*X$3,0)</f>
        <v>595514</v>
      </c>
      <c r="Y6" s="16" cm="1">
        <f t="array" ref="Y6">ROUND(SUM(($D6:X6)/SUM($D$3:X$3))*1.04*Y$3,0)</f>
        <v>569540</v>
      </c>
      <c r="Z6" s="16" cm="1">
        <f t="array" ref="Z6">ROUND(SUM(($D6:Y6)/SUM($D$3:Y$3))*1.04*Z$3,0)</f>
        <v>597709</v>
      </c>
      <c r="AA6" s="16" cm="1">
        <f t="array" ref="AA6">ROUND(SUM(($D6:Z6)/SUM($D$3:Z$3))*1.04*AA$3,0)</f>
        <v>625978</v>
      </c>
      <c r="AB6" s="48" cm="1">
        <f t="array" ref="AB6">ROUND(SUM(($D6:AA6)/SUM($D$3:AA$3))*1.03*AB$3,0)</f>
        <v>567045</v>
      </c>
      <c r="AC6" s="48" cm="1">
        <f t="array" ref="AC6">ROUND(SUM(($D6:AB6)/SUM($D$3:AB$3))*1.03*AC$3,0)</f>
        <v>540668</v>
      </c>
      <c r="AD6" s="48" cm="1">
        <f t="array" ref="AD6">ROUND(SUM(($D6:AC6)/SUM($D$3:AC$3))*1.03*AD$3,0)</f>
        <v>622430</v>
      </c>
      <c r="AE6" s="48" cm="1">
        <f t="array" ref="AE6">ROUND(SUM(($D6:AD6)/SUM($D$3:AD$3))*1.03*AE$3,0)</f>
        <v>568974</v>
      </c>
      <c r="AF6" s="48" cm="1">
        <f t="array" ref="AF6">ROUND(SUM(($D6:AE6)/SUM($D$3:AE$3))*1.03*AF$3,0)</f>
        <v>596685</v>
      </c>
      <c r="AG6" s="48" cm="1">
        <f t="array" ref="AG6">ROUND(SUM(($D6:AF6)/SUM($D$3:AF$3))*1.03*AG$3,0)</f>
        <v>597310</v>
      </c>
      <c r="AH6" s="48" cm="1">
        <f t="array" ref="AH6">ROUND(SUM(($D6:AG6)/SUM($D$3:AG$3))*1.03*AH$3,0)</f>
        <v>570737</v>
      </c>
      <c r="AI6" s="48" cm="1">
        <f t="array" ref="AI6">ROUND(SUM(($D6:AH6)/SUM($D$3:AH$3))*1.03*AI$3,0)</f>
        <v>625678</v>
      </c>
      <c r="AJ6" s="48" cm="1">
        <f t="array" ref="AJ6">ROUND(SUM(($D6:AI6)/SUM($D$3:AI$3))*1.03*AJ$3,0)</f>
        <v>599068</v>
      </c>
      <c r="AK6" s="48" cm="1">
        <f t="array" ref="AK6">ROUND(SUM(($D6:AJ6)/SUM($D$3:AJ$3))*1.03*AK$3,0)</f>
        <v>572363</v>
      </c>
      <c r="AL6" s="48" cm="1">
        <f t="array" ref="AL6">ROUND(SUM(($D6:AK6)/SUM($D$3:AK$3))*1.03*AL$3,0)</f>
        <v>600130</v>
      </c>
      <c r="AM6" s="48" cm="1">
        <f t="array" ref="AM6">ROUND(SUM(($D6:AL6)/SUM($D$3:AL$3))*1.03*AM$3,0)</f>
        <v>600650</v>
      </c>
      <c r="AN6" s="48" cm="1">
        <f t="array" ref="AN6">ROUND(SUM(($D6:AM6)/SUM($D$3:AM$3))*0.98*AN$3,0)</f>
        <v>571974</v>
      </c>
      <c r="AO6" s="48" cm="1">
        <f t="array" ref="AO6">ROUND(SUM(($D6:AN6)/SUM($D$3:AN$3))*0.98*AO$3,0)</f>
        <v>519692</v>
      </c>
      <c r="AP6" s="48" cm="1">
        <f t="array" ref="AP6">ROUND(SUM(($D6:AO6)/SUM($D$3:AO$3))*0.98*AP$3,0)</f>
        <v>597356</v>
      </c>
      <c r="AQ6" s="48" cm="1">
        <f t="array" ref="AQ6">ROUND(SUM(($D6:AP6)/SUM($D$3:AP$3))*0.98*AQ$3,0)</f>
        <v>519159</v>
      </c>
      <c r="AR6" s="48" cm="1">
        <f t="array" ref="AR6">ROUND(SUM(($D6:AQ6)/SUM($D$3:AQ$3))*0.98*AR$3,0)</f>
        <v>596757</v>
      </c>
      <c r="AS6" s="48" cm="1">
        <f t="array" ref="AS6">ROUND(SUM(($D6:AR6)/SUM($D$3:AR$3))*0.98*AS$3,0)</f>
        <v>570517</v>
      </c>
      <c r="AT6" s="48" cm="1">
        <f t="array" ref="AT6">ROUND(SUM(($D6:AS6)/SUM($D$3:AS$3))*0.98*AT$3,0)</f>
        <v>544322</v>
      </c>
      <c r="AU6" s="48" cm="1">
        <f t="array" ref="AU6">ROUND(SUM(($D6:AT6)/SUM($D$3:AT$3))*0.98*AU$3,0)</f>
        <v>595894</v>
      </c>
      <c r="AV6" s="48" cm="1">
        <f t="array" ref="AV6">ROUND(SUM(($D6:AU6)/SUM($D$3:AU$3))*0.98*AV$3,0)</f>
        <v>543815</v>
      </c>
      <c r="AW6" s="48" cm="1">
        <f t="array" ref="AW6">ROUND(SUM(($D6:AV6)/SUM($D$3:AV$3))*0.98*AW$3,0)</f>
        <v>569467</v>
      </c>
      <c r="AX6" s="48" cm="1">
        <f t="array" ref="AX6">ROUND(SUM(($D6:AW6)/SUM($D$3:AW$3))*0.98*AX$3,0)</f>
        <v>569216</v>
      </c>
      <c r="AY6" s="48" cm="1">
        <f t="array" ref="AY6">ROUND(SUM(($D6:AX6)/SUM($D$3:AX$3))*0.98*AY$3,0)</f>
        <v>543109</v>
      </c>
    </row>
    <row r="7" spans="1:57" x14ac:dyDescent="0.3">
      <c r="A7" t="s">
        <v>6</v>
      </c>
      <c r="B7" t="s">
        <v>12</v>
      </c>
      <c r="C7" t="s">
        <v>8</v>
      </c>
      <c r="D7" s="14">
        <f>635*D$3</f>
        <v>14605</v>
      </c>
      <c r="E7" s="14">
        <f t="shared" ref="E7:O7" si="2">635*E$3</f>
        <v>12700</v>
      </c>
      <c r="F7" s="14">
        <f t="shared" si="2"/>
        <v>13970</v>
      </c>
      <c r="G7" s="14">
        <f t="shared" si="2"/>
        <v>13970</v>
      </c>
      <c r="H7" s="14">
        <f t="shared" si="2"/>
        <v>13335</v>
      </c>
      <c r="I7" s="14">
        <f t="shared" si="2"/>
        <v>13970</v>
      </c>
      <c r="J7" s="14">
        <f t="shared" si="2"/>
        <v>14605</v>
      </c>
      <c r="K7" s="14">
        <f t="shared" si="2"/>
        <v>13335</v>
      </c>
      <c r="L7" s="14">
        <f t="shared" si="2"/>
        <v>13970</v>
      </c>
      <c r="M7" s="14">
        <f t="shared" si="2"/>
        <v>13970</v>
      </c>
      <c r="N7" s="14">
        <f t="shared" si="2"/>
        <v>13335</v>
      </c>
      <c r="O7" s="14">
        <f t="shared" si="2"/>
        <v>14605</v>
      </c>
      <c r="P7" s="16" cm="1">
        <f t="array" ref="P7">ROUND(SUM(($D7:O7)/SUM($D$3:O$3))*1.01*P$3,0)</f>
        <v>13468</v>
      </c>
      <c r="Q7" s="16" cm="1">
        <f t="array" ref="Q7">ROUND(SUM(($D7:P7)/SUM($D$3:P$3))*1.01*Q$3,0)</f>
        <v>12836</v>
      </c>
      <c r="R7" s="16" cm="1">
        <f t="array" ref="R7">ROUND(SUM(($D7:Q7)/SUM($D$3:Q$3))*1.01*R$3,0)</f>
        <v>14772</v>
      </c>
      <c r="S7" s="16" cm="1">
        <f t="array" ref="S7">ROUND(SUM(($D7:R7)/SUM($D$3:R$3))*1.01*S$3,0)</f>
        <v>14139</v>
      </c>
      <c r="T7" s="16" cm="1">
        <f t="array" ref="T7">ROUND(SUM(($D7:S7)/SUM($D$3:S$3))*1.01*T$3,0)</f>
        <v>13505</v>
      </c>
      <c r="U7" s="16" cm="1">
        <f t="array" ref="U7">ROUND(SUM(($D7:T7)/SUM($D$3:T$3))*1.01*U$3,0)</f>
        <v>14156</v>
      </c>
      <c r="V7" s="16" cm="1">
        <f t="array" ref="V7">ROUND(SUM(($D7:U7)/SUM($D$3:U$3))*1.01*V$3,0)</f>
        <v>14164</v>
      </c>
      <c r="W7" s="16" cm="1">
        <f t="array" ref="W7">ROUND(SUM(($D7:V7)/SUM($D$3:V$3))*1.01*W$3,0)</f>
        <v>14172</v>
      </c>
      <c r="X7" s="16" cm="1">
        <f t="array" ref="X7">ROUND(SUM(($D7:W7)/SUM($D$3:W$3))*1.01*X$3,0)</f>
        <v>14179</v>
      </c>
      <c r="Y7" s="16" cm="1">
        <f t="array" ref="Y7">ROUND(SUM(($D7:X7)/SUM($D$3:X$3))*1.01*Y$3,0)</f>
        <v>13541</v>
      </c>
      <c r="Z7" s="16" cm="1">
        <f t="array" ref="Z7">ROUND(SUM(($D7:Y7)/SUM($D$3:Y$3))*1.01*Z$3,0)</f>
        <v>14192</v>
      </c>
      <c r="AA7" s="16" cm="1">
        <f t="array" ref="AA7">ROUND(SUM(($D7:Z7)/SUM($D$3:Z$3))*1.01*AA$3,0)</f>
        <v>14844</v>
      </c>
      <c r="AB7" s="16" cm="1">
        <f t="array" ref="AB7">ROUND(SUM(($D7:AA7)/SUM($D$3:AA$3))*1.02*AB$3,0)</f>
        <v>13693</v>
      </c>
      <c r="AC7" s="16" cm="1">
        <f t="array" ref="AC7">ROUND(SUM(($D7:AB7)/SUM($D$3:AB$3))*1.02*AC$3,0)</f>
        <v>13051</v>
      </c>
      <c r="AD7" s="16" cm="1">
        <f t="array" ref="AD7">ROUND(SUM(($D7:AC7)/SUM($D$3:AC$3))*1.02*AD$3,0)</f>
        <v>15019</v>
      </c>
      <c r="AE7" s="16" cm="1">
        <f t="array" ref="AE7">ROUND(SUM(($D7:AD7)/SUM($D$3:AD$3))*1.02*AE$3,0)</f>
        <v>13724</v>
      </c>
      <c r="AF7" s="16" cm="1">
        <f t="array" ref="AF7">ROUND(SUM(($D7:AE7)/SUM($D$3:AE$3))*1.02*AF$3,0)</f>
        <v>14388</v>
      </c>
      <c r="AG7" s="16" cm="1">
        <f t="array" ref="AG7">ROUND(SUM(($D7:AF7)/SUM($D$3:AF$3))*1.02*AG$3,0)</f>
        <v>14398</v>
      </c>
      <c r="AH7" s="16" cm="1">
        <f t="array" ref="AH7">ROUND(SUM(($D7:AG7)/SUM($D$3:AG$3))*1.02*AH$3,0)</f>
        <v>13753</v>
      </c>
      <c r="AI7" s="16" cm="1">
        <f t="array" ref="AI7">ROUND(SUM(($D7:AH7)/SUM($D$3:AH$3))*1.02*AI$3,0)</f>
        <v>15072</v>
      </c>
      <c r="AJ7" s="16" cm="1">
        <f t="array" ref="AJ7">ROUND(SUM(($D7:AI7)/SUM($D$3:AI$3))*1.02*AJ$3,0)</f>
        <v>14426</v>
      </c>
      <c r="AK7" s="16" cm="1">
        <f t="array" ref="AK7">ROUND(SUM(($D7:AJ7)/SUM($D$3:AJ$3))*1.02*AK$3,0)</f>
        <v>13779</v>
      </c>
      <c r="AL7" s="16" cm="1">
        <f t="array" ref="AL7">ROUND(SUM(($D7:AK7)/SUM($D$3:AK$3))*1.02*AL$3,0)</f>
        <v>14443</v>
      </c>
      <c r="AM7" s="16" cm="1">
        <f t="array" ref="AM7">ROUND(SUM(($D7:AL7)/SUM($D$3:AL$3))*1.02*AM$3,0)</f>
        <v>14451</v>
      </c>
      <c r="AN7" s="16" cm="1">
        <f t="array" ref="AN7">ROUND(SUM(($D7:AM7)/SUM($D$3:AM$3))*1.04*AN$3,0)</f>
        <v>14743</v>
      </c>
      <c r="AO7" s="16" cm="1">
        <f t="array" ref="AO7">ROUND(SUM(($D7:AN7)/SUM($D$3:AN$3))*1.04*AO$3,0)</f>
        <v>13417</v>
      </c>
      <c r="AP7" s="16" cm="1">
        <f t="array" ref="AP7">ROUND(SUM(($D7:AO7)/SUM($D$3:AO$3))*1.04*AP$3,0)</f>
        <v>15445</v>
      </c>
      <c r="AQ7" s="16" cm="1">
        <f t="array" ref="AQ7">ROUND(SUM(($D7:AP7)/SUM($D$3:AP$3))*1.04*AQ$3,0)</f>
        <v>13445</v>
      </c>
      <c r="AR7" s="16" cm="1">
        <f t="array" ref="AR7">ROUND(SUM(($D7:AQ7)/SUM($D$3:AQ$3))*1.04*AR$3,0)</f>
        <v>15476</v>
      </c>
      <c r="AS7" s="16" cm="1">
        <f t="array" ref="AS7">ROUND(SUM(($D7:AR7)/SUM($D$3:AR$3))*1.04*AS$3,0)</f>
        <v>14818</v>
      </c>
      <c r="AT7" s="16" cm="1">
        <f t="array" ref="AT7">ROUND(SUM(($D7:AS7)/SUM($D$3:AS$3))*1.04*AT$3,0)</f>
        <v>14158</v>
      </c>
      <c r="AU7" s="16" cm="1">
        <f t="array" ref="AU7">ROUND(SUM(($D7:AT7)/SUM($D$3:AT$3))*1.04*AU$3,0)</f>
        <v>15521</v>
      </c>
      <c r="AV7" s="16" cm="1">
        <f t="array" ref="AV7">ROUND(SUM(($D7:AU7)/SUM($D$3:AU$3))*1.04*AV$3,0)</f>
        <v>14185</v>
      </c>
      <c r="AW7" s="16" cm="1">
        <f t="array" ref="AW7">ROUND(SUM(($D7:AV7)/SUM($D$3:AV$3))*1.04*AW$3,0)</f>
        <v>14873</v>
      </c>
      <c r="AX7" s="16" cm="1">
        <f t="array" ref="AX7">ROUND(SUM(($D7:AW7)/SUM($D$3:AW$3))*1.04*AX$3,0)</f>
        <v>14886</v>
      </c>
      <c r="AY7" s="16" cm="1">
        <f t="array" ref="AY7">ROUND(SUM(($D7:AX7)/SUM($D$3:AX$3))*1.04*AY$3,0)</f>
        <v>14222</v>
      </c>
    </row>
    <row r="8" spans="1:57" x14ac:dyDescent="0.3">
      <c r="A8" t="s">
        <v>6</v>
      </c>
      <c r="B8" t="s">
        <v>12</v>
      </c>
      <c r="C8" t="s">
        <v>10</v>
      </c>
      <c r="D8" s="13">
        <v>588662</v>
      </c>
      <c r="E8" s="13">
        <v>503380</v>
      </c>
      <c r="F8" s="13">
        <v>556776</v>
      </c>
      <c r="G8" s="13">
        <v>554950</v>
      </c>
      <c r="H8" s="13">
        <v>534492</v>
      </c>
      <c r="I8" s="13">
        <v>570526</v>
      </c>
      <c r="J8" s="13">
        <v>589122</v>
      </c>
      <c r="K8" s="13">
        <v>543984</v>
      </c>
      <c r="L8" s="13">
        <v>553740</v>
      </c>
      <c r="M8" s="13">
        <v>564740</v>
      </c>
      <c r="N8" s="13">
        <v>537264</v>
      </c>
      <c r="O8" s="13">
        <v>586247</v>
      </c>
      <c r="P8" s="48" cm="1">
        <f t="array" ref="P8">ROUND(SUM(($D8:O8)/SUM($D$3:O$3))*1.035*P$3,0)</f>
        <v>554482</v>
      </c>
      <c r="Q8" s="48" cm="1">
        <f t="array" ref="Q8">ROUND(SUM(($D8:P8)/SUM($D$3:P$3))*1.035*Q$3,0)</f>
        <v>529449</v>
      </c>
      <c r="R8" s="48" cm="1">
        <f t="array" ref="R8">ROUND(SUM(($D8:Q8)/SUM($D$3:Q$3))*1.035*R$3,0)</f>
        <v>610273</v>
      </c>
      <c r="S8" s="48" cm="1">
        <f t="array" ref="S8">ROUND(SUM(($D8:R8)/SUM($D$3:R$3))*1.035*S$3,0)</f>
        <v>585181</v>
      </c>
      <c r="T8" s="48" cm="1">
        <f t="array" ref="T8">ROUND(SUM(($D8:S8)/SUM($D$3:S$3))*1.035*T$3,0)</f>
        <v>559818</v>
      </c>
      <c r="U8" s="48" cm="1">
        <f t="array" ref="U8">ROUND(SUM(($D8:T8)/SUM($D$3:T$3))*1.035*U$3,0)</f>
        <v>587644</v>
      </c>
      <c r="V8" s="48" cm="1">
        <f t="array" ref="V8">ROUND(SUM(($D8:U8)/SUM($D$3:U$3))*1.035*V$3,0)</f>
        <v>588801</v>
      </c>
      <c r="W8" s="48" cm="1">
        <f t="array" ref="W8">ROUND(SUM(($D8:V8)/SUM($D$3:V$3))*1.035*W$3,0)</f>
        <v>589899</v>
      </c>
      <c r="X8" s="48" cm="1">
        <f t="array" ref="X8">ROUND(SUM(($D8:W8)/SUM($D$3:W$3))*1.035*X$3,0)</f>
        <v>590943</v>
      </c>
      <c r="Y8" s="48" cm="1">
        <f t="array" ref="Y8">ROUND(SUM(($D8:X8)/SUM($D$3:X$3))*1.035*Y$3,0)</f>
        <v>565033</v>
      </c>
      <c r="Z8" s="48" cm="1">
        <f t="array" ref="Z8">ROUND(SUM(($D8:Y8)/SUM($D$3:Y$3))*1.035*Z$3,0)</f>
        <v>592849</v>
      </c>
      <c r="AA8" s="48" cm="1">
        <f t="array" ref="AA8">ROUND(SUM(($D8:Z8)/SUM($D$3:Z$3))*1.035*AA$3,0)</f>
        <v>620751</v>
      </c>
      <c r="AB8" s="48" cm="1">
        <f t="array" ref="AB8">ROUND(SUM(($D8:AA8)/SUM($D$3:AA$3))*1.01*AB$3,0)</f>
        <v>553934</v>
      </c>
      <c r="AC8" s="48" cm="1">
        <f t="array" ref="AC8">ROUND(SUM(($D8:AB8)/SUM($D$3:AB$3))*1.01*AC$3,0)</f>
        <v>527760</v>
      </c>
      <c r="AD8" s="48" cm="1">
        <f t="array" ref="AD8">ROUND(SUM(($D8:AC8)/SUM($D$3:AC$3))*1.01*AD$3,0)</f>
        <v>607139</v>
      </c>
      <c r="AE8" s="48" cm="1">
        <f t="array" ref="AE8">ROUND(SUM(($D8:AD8)/SUM($D$3:AD$3))*1.01*AE$3,0)</f>
        <v>554562</v>
      </c>
      <c r="AF8" s="48" cm="1">
        <f t="array" ref="AF8">ROUND(SUM(($D8:AE8)/SUM($D$3:AE$3))*1.01*AF$3,0)</f>
        <v>581170</v>
      </c>
      <c r="AG8" s="48" cm="1">
        <f t="array" ref="AG8">ROUND(SUM(($D8:AF8)/SUM($D$3:AF$3))*1.01*AG$3,0)</f>
        <v>581373</v>
      </c>
      <c r="AH8" s="48" cm="1">
        <f t="array" ref="AH8">ROUND(SUM(($D8:AG8)/SUM($D$3:AG$3))*1.01*AH$3,0)</f>
        <v>555134</v>
      </c>
      <c r="AI8" s="48" cm="1">
        <f t="array" ref="AI8">ROUND(SUM(($D8:AH8)/SUM($D$3:AH$3))*1.01*AI$3,0)</f>
        <v>608194</v>
      </c>
      <c r="AJ8" s="48" cm="1">
        <f t="array" ref="AJ8">ROUND(SUM(($D8:AI8)/SUM($D$3:AI$3))*1.01*AJ$3,0)</f>
        <v>581943</v>
      </c>
      <c r="AK8" s="48" cm="1">
        <f t="array" ref="AK8">ROUND(SUM(($D8:AJ8)/SUM($D$3:AJ$3))*1.01*AK$3,0)</f>
        <v>555661</v>
      </c>
      <c r="AL8" s="48" cm="1">
        <f t="array" ref="AL8">ROUND(SUM(($D8:AK8)/SUM($D$3:AK$3))*1.01*AL$3,0)</f>
        <v>582287</v>
      </c>
      <c r="AM8" s="48" cm="1">
        <f t="array" ref="AM8">ROUND(SUM(($D8:AL8)/SUM($D$3:AL$3))*1.01*AM$3,0)</f>
        <v>582455</v>
      </c>
      <c r="AN8" s="48" cm="1">
        <f t="array" ref="AN8">ROUND(SUM(($D8:AM8)/SUM($D$3:AM$3))*0.99*AN$3,0)</f>
        <v>571082</v>
      </c>
      <c r="AO8" s="48" cm="1">
        <f t="array" ref="AO8">ROUND(SUM(($D8:AN8)/SUM($D$3:AN$3))*0.99*AO$3,0)</f>
        <v>519023</v>
      </c>
      <c r="AP8" s="48" cm="1">
        <f t="array" ref="AP8">ROUND(SUM(($D8:AO8)/SUM($D$3:AO$3))*0.99*AP$3,0)</f>
        <v>596732</v>
      </c>
      <c r="AQ8" s="48" cm="1">
        <f t="array" ref="AQ8">ROUND(SUM(($D8:AP8)/SUM($D$3:AP$3))*0.99*AQ$3,0)</f>
        <v>518757</v>
      </c>
      <c r="AR8" s="48" cm="1">
        <f t="array" ref="AR8">ROUND(SUM(($D8:AQ8)/SUM($D$3:AQ$3))*0.99*AR$3,0)</f>
        <v>596433</v>
      </c>
      <c r="AS8" s="48" cm="1">
        <f t="array" ref="AS8">ROUND(SUM(($D8:AR8)/SUM($D$3:AR$3))*0.99*AS$3,0)</f>
        <v>570354</v>
      </c>
      <c r="AT8" s="48" cm="1">
        <f t="array" ref="AT8">ROUND(SUM(($D8:AS8)/SUM($D$3:AS$3))*0.99*AT$3,0)</f>
        <v>544297</v>
      </c>
      <c r="AU8" s="48" cm="1">
        <f t="array" ref="AU8">ROUND(SUM(($D8:AT8)/SUM($D$3:AT$3))*0.99*AU$3,0)</f>
        <v>596001</v>
      </c>
      <c r="AV8" s="48" cm="1">
        <f t="array" ref="AV8">ROUND(SUM(($D8:AU8)/SUM($D$3:AU$3))*0.99*AV$3,0)</f>
        <v>544044</v>
      </c>
      <c r="AW8" s="48" cm="1">
        <f t="array" ref="AW8">ROUND(SUM(($D8:AV8)/SUM($D$3:AV$3))*0.99*AW$3,0)</f>
        <v>569829</v>
      </c>
      <c r="AX8" s="48" cm="1">
        <f t="array" ref="AX8">ROUND(SUM(($D8:AW8)/SUM($D$3:AW$3))*0.99*AX$3,0)</f>
        <v>569703</v>
      </c>
      <c r="AY8" s="48" cm="1">
        <f t="array" ref="AY8">ROUND(SUM(($D8:AX8)/SUM($D$3:AX$3))*0.99*AY$3,0)</f>
        <v>543690</v>
      </c>
    </row>
    <row r="9" spans="1:57" x14ac:dyDescent="0.3">
      <c r="A9" t="s">
        <v>73</v>
      </c>
      <c r="B9" t="s">
        <v>11</v>
      </c>
      <c r="C9" t="s">
        <v>16</v>
      </c>
      <c r="D9" s="14">
        <f>1100*D$3</f>
        <v>25300</v>
      </c>
      <c r="E9" s="14">
        <f t="shared" ref="E9:O9" si="3">1100*E$3</f>
        <v>22000</v>
      </c>
      <c r="F9" s="14">
        <f t="shared" si="3"/>
        <v>24200</v>
      </c>
      <c r="G9" s="14">
        <f t="shared" si="3"/>
        <v>24200</v>
      </c>
      <c r="H9" s="14">
        <f t="shared" si="3"/>
        <v>23100</v>
      </c>
      <c r="I9" s="14">
        <f t="shared" si="3"/>
        <v>24200</v>
      </c>
      <c r="J9" s="14">
        <f t="shared" si="3"/>
        <v>25300</v>
      </c>
      <c r="K9" s="14">
        <f t="shared" si="3"/>
        <v>23100</v>
      </c>
      <c r="L9" s="14">
        <f t="shared" si="3"/>
        <v>24200</v>
      </c>
      <c r="M9" s="14">
        <f t="shared" si="3"/>
        <v>24200</v>
      </c>
      <c r="N9" s="14">
        <f t="shared" si="3"/>
        <v>23100</v>
      </c>
      <c r="O9" s="14">
        <f t="shared" si="3"/>
        <v>25300</v>
      </c>
      <c r="P9" s="16" cm="1">
        <f t="array" ref="P9">ROUND(SUM(($D9:O9)/SUM($D$3:O$3))*0.995*P$3,0)</f>
        <v>22985</v>
      </c>
      <c r="Q9" s="16" cm="1">
        <f t="array" ref="Q9">ROUND(SUM(($D9:P9)/SUM($D$3:P$3))*0.995*Q$3,0)</f>
        <v>21882</v>
      </c>
      <c r="R9" s="16" cm="1">
        <f t="array" ref="R9">ROUND(SUM(($D9:Q9)/SUM($D$3:Q$3))*0.995*R$3,0)</f>
        <v>25156</v>
      </c>
      <c r="S9" s="16" cm="1">
        <f t="array" ref="S9">ROUND(SUM(($D9:R9)/SUM($D$3:R$3))*0.995*S$3,0)</f>
        <v>24054</v>
      </c>
      <c r="T9" s="16" cm="1">
        <f t="array" ref="T9">ROUND(SUM(($D9:S9)/SUM($D$3:S$3))*0.995*T$3,0)</f>
        <v>22953</v>
      </c>
      <c r="U9" s="16" cm="1">
        <f t="array" ref="U9">ROUND(SUM(($D9:T9)/SUM($D$3:T$3))*0.995*U$3,0)</f>
        <v>24039</v>
      </c>
      <c r="V9" s="16" cm="1">
        <f t="array" ref="V9">ROUND(SUM(($D9:U9)/SUM($D$3:U$3))*0.995*V$3,0)</f>
        <v>24032</v>
      </c>
      <c r="W9" s="16" cm="1">
        <f t="array" ref="W9">ROUND(SUM(($D9:V9)/SUM($D$3:V$3))*0.995*W$3,0)</f>
        <v>24026</v>
      </c>
      <c r="X9" s="16" cm="1">
        <f t="array" ref="X9">ROUND(SUM(($D9:W9)/SUM($D$3:W$3))*0.995*X$3,0)</f>
        <v>24020</v>
      </c>
      <c r="Y9" s="16" cm="1">
        <f t="array" ref="Y9">ROUND(SUM(($D9:X9)/SUM($D$3:X$3))*0.995*Y$3,0)</f>
        <v>22923</v>
      </c>
      <c r="Z9" s="16" cm="1">
        <f t="array" ref="Z9">ROUND(SUM(($D9:Y9)/SUM($D$3:Y$3))*0.995*Z$3,0)</f>
        <v>24009</v>
      </c>
      <c r="AA9" s="16" cm="1">
        <f t="array" ref="AA9">ROUND(SUM(($D9:Z9)/SUM($D$3:Z$3))*0.995*AA$3,0)</f>
        <v>25095</v>
      </c>
      <c r="AB9" s="57" cm="1">
        <f t="array" ref="AB9">ROUND(SUM(($D9:AA9)/SUM($D$3:AA$3))*1.02*AB$3,0)</f>
        <v>23483</v>
      </c>
      <c r="AC9" s="57" cm="1">
        <f t="array" ref="AC9">ROUND(SUM(($D9:AB9)/SUM($D$3:AB$3))*1.02*AC$3,0)</f>
        <v>22382</v>
      </c>
      <c r="AD9" s="57" cm="1">
        <f t="array" ref="AD9">ROUND(SUM(($D9:AC9)/SUM($D$3:AC$3))*1.02*AD$3,0)</f>
        <v>25758</v>
      </c>
      <c r="AE9" s="57" cm="1">
        <f t="array" ref="AE9">ROUND(SUM(($D9:AD9)/SUM($D$3:AD$3))*1.02*AE$3,0)</f>
        <v>23536</v>
      </c>
      <c r="AF9" s="57" cm="1">
        <f t="array" ref="AF9">ROUND(SUM(($D9:AE9)/SUM($D$3:AE$3))*1.02*AF$3,0)</f>
        <v>24674</v>
      </c>
      <c r="AG9" s="57" cm="1">
        <f t="array" ref="AG9">ROUND(SUM(($D9:AF9)/SUM($D$3:AF$3))*1.02*AG$3,0)</f>
        <v>24691</v>
      </c>
      <c r="AH9" s="57" cm="1">
        <f t="array" ref="AH9">ROUND(SUM(($D9:AG9)/SUM($D$3:AG$3))*1.02*AH$3,0)</f>
        <v>23585</v>
      </c>
      <c r="AI9" s="57" cm="1">
        <f t="array" ref="AI9">ROUND(SUM(($D9:AH9)/SUM($D$3:AH$3))*1.02*AI$3,0)</f>
        <v>25847</v>
      </c>
      <c r="AJ9" s="57" cm="1">
        <f t="array" ref="AJ9">ROUND(SUM(($D9:AI9)/SUM($D$3:AI$3))*1.02*AJ$3,0)</f>
        <v>24740</v>
      </c>
      <c r="AK9" s="57" cm="1">
        <f t="array" ref="AK9">ROUND(SUM(($D9:AJ9)/SUM($D$3:AJ$3))*1.02*AK$3,0)</f>
        <v>23630</v>
      </c>
      <c r="AL9" s="57" cm="1">
        <f t="array" ref="AL9">ROUND(SUM(($D9:AK9)/SUM($D$3:AK$3))*1.02*AL$3,0)</f>
        <v>24769</v>
      </c>
      <c r="AM9" s="57" cm="1">
        <f t="array" ref="AM9">ROUND(SUM(($D9:AL9)/SUM($D$3:AL$3))*1.02*AM$3,0)</f>
        <v>24783</v>
      </c>
      <c r="AN9" s="57" cm="1">
        <f t="array" ref="AN9">ROUND(SUM(($D9:AM9)/SUM($D$3:AM$3))*1.02*AN$3,0)</f>
        <v>24797</v>
      </c>
      <c r="AO9" s="57" cm="1">
        <f t="array" ref="AO9">ROUND(SUM(($D9:AN9)/SUM($D$3:AN$3))*1.02*AO$3,0)</f>
        <v>22555</v>
      </c>
      <c r="AP9" s="57" cm="1">
        <f t="array" ref="AP9">ROUND(SUM(($D9:AO9)/SUM($D$3:AO$3))*1.02*AP$3,0)</f>
        <v>25951</v>
      </c>
      <c r="AQ9" s="57" cm="1">
        <f t="array" ref="AQ9">ROUND(SUM(($D9:AP9)/SUM($D$3:AP$3))*1.02*AQ$3,0)</f>
        <v>22578</v>
      </c>
      <c r="AR9" s="57" cm="1">
        <f t="array" ref="AR9">ROUND(SUM(($D9:AQ9)/SUM($D$3:AQ$3))*1.02*AR$3,0)</f>
        <v>25977</v>
      </c>
      <c r="AS9" s="57" cm="1">
        <f t="array" ref="AS9">ROUND(SUM(($D9:AR9)/SUM($D$3:AR$3))*1.02*AS$3,0)</f>
        <v>24861</v>
      </c>
      <c r="AT9" s="57" cm="1">
        <f t="array" ref="AT9">ROUND(SUM(($D9:AS9)/SUM($D$3:AS$3))*1.02*AT$3,0)</f>
        <v>23742</v>
      </c>
      <c r="AU9" s="57" cm="1">
        <f t="array" ref="AU9">ROUND(SUM(($D9:AT9)/SUM($D$3:AT$3))*1.02*AU$3,0)</f>
        <v>26015</v>
      </c>
      <c r="AV9" s="57" cm="1">
        <f t="array" ref="AV9">ROUND(SUM(($D9:AU9)/SUM($D$3:AU$3))*1.02*AV$3,0)</f>
        <v>23764</v>
      </c>
      <c r="AW9" s="57" cm="1">
        <f t="array" ref="AW9">ROUND(SUM(($D9:AV9)/SUM($D$3:AV$3))*1.02*AW$3,0)</f>
        <v>24906</v>
      </c>
      <c r="AX9" s="57" cm="1">
        <f t="array" ref="AX9">ROUND(SUM(($D9:AW9)/SUM($D$3:AW$3))*1.02*AX$3,0)</f>
        <v>24917</v>
      </c>
      <c r="AY9" s="57" cm="1">
        <f t="array" ref="AY9">ROUND(SUM(($D9:AX9)/SUM($D$3:AX$3))*1.02*AY$3,0)</f>
        <v>23795</v>
      </c>
    </row>
    <row r="10" spans="1:57" x14ac:dyDescent="0.3">
      <c r="A10" t="s">
        <v>73</v>
      </c>
      <c r="B10" t="s">
        <v>11</v>
      </c>
      <c r="C10" t="s">
        <v>15</v>
      </c>
      <c r="D10" s="14">
        <f>1600*D$3</f>
        <v>36800</v>
      </c>
      <c r="E10" s="14">
        <f t="shared" ref="E10:O10" si="4">1600*E$3</f>
        <v>32000</v>
      </c>
      <c r="F10" s="14">
        <f t="shared" si="4"/>
        <v>35200</v>
      </c>
      <c r="G10" s="14">
        <f t="shared" si="4"/>
        <v>35200</v>
      </c>
      <c r="H10" s="14">
        <f t="shared" si="4"/>
        <v>33600</v>
      </c>
      <c r="I10" s="14">
        <f t="shared" si="4"/>
        <v>35200</v>
      </c>
      <c r="J10" s="14">
        <f t="shared" si="4"/>
        <v>36800</v>
      </c>
      <c r="K10" s="14">
        <f t="shared" si="4"/>
        <v>33600</v>
      </c>
      <c r="L10" s="14">
        <f t="shared" si="4"/>
        <v>35200</v>
      </c>
      <c r="M10" s="14">
        <f t="shared" si="4"/>
        <v>35200</v>
      </c>
      <c r="N10" s="14">
        <f t="shared" si="4"/>
        <v>33600</v>
      </c>
      <c r="O10" s="14">
        <f t="shared" si="4"/>
        <v>36800</v>
      </c>
      <c r="P10" s="57" cm="1">
        <f t="array" ref="P10">ROUND(SUM(($D10:O10)/SUM($D$3:O$3))*1.025*P$3,0)</f>
        <v>34440</v>
      </c>
      <c r="Q10" s="57" cm="1">
        <f t="array" ref="Q10">ROUND(SUM(($D10:P10)/SUM($D$3:P$3))*1.025*Q$3,0)</f>
        <v>32861</v>
      </c>
      <c r="R10" s="57" cm="1">
        <f t="array" ref="R10">ROUND(SUM(($D10:Q10)/SUM($D$3:Q$3))*1.025*R$3,0)</f>
        <v>37852</v>
      </c>
      <c r="S10" s="57" cm="1">
        <f t="array" ref="S10">ROUND(SUM(($D10:R10)/SUM($D$3:R$3))*1.025*S$3,0)</f>
        <v>36270</v>
      </c>
      <c r="T10" s="57" cm="1">
        <f t="array" ref="T10">ROUND(SUM(($D10:S10)/SUM($D$3:S$3))*1.025*T$3,0)</f>
        <v>34676</v>
      </c>
      <c r="U10" s="57" cm="1">
        <f t="array" ref="U10">ROUND(SUM(($D10:T10)/SUM($D$3:T$3))*1.025*U$3,0)</f>
        <v>36379</v>
      </c>
      <c r="V10" s="57" cm="1">
        <f t="array" ref="V10">ROUND(SUM(($D10:U10)/SUM($D$3:U$3))*1.025*V$3,0)</f>
        <v>36431</v>
      </c>
      <c r="W10" s="57" cm="1">
        <f t="array" ref="W10">ROUND(SUM(($D10:V10)/SUM($D$3:V$3))*1.025*W$3,0)</f>
        <v>36479</v>
      </c>
      <c r="X10" s="57" cm="1">
        <f t="array" ref="X10">ROUND(SUM(($D10:W10)/SUM($D$3:W$3))*1.025*X$3,0)</f>
        <v>36525</v>
      </c>
      <c r="Y10" s="57" cm="1">
        <f t="array" ref="Y10">ROUND(SUM(($D10:X10)/SUM($D$3:X$3))*1.025*Y$3,0)</f>
        <v>34907</v>
      </c>
      <c r="Z10" s="57" cm="1">
        <f t="array" ref="Z10">ROUND(SUM(($D10:Y10)/SUM($D$3:Y$3))*1.025*Z$3,0)</f>
        <v>36609</v>
      </c>
      <c r="AA10" s="57" cm="1">
        <f t="array" ref="AA10">ROUND(SUM(($D10:Z10)/SUM($D$3:Z$3))*1.025*AA$3,0)</f>
        <v>38315</v>
      </c>
      <c r="AB10" s="57" cm="1">
        <f t="array" ref="AB10">ROUND(SUM(($D10:AA10)/SUM($D$3:AA$3))*1.02*AB$3,0)</f>
        <v>34851</v>
      </c>
      <c r="AC10" s="57" cm="1">
        <f t="array" ref="AC10">ROUND(SUM(($D10:AB10)/SUM($D$3:AB$3))*1.02*AC$3,0)</f>
        <v>33217</v>
      </c>
      <c r="AD10" s="57" cm="1">
        <f t="array" ref="AD10">ROUND(SUM(($D10:AC10)/SUM($D$3:AC$3))*1.02*AD$3,0)</f>
        <v>38227</v>
      </c>
      <c r="AE10" s="57" cm="1">
        <f t="array" ref="AE10">ROUND(SUM(($D10:AD10)/SUM($D$3:AD$3))*1.02*AE$3,0)</f>
        <v>34930</v>
      </c>
      <c r="AF10" s="57" cm="1">
        <f t="array" ref="AF10">ROUND(SUM(($D10:AE10)/SUM($D$3:AE$3))*1.02*AF$3,0)</f>
        <v>36619</v>
      </c>
      <c r="AG10" s="57" cm="1">
        <f t="array" ref="AG10">ROUND(SUM(($D10:AF10)/SUM($D$3:AF$3))*1.02*AG$3,0)</f>
        <v>36644</v>
      </c>
      <c r="AH10" s="57" cm="1">
        <f t="array" ref="AH10">ROUND(SUM(($D10:AG10)/SUM($D$3:AG$3))*1.02*AH$3,0)</f>
        <v>35002</v>
      </c>
      <c r="AI10" s="57" cm="1">
        <f t="array" ref="AI10">ROUND(SUM(($D10:AH10)/SUM($D$3:AH$3))*1.02*AI$3,0)</f>
        <v>38360</v>
      </c>
      <c r="AJ10" s="57" cm="1">
        <f t="array" ref="AJ10">ROUND(SUM(($D10:AI10)/SUM($D$3:AI$3))*1.02*AJ$3,0)</f>
        <v>36716</v>
      </c>
      <c r="AK10" s="57" cm="1">
        <f t="array" ref="AK10">ROUND(SUM(($D10:AJ10)/SUM($D$3:AJ$3))*1.02*AK$3,0)</f>
        <v>35069</v>
      </c>
      <c r="AL10" s="57" cm="1">
        <f t="array" ref="AL10">ROUND(SUM(($D10:AK10)/SUM($D$3:AK$3))*1.02*AL$3,0)</f>
        <v>36760</v>
      </c>
      <c r="AM10" s="57" cm="1">
        <f t="array" ref="AM10">ROUND(SUM(($D10:AL10)/SUM($D$3:AL$3))*1.02*AM$3,0)</f>
        <v>36781</v>
      </c>
      <c r="AN10" s="57" cm="1">
        <f t="array" ref="AN10">ROUND(SUM(($D10:AM10)/SUM($D$3:AM$3))*0.99*AN$3,0)</f>
        <v>35719</v>
      </c>
      <c r="AO10" s="57" cm="1">
        <f t="array" ref="AO10">ROUND(SUM(($D10:AN10)/SUM($D$3:AN$3))*0.99*AO$3,0)</f>
        <v>32463</v>
      </c>
      <c r="AP10" s="57" cm="1">
        <f t="array" ref="AP10">ROUND(SUM(($D10:AO10)/SUM($D$3:AO$3))*0.99*AP$3,0)</f>
        <v>37324</v>
      </c>
      <c r="AQ10" s="57" cm="1">
        <f t="array" ref="AQ10">ROUND(SUM(($D10:AP10)/SUM($D$3:AP$3))*0.99*AQ$3,0)</f>
        <v>32446</v>
      </c>
      <c r="AR10" s="57" cm="1">
        <f t="array" ref="AR10">ROUND(SUM(($D10:AQ10)/SUM($D$3:AQ$3))*0.99*AR$3,0)</f>
        <v>37305</v>
      </c>
      <c r="AS10" s="57" cm="1">
        <f t="array" ref="AS10">ROUND(SUM(($D10:AR10)/SUM($D$3:AR$3))*0.99*AS$3,0)</f>
        <v>35674</v>
      </c>
      <c r="AT10" s="57" cm="1">
        <f t="array" ref="AT10">ROUND(SUM(($D10:AS10)/SUM($D$3:AS$3))*0.99*AT$3,0)</f>
        <v>34044</v>
      </c>
      <c r="AU10" s="57" cm="1">
        <f t="array" ref="AU10">ROUND(SUM(($D10:AT10)/SUM($D$3:AT$3))*0.99*AU$3,0)</f>
        <v>37278</v>
      </c>
      <c r="AV10" s="57" cm="1">
        <f t="array" ref="AV10">ROUND(SUM(($D10:AU10)/SUM($D$3:AU$3))*0.99*AV$3,0)</f>
        <v>34028</v>
      </c>
      <c r="AW10" s="57" cm="1">
        <f t="array" ref="AW10">ROUND(SUM(($D10:AV10)/SUM($D$3:AV$3))*0.99*AW$3,0)</f>
        <v>35641</v>
      </c>
      <c r="AX10" s="57" cm="1">
        <f t="array" ref="AX10">ROUND(SUM(($D10:AW10)/SUM($D$3:AW$3))*0.99*AX$3,0)</f>
        <v>35633</v>
      </c>
      <c r="AY10" s="57" cm="1">
        <f t="array" ref="AY10">ROUND(SUM(($D10:AX10)/SUM($D$3:AX$3))*0.99*AY$3,0)</f>
        <v>34006</v>
      </c>
    </row>
    <row r="11" spans="1:57" x14ac:dyDescent="0.3">
      <c r="A11" t="s">
        <v>73</v>
      </c>
      <c r="B11" t="s">
        <v>11</v>
      </c>
      <c r="C11" t="s">
        <v>13</v>
      </c>
      <c r="D11" s="14">
        <f>895*D$3</f>
        <v>20585</v>
      </c>
      <c r="E11" s="14">
        <f t="shared" ref="E11:O11" si="5">895*E$3</f>
        <v>17900</v>
      </c>
      <c r="F11" s="14">
        <f t="shared" si="5"/>
        <v>19690</v>
      </c>
      <c r="G11" s="14">
        <f t="shared" si="5"/>
        <v>19690</v>
      </c>
      <c r="H11" s="14">
        <f t="shared" si="5"/>
        <v>18795</v>
      </c>
      <c r="I11" s="14">
        <f t="shared" si="5"/>
        <v>19690</v>
      </c>
      <c r="J11" s="14">
        <f t="shared" si="5"/>
        <v>20585</v>
      </c>
      <c r="K11" s="14">
        <f t="shared" si="5"/>
        <v>18795</v>
      </c>
      <c r="L11" s="14">
        <f t="shared" si="5"/>
        <v>19690</v>
      </c>
      <c r="M11" s="14">
        <f t="shared" si="5"/>
        <v>19690</v>
      </c>
      <c r="N11" s="14">
        <f t="shared" si="5"/>
        <v>18795</v>
      </c>
      <c r="O11" s="14">
        <f t="shared" si="5"/>
        <v>20585</v>
      </c>
      <c r="P11" s="57" cm="1">
        <f t="array" ref="P11">ROUND(SUM(($D11:O11)/SUM($D$3:O$3))*1.02*P$3,0)</f>
        <v>19171</v>
      </c>
      <c r="Q11" s="57" cm="1">
        <f t="array" ref="Q11">ROUND(SUM(($D11:P11)/SUM($D$3:P$3))*1.02*Q$3,0)</f>
        <v>18285</v>
      </c>
      <c r="R11" s="57" cm="1">
        <f t="array" ref="R11">ROUND(SUM(($D11:Q11)/SUM($D$3:Q$3))*1.02*R$3,0)</f>
        <v>21056</v>
      </c>
      <c r="S11" s="57" cm="1">
        <f t="array" ref="S11">ROUND(SUM(($D11:R11)/SUM($D$3:R$3))*1.02*S$3,0)</f>
        <v>20169</v>
      </c>
      <c r="T11" s="57" cm="1">
        <f t="array" ref="T11">ROUND(SUM(($D11:S11)/SUM($D$3:S$3))*1.02*T$3,0)</f>
        <v>19276</v>
      </c>
      <c r="U11" s="57" cm="1">
        <f t="array" ref="U11">ROUND(SUM(($D11:T11)/SUM($D$3:T$3))*1.02*U$3,0)</f>
        <v>20217</v>
      </c>
      <c r="V11" s="57" cm="1">
        <f t="array" ref="V11">ROUND(SUM(($D11:U11)/SUM($D$3:U$3))*1.02*V$3,0)</f>
        <v>20240</v>
      </c>
      <c r="W11" s="57" cm="1">
        <f t="array" ref="W11">ROUND(SUM(($D11:V11)/SUM($D$3:V$3))*1.02*W$3,0)</f>
        <v>20261</v>
      </c>
      <c r="X11" s="57" cm="1">
        <f t="array" ref="X11">ROUND(SUM(($D11:W11)/SUM($D$3:W$3))*1.02*X$3,0)</f>
        <v>20282</v>
      </c>
      <c r="Y11" s="57" cm="1">
        <f t="array" ref="Y11">ROUND(SUM(($D11:X11)/SUM($D$3:X$3))*1.02*Y$3,0)</f>
        <v>19379</v>
      </c>
      <c r="Z11" s="57" cm="1">
        <f t="array" ref="Z11">ROUND(SUM(($D11:Y11)/SUM($D$3:Y$3))*1.02*Z$3,0)</f>
        <v>20319</v>
      </c>
      <c r="AA11" s="57" cm="1">
        <f t="array" ref="AA11">ROUND(SUM(($D11:Z11)/SUM($D$3:Z$3))*1.02*AA$3,0)</f>
        <v>21262</v>
      </c>
      <c r="AB11" s="57" cm="1">
        <f t="array" ref="AB11">ROUND(SUM(($D11:AA11)/SUM($D$3:AA$3))*1.011*AB$3,0)</f>
        <v>19258</v>
      </c>
      <c r="AC11" s="57" cm="1">
        <f t="array" ref="AC11">ROUND(SUM(($D11:AB11)/SUM($D$3:AB$3))*1.011*AC$3,0)</f>
        <v>18349</v>
      </c>
      <c r="AD11" s="57" cm="1">
        <f t="array" ref="AD11">ROUND(SUM(($D11:AC11)/SUM($D$3:AC$3))*1.011*AD$3,0)</f>
        <v>21110</v>
      </c>
      <c r="AE11" s="57" cm="1">
        <f t="array" ref="AE11">ROUND(SUM(($D11:AD11)/SUM($D$3:AD$3))*1.011*AE$3,0)</f>
        <v>19282</v>
      </c>
      <c r="AF11" s="57" cm="1">
        <f t="array" ref="AF11">ROUND(SUM(($D11:AE11)/SUM($D$3:AE$3))*1.011*AF$3,0)</f>
        <v>20208</v>
      </c>
      <c r="AG11" s="57" cm="1">
        <f t="array" ref="AG11">ROUND(SUM(($D11:AF11)/SUM($D$3:AF$3))*1.011*AG$3,0)</f>
        <v>20216</v>
      </c>
      <c r="AH11" s="57" cm="1">
        <f t="array" ref="AH11">ROUND(SUM(($D11:AG11)/SUM($D$3:AG$3))*1.011*AH$3,0)</f>
        <v>19304</v>
      </c>
      <c r="AI11" s="57" cm="1">
        <f t="array" ref="AI11">ROUND(SUM(($D11:AH11)/SUM($D$3:AH$3))*1.011*AI$3,0)</f>
        <v>21150</v>
      </c>
      <c r="AJ11" s="57" cm="1">
        <f t="array" ref="AJ11">ROUND(SUM(($D11:AI11)/SUM($D$3:AI$3))*1.011*AJ$3,0)</f>
        <v>20238</v>
      </c>
      <c r="AK11" s="57" cm="1">
        <f t="array" ref="AK11">ROUND(SUM(($D11:AJ11)/SUM($D$3:AJ$3))*1.011*AK$3,0)</f>
        <v>19324</v>
      </c>
      <c r="AL11" s="57" cm="1">
        <f t="array" ref="AL11">ROUND(SUM(($D11:AK11)/SUM($D$3:AK$3))*1.011*AL$3,0)</f>
        <v>20251</v>
      </c>
      <c r="AM11" s="57" cm="1">
        <f t="array" ref="AM11">ROUND(SUM(($D11:AL11)/SUM($D$3:AL$3))*1.011*AM$3,0)</f>
        <v>20257</v>
      </c>
      <c r="AN11" s="57" cm="1">
        <f t="array" ref="AN11">ROUND(SUM(($D11:AM11)/SUM($D$3:AM$3))*1.011*AN$3,0)</f>
        <v>20264</v>
      </c>
      <c r="AO11" s="57" cm="1">
        <f t="array" ref="AO11">ROUND(SUM(($D11:AN11)/SUM($D$3:AN$3))*1.011*AO$3,0)</f>
        <v>18427</v>
      </c>
      <c r="AP11" s="57" cm="1">
        <f t="array" ref="AP11">ROUND(SUM(($D11:AO11)/SUM($D$3:AO$3))*1.011*AP$3,0)</f>
        <v>21197</v>
      </c>
      <c r="AQ11" s="57" cm="1">
        <f t="array" ref="AQ11">ROUND(SUM(($D11:AP11)/SUM($D$3:AP$3))*1.011*AQ$3,0)</f>
        <v>18437</v>
      </c>
      <c r="AR11" s="57" cm="1">
        <f t="array" ref="AR11">ROUND(SUM(($D11:AQ11)/SUM($D$3:AQ$3))*1.011*AR$3,0)</f>
        <v>21208</v>
      </c>
      <c r="AS11" s="57" cm="1">
        <f t="array" ref="AS11">ROUND(SUM(($D11:AR11)/SUM($D$3:AR$3))*1.011*AS$3,0)</f>
        <v>20292</v>
      </c>
      <c r="AT11" s="57" cm="1">
        <f t="array" ref="AT11">ROUND(SUM(($D11:AS11)/SUM($D$3:AS$3))*1.011*AT$3,0)</f>
        <v>19375</v>
      </c>
      <c r="AU11" s="57" cm="1">
        <f t="array" ref="AU11">ROUND(SUM(($D11:AT11)/SUM($D$3:AT$3))*1.011*AU$3,0)</f>
        <v>21225</v>
      </c>
      <c r="AV11" s="57" cm="1">
        <f t="array" ref="AV11">ROUND(SUM(($D11:AU11)/SUM($D$3:AU$3))*1.011*AV$3,0)</f>
        <v>19385</v>
      </c>
      <c r="AW11" s="57" cm="1">
        <f t="array" ref="AW11">ROUND(SUM(($D11:AV11)/SUM($D$3:AV$3))*1.011*AW$3,0)</f>
        <v>20313</v>
      </c>
      <c r="AX11" s="57" cm="1">
        <f t="array" ref="AX11">ROUND(SUM(($D11:AW11)/SUM($D$3:AW$3))*1.011*AX$3,0)</f>
        <v>20318</v>
      </c>
      <c r="AY11" s="57" cm="1">
        <f t="array" ref="AY11">ROUND(SUM(($D11:AX11)/SUM($D$3:AX$3))*1.011*AY$3,0)</f>
        <v>19399</v>
      </c>
    </row>
    <row r="12" spans="1:57" x14ac:dyDescent="0.3">
      <c r="A12" t="s">
        <v>73</v>
      </c>
      <c r="B12" t="s">
        <v>11</v>
      </c>
      <c r="C12" t="s">
        <v>14</v>
      </c>
      <c r="D12" s="14">
        <f>765*D$3</f>
        <v>17595</v>
      </c>
      <c r="E12" s="14">
        <f t="shared" ref="E12:O12" si="6">765*E$3</f>
        <v>15300</v>
      </c>
      <c r="F12" s="14">
        <f t="shared" si="6"/>
        <v>16830</v>
      </c>
      <c r="G12" s="14">
        <f t="shared" si="6"/>
        <v>16830</v>
      </c>
      <c r="H12" s="14">
        <f t="shared" si="6"/>
        <v>16065</v>
      </c>
      <c r="I12" s="14">
        <f t="shared" si="6"/>
        <v>16830</v>
      </c>
      <c r="J12" s="14">
        <f t="shared" si="6"/>
        <v>17595</v>
      </c>
      <c r="K12" s="14">
        <f t="shared" si="6"/>
        <v>16065</v>
      </c>
      <c r="L12" s="14">
        <f t="shared" si="6"/>
        <v>16830</v>
      </c>
      <c r="M12" s="14">
        <f t="shared" si="6"/>
        <v>16830</v>
      </c>
      <c r="N12" s="14">
        <f t="shared" si="6"/>
        <v>16065</v>
      </c>
      <c r="O12" s="14">
        <f t="shared" si="6"/>
        <v>17595</v>
      </c>
      <c r="P12" s="16" cm="1">
        <f t="array" ref="P12">ROUND(SUM(($D12:O12)/SUM($D$3:O$3))*0.995*P$3,0)</f>
        <v>15985</v>
      </c>
      <c r="Q12" s="16" cm="1">
        <f t="array" ref="Q12">ROUND(SUM(($D12:P12)/SUM($D$3:P$3))*0.995*Q$3,0)</f>
        <v>15218</v>
      </c>
      <c r="R12" s="16" cm="1">
        <f t="array" ref="R12">ROUND(SUM(($D12:Q12)/SUM($D$3:Q$3))*0.995*R$3,0)</f>
        <v>17495</v>
      </c>
      <c r="S12" s="16" cm="1">
        <f t="array" ref="S12">ROUND(SUM(($D12:R12)/SUM($D$3:R$3))*0.995*S$3,0)</f>
        <v>16728</v>
      </c>
      <c r="T12" s="16" cm="1">
        <f t="array" ref="T12">ROUND(SUM(($D12:S12)/SUM($D$3:S$3))*0.995*T$3,0)</f>
        <v>15963</v>
      </c>
      <c r="U12" s="16" cm="1">
        <f t="array" ref="U12">ROUND(SUM(($D12:T12)/SUM($D$3:T$3))*0.995*U$3,0)</f>
        <v>16718</v>
      </c>
      <c r="V12" s="16" cm="1">
        <f t="array" ref="V12">ROUND(SUM(($D12:U12)/SUM($D$3:U$3))*0.995*V$3,0)</f>
        <v>16713</v>
      </c>
      <c r="W12" s="16" cm="1">
        <f t="array" ref="W12">ROUND(SUM(($D12:V12)/SUM($D$3:V$3))*0.995*W$3,0)</f>
        <v>16709</v>
      </c>
      <c r="X12" s="16" cm="1">
        <f t="array" ref="X12">ROUND(SUM(($D12:W12)/SUM($D$3:W$3))*0.995*X$3,0)</f>
        <v>16705</v>
      </c>
      <c r="Y12" s="16" cm="1">
        <f t="array" ref="Y12">ROUND(SUM(($D12:X12)/SUM($D$3:X$3))*0.995*Y$3,0)</f>
        <v>15942</v>
      </c>
      <c r="Z12" s="16" cm="1">
        <f t="array" ref="Z12">ROUND(SUM(($D12:Y12)/SUM($D$3:Y$3))*0.995*Z$3,0)</f>
        <v>16697</v>
      </c>
      <c r="AA12" s="16" cm="1">
        <f t="array" ref="AA12">ROUND(SUM(($D12:Z12)/SUM($D$3:Z$3))*0.995*AA$3,0)</f>
        <v>17452</v>
      </c>
      <c r="AB12" s="57" cm="1">
        <f t="array" ref="AB12">ROUND(SUM(($D12:AA12)/SUM($D$3:AA$3))*0.995*AB$3,0)</f>
        <v>15931</v>
      </c>
      <c r="AC12" s="57" cm="1">
        <f t="array" ref="AC12">ROUND(SUM(($D12:AB12)/SUM($D$3:AB$3))*0.995*AC$3,0)</f>
        <v>15170</v>
      </c>
      <c r="AD12" s="57" cm="1">
        <f t="array" ref="AD12">ROUND(SUM(($D12:AC12)/SUM($D$3:AC$3))*0.995*AD$3,0)</f>
        <v>17442</v>
      </c>
      <c r="AE12" s="57" cm="1">
        <f t="array" ref="AE12">ROUND(SUM(($D12:AD12)/SUM($D$3:AD$3))*0.995*AE$3,0)</f>
        <v>15922</v>
      </c>
      <c r="AF12" s="57" cm="1">
        <f t="array" ref="AF12">ROUND(SUM(($D12:AE12)/SUM($D$3:AE$3))*0.995*AF$3,0)</f>
        <v>16677</v>
      </c>
      <c r="AG12" s="57" cm="1">
        <f t="array" ref="AG12">ROUND(SUM(($D12:AF12)/SUM($D$3:AF$3))*0.995*AG$3,0)</f>
        <v>16675</v>
      </c>
      <c r="AH12" s="57" cm="1">
        <f t="array" ref="AH12">ROUND(SUM(($D12:AG12)/SUM($D$3:AG$3))*0.995*AH$3,0)</f>
        <v>15914</v>
      </c>
      <c r="AI12" s="57" cm="1">
        <f t="array" ref="AI12">ROUND(SUM(($D12:AH12)/SUM($D$3:AH$3))*0.995*AI$3,0)</f>
        <v>17427</v>
      </c>
      <c r="AJ12" s="57" cm="1">
        <f t="array" ref="AJ12">ROUND(SUM(($D12:AI12)/SUM($D$3:AI$3))*0.995*AJ$3,0)</f>
        <v>16666</v>
      </c>
      <c r="AK12" s="57" cm="1">
        <f t="array" ref="AK12">ROUND(SUM(($D12:AJ12)/SUM($D$3:AJ$3))*0.995*AK$3,0)</f>
        <v>15906</v>
      </c>
      <c r="AL12" s="57" cm="1">
        <f t="array" ref="AL12">ROUND(SUM(($D12:AK12)/SUM($D$3:AK$3))*0.995*AL$3,0)</f>
        <v>16661</v>
      </c>
      <c r="AM12" s="57" cm="1">
        <f t="array" ref="AM12">ROUND(SUM(($D12:AL12)/SUM($D$3:AL$3))*0.995*AM$3,0)</f>
        <v>16659</v>
      </c>
      <c r="AN12" s="57" cm="1">
        <f t="array" ref="AN12">ROUND(SUM(($D12:AM12)/SUM($D$3:AM$3))*0.995*AN$3,0)</f>
        <v>16657</v>
      </c>
      <c r="AO12" s="57" cm="1">
        <f t="array" ref="AO12">ROUND(SUM(($D12:AN12)/SUM($D$3:AN$3))*0.995*AO$3,0)</f>
        <v>15140</v>
      </c>
      <c r="AP12" s="57" cm="1">
        <f t="array" ref="AP12">ROUND(SUM(($D12:AO12)/SUM($D$3:AO$3))*0.995*AP$3,0)</f>
        <v>17409</v>
      </c>
      <c r="AQ12" s="57" cm="1">
        <f t="array" ref="AQ12">ROUND(SUM(($D12:AP12)/SUM($D$3:AP$3))*0.995*AQ$3,0)</f>
        <v>15136</v>
      </c>
      <c r="AR12" s="57" cm="1">
        <f t="array" ref="AR12">ROUND(SUM(($D12:AQ12)/SUM($D$3:AQ$3))*0.995*AR$3,0)</f>
        <v>17405</v>
      </c>
      <c r="AS12" s="57" cm="1">
        <f t="array" ref="AS12">ROUND(SUM(($D12:AR12)/SUM($D$3:AR$3))*0.995*AS$3,0)</f>
        <v>16646</v>
      </c>
      <c r="AT12" s="57" cm="1">
        <f t="array" ref="AT12">ROUND(SUM(($D12:AS12)/SUM($D$3:AS$3))*0.995*AT$3,0)</f>
        <v>15887</v>
      </c>
      <c r="AU12" s="57" cm="1">
        <f t="array" ref="AU12">ROUND(SUM(($D12:AT12)/SUM($D$3:AT$3))*0.995*AU$3,0)</f>
        <v>17399</v>
      </c>
      <c r="AV12" s="57" cm="1">
        <f t="array" ref="AV12">ROUND(SUM(($D12:AU12)/SUM($D$3:AU$3))*0.995*AV$3,0)</f>
        <v>15884</v>
      </c>
      <c r="AW12" s="57" cm="1">
        <f t="array" ref="AW12">ROUND(SUM(($D12:AV12)/SUM($D$3:AV$3))*0.995*AW$3,0)</f>
        <v>16638</v>
      </c>
      <c r="AX12" s="57" cm="1">
        <f t="array" ref="AX12">ROUND(SUM(($D12:AW12)/SUM($D$3:AW$3))*0.995*AX$3,0)</f>
        <v>16637</v>
      </c>
      <c r="AY12" s="57" cm="1">
        <f t="array" ref="AY12">ROUND(SUM(($D12:AX12)/SUM($D$3:AX$3))*0.995*AY$3,0)</f>
        <v>15879</v>
      </c>
    </row>
    <row r="13" spans="1:57" x14ac:dyDescent="0.3">
      <c r="A13" t="s">
        <v>21</v>
      </c>
      <c r="B13" t="s">
        <v>12</v>
      </c>
      <c r="C13" t="s">
        <v>17</v>
      </c>
      <c r="D13" s="14">
        <f t="shared" ref="D13:O13" si="7">915*D$3</f>
        <v>21045</v>
      </c>
      <c r="E13" s="14">
        <f t="shared" si="7"/>
        <v>18300</v>
      </c>
      <c r="F13" s="14">
        <f t="shared" si="7"/>
        <v>20130</v>
      </c>
      <c r="G13" s="14">
        <f t="shared" si="7"/>
        <v>20130</v>
      </c>
      <c r="H13" s="14">
        <f t="shared" si="7"/>
        <v>19215</v>
      </c>
      <c r="I13" s="14">
        <f t="shared" si="7"/>
        <v>20130</v>
      </c>
      <c r="J13" s="14">
        <f t="shared" si="7"/>
        <v>21045</v>
      </c>
      <c r="K13" s="14">
        <f t="shared" si="7"/>
        <v>19215</v>
      </c>
      <c r="L13" s="14">
        <f t="shared" si="7"/>
        <v>20130</v>
      </c>
      <c r="M13" s="14">
        <f t="shared" si="7"/>
        <v>20130</v>
      </c>
      <c r="N13" s="14">
        <f t="shared" si="7"/>
        <v>19215</v>
      </c>
      <c r="O13" s="14">
        <f t="shared" si="7"/>
        <v>21045</v>
      </c>
      <c r="P13" s="17" cm="1">
        <f t="array" ref="P13">ROUND(SUM(($D13:O13)/SUM($D$3:O$3))*1.01*P$3,0)</f>
        <v>19407</v>
      </c>
      <c r="Q13" s="17" cm="1">
        <f t="array" ref="Q13">ROUND(SUM(($D13:P13)/SUM($D$3:P$3))*1.01*Q$3,0)</f>
        <v>18497</v>
      </c>
      <c r="R13" s="17" cm="1">
        <f t="array" ref="R13">ROUND(SUM(($D13:Q13)/SUM($D$3:Q$3))*1.01*R$3,0)</f>
        <v>21285</v>
      </c>
      <c r="S13" s="17" cm="1">
        <f t="array" ref="S13">ROUND(SUM(($D13:R13)/SUM($D$3:R$3))*1.01*S$3,0)</f>
        <v>20374</v>
      </c>
      <c r="T13" s="17" cm="1">
        <f t="array" ref="T13">ROUND(SUM(($D13:S13)/SUM($D$3:S$3))*1.01*T$3,0)</f>
        <v>19460</v>
      </c>
      <c r="U13" s="17" cm="1">
        <f t="array" ref="U13">ROUND(SUM(($D13:T13)/SUM($D$3:T$3))*1.01*U$3,0)</f>
        <v>20399</v>
      </c>
      <c r="V13" s="17" cm="1">
        <f t="array" ref="V13">ROUND(SUM(($D13:U13)/SUM($D$3:U$3))*1.01*V$3,0)</f>
        <v>20410</v>
      </c>
      <c r="W13" s="17" cm="1">
        <f t="array" ref="W13">ROUND(SUM(($D13:V13)/SUM($D$3:V$3))*1.01*W$3,0)</f>
        <v>20421</v>
      </c>
      <c r="X13" s="17" cm="1">
        <f t="array" ref="X13">ROUND(SUM(($D13:W13)/SUM($D$3:W$3))*1.01*X$3,0)</f>
        <v>20431</v>
      </c>
      <c r="Y13" s="17" cm="1">
        <f t="array" ref="Y13">ROUND(SUM(($D13:X13)/SUM($D$3:X$3))*1.01*Y$3,0)</f>
        <v>19512</v>
      </c>
      <c r="Z13" s="17" cm="1">
        <f t="array" ref="Z13">ROUND(SUM(($D13:Y13)/SUM($D$3:Y$3))*1.01*Z$3,0)</f>
        <v>20450</v>
      </c>
      <c r="AA13" s="17" cm="1">
        <f t="array" ref="AA13">ROUND(SUM(($D13:Z13)/SUM($D$3:Z$3))*1.01*AA$3,0)</f>
        <v>21389</v>
      </c>
      <c r="AB13" s="16" cm="1">
        <f t="array" ref="AB13">ROUND(SUM(($D13:AA13)/SUM($D$3:AA$3))*1.01*AB$3,0)</f>
        <v>19538</v>
      </c>
      <c r="AC13" s="16" cm="1">
        <f t="array" ref="AC13">ROUND(SUM(($D13:AB13)/SUM($D$3:AB$3))*1.01*AC$3,0)</f>
        <v>18615</v>
      </c>
      <c r="AD13" s="16" cm="1">
        <f t="array" ref="AD13">ROUND(SUM(($D13:AC13)/SUM($D$3:AC$3))*1.01*AD$3,0)</f>
        <v>21414</v>
      </c>
      <c r="AE13" s="16" cm="1">
        <f t="array" ref="AE13">ROUND(SUM(($D13:AD13)/SUM($D$3:AD$3))*1.01*AE$3,0)</f>
        <v>19560</v>
      </c>
      <c r="AF13" s="16" cm="1">
        <f t="array" ref="AF13">ROUND(SUM(($D13:AE13)/SUM($D$3:AE$3))*1.01*AF$3,0)</f>
        <v>20498</v>
      </c>
      <c r="AG13" s="16" cm="1">
        <f t="array" ref="AG13">ROUND(SUM(($D13:AF13)/SUM($D$3:AF$3))*1.01*AG$3,0)</f>
        <v>20506</v>
      </c>
      <c r="AH13" s="16" cm="1">
        <f t="array" ref="AH13">ROUND(SUM(($D13:AG13)/SUM($D$3:AG$3))*1.01*AH$3,0)</f>
        <v>19580</v>
      </c>
      <c r="AI13" s="16" cm="1">
        <f t="array" ref="AI13">ROUND(SUM(($D13:AH13)/SUM($D$3:AH$3))*1.01*AI$3,0)</f>
        <v>21452</v>
      </c>
      <c r="AJ13" s="16" cm="1">
        <f t="array" ref="AJ13">ROUND(SUM(($D13:AI13)/SUM($D$3:AI$3))*1.01*AJ$3,0)</f>
        <v>20526</v>
      </c>
      <c r="AK13" s="16" cm="1">
        <f t="array" ref="AK13">ROUND(SUM(($D13:AJ13)/SUM($D$3:AJ$3))*1.01*AK$3,0)</f>
        <v>19599</v>
      </c>
      <c r="AL13" s="16" cm="1">
        <f t="array" ref="AL13">ROUND(SUM(($D13:AK13)/SUM($D$3:AK$3))*1.01*AL$3,0)</f>
        <v>20538</v>
      </c>
      <c r="AM13" s="16" cm="1">
        <f t="array" ref="AM13">ROUND(SUM(($D13:AL13)/SUM($D$3:AL$3))*1.01*AM$3,0)</f>
        <v>20544</v>
      </c>
      <c r="AN13" s="16" cm="1">
        <f t="array" ref="AN13">ROUND(SUM(($D13:AM13)/SUM($D$3:AM$3))*1.01*AN$3,0)</f>
        <v>20550</v>
      </c>
      <c r="AO13" s="16" cm="1">
        <f t="array" ref="AO13">ROUND(SUM(($D13:AN13)/SUM($D$3:AN$3))*1.01*AO$3,0)</f>
        <v>18687</v>
      </c>
      <c r="AP13" s="16" cm="1">
        <f t="array" ref="AP13">ROUND(SUM(($D13:AO13)/SUM($D$3:AO$3))*1.01*AP$3,0)</f>
        <v>21495</v>
      </c>
      <c r="AQ13" s="16" cm="1">
        <f t="array" ref="AQ13">ROUND(SUM(($D13:AP13)/SUM($D$3:AP$3))*1.01*AQ$3,0)</f>
        <v>18696</v>
      </c>
      <c r="AR13" s="16" cm="1">
        <f t="array" ref="AR13">ROUND(SUM(($D13:AQ13)/SUM($D$3:AQ$3))*1.01*AR$3,0)</f>
        <v>21505</v>
      </c>
      <c r="AS13" s="16" cm="1">
        <f t="array" ref="AS13">ROUND(SUM(($D13:AR13)/SUM($D$3:AR$3))*1.01*AS$3,0)</f>
        <v>20576</v>
      </c>
      <c r="AT13" s="16" cm="1">
        <f t="array" ref="AT13">ROUND(SUM(($D13:AS13)/SUM($D$3:AS$3))*1.01*AT$3,0)</f>
        <v>19645</v>
      </c>
      <c r="AU13" s="16" cm="1">
        <f t="array" ref="AU13">ROUND(SUM(($D13:AT13)/SUM($D$3:AT$3))*1.01*AU$3,0)</f>
        <v>21521</v>
      </c>
      <c r="AV13" s="16" cm="1">
        <f t="array" ref="AV13">ROUND(SUM(($D13:AU13)/SUM($D$3:AU$3))*1.01*AV$3,0)</f>
        <v>19654</v>
      </c>
      <c r="AW13" s="16" cm="1">
        <f t="array" ref="AW13">ROUND(SUM(($D13:AV13)/SUM($D$3:AV$3))*1.01*AW$3,0)</f>
        <v>20595</v>
      </c>
      <c r="AX13" s="16" cm="1">
        <f t="array" ref="AX13">ROUND(SUM(($D13:AW13)/SUM($D$3:AW$3))*1.01*AX$3,0)</f>
        <v>20599</v>
      </c>
      <c r="AY13" s="16" cm="1">
        <f t="array" ref="AY13">ROUND(SUM(($D13:AX13)/SUM($D$3:AX$3))*1.01*AY$3,0)</f>
        <v>19667</v>
      </c>
    </row>
    <row r="14" spans="1:57" x14ac:dyDescent="0.3">
      <c r="A14" t="s">
        <v>21</v>
      </c>
      <c r="B14" t="s">
        <v>12</v>
      </c>
      <c r="C14" t="s">
        <v>19</v>
      </c>
      <c r="D14" s="14">
        <f t="shared" ref="D14:O14" si="8">825*D$3</f>
        <v>18975</v>
      </c>
      <c r="E14" s="14">
        <f t="shared" si="8"/>
        <v>16500</v>
      </c>
      <c r="F14" s="14">
        <f t="shared" si="8"/>
        <v>18150</v>
      </c>
      <c r="G14" s="14">
        <f t="shared" si="8"/>
        <v>18150</v>
      </c>
      <c r="H14" s="14">
        <f t="shared" si="8"/>
        <v>17325</v>
      </c>
      <c r="I14" s="14">
        <f t="shared" si="8"/>
        <v>18150</v>
      </c>
      <c r="J14" s="14">
        <f t="shared" si="8"/>
        <v>18975</v>
      </c>
      <c r="K14" s="14">
        <f t="shared" si="8"/>
        <v>17325</v>
      </c>
      <c r="L14" s="14">
        <f t="shared" si="8"/>
        <v>18150</v>
      </c>
      <c r="M14" s="14">
        <f t="shared" si="8"/>
        <v>18150</v>
      </c>
      <c r="N14" s="14">
        <f t="shared" si="8"/>
        <v>17325</v>
      </c>
      <c r="O14" s="14">
        <f t="shared" si="8"/>
        <v>18975</v>
      </c>
      <c r="P14" s="17" cm="1">
        <f t="array" ref="P14">ROUND(SUM(($D14:O14)/SUM($D$3:O$3))*1.03*P$3,0)</f>
        <v>17845</v>
      </c>
      <c r="Q14" s="17" cm="1">
        <f t="array" ref="Q14">ROUND(SUM(($D14:P14)/SUM($D$3:P$3))*1.03*Q$3,0)</f>
        <v>17033</v>
      </c>
      <c r="R14" s="17" cm="1">
        <f t="array" ref="R14">ROUND(SUM(($D14:Q14)/SUM($D$3:Q$3))*1.03*R$3,0)</f>
        <v>19627</v>
      </c>
      <c r="S14" s="17" cm="1">
        <f t="array" ref="S14">ROUND(SUM(($D14:R14)/SUM($D$3:R$3))*1.03*S$3,0)</f>
        <v>18813</v>
      </c>
      <c r="T14" s="17" cm="1">
        <f t="array" ref="T14">ROUND(SUM(($D14:S14)/SUM($D$3:S$3))*1.03*T$3,0)</f>
        <v>17992</v>
      </c>
      <c r="U14" s="17" cm="1">
        <f t="array" ref="U14">ROUND(SUM(($D14:T14)/SUM($D$3:T$3))*1.03*U$3,0)</f>
        <v>18881</v>
      </c>
      <c r="V14" s="17" cm="1">
        <f t="array" ref="V14">ROUND(SUM(($D14:U14)/SUM($D$3:U$3))*1.03*V$3,0)</f>
        <v>18913</v>
      </c>
      <c r="W14" s="17" cm="1">
        <f t="array" ref="W14">ROUND(SUM(($D14:V14)/SUM($D$3:V$3))*1.03*W$3,0)</f>
        <v>18943</v>
      </c>
      <c r="X14" s="17" cm="1">
        <f t="array" ref="X14">ROUND(SUM(($D14:W14)/SUM($D$3:W$3))*1.03*X$3,0)</f>
        <v>18972</v>
      </c>
      <c r="Y14" s="17" cm="1">
        <f t="array" ref="Y14">ROUND(SUM(($D14:X14)/SUM($D$3:X$3))*1.03*Y$3,0)</f>
        <v>18136</v>
      </c>
      <c r="Z14" s="17" cm="1">
        <f t="array" ref="Z14">ROUND(SUM(($D14:Y14)/SUM($D$3:Y$3))*1.03*Z$3,0)</f>
        <v>19024</v>
      </c>
      <c r="AA14" s="17" cm="1">
        <f t="array" ref="AA14">ROUND(SUM(($D14:Z14)/SUM($D$3:Z$3))*1.03*AA$3,0)</f>
        <v>19915</v>
      </c>
      <c r="AB14" s="16" cm="1">
        <f t="array" ref="AB14">ROUND(SUM(($D14:AA14)/SUM($D$3:AA$3))*1.02*AB$3,0)</f>
        <v>18031</v>
      </c>
      <c r="AC14" s="16" cm="1">
        <f t="array" ref="AC14">ROUND(SUM(($D14:AB14)/SUM($D$3:AB$3))*1.02*AC$3,0)</f>
        <v>17185</v>
      </c>
      <c r="AD14" s="16" cm="1">
        <f t="array" ref="AD14">ROUND(SUM(($D14:AC14)/SUM($D$3:AC$3))*1.02*AD$3,0)</f>
        <v>19777</v>
      </c>
      <c r="AE14" s="16" cm="1">
        <f t="array" ref="AE14">ROUND(SUM(($D14:AD14)/SUM($D$3:AD$3))*1.02*AE$3,0)</f>
        <v>18072</v>
      </c>
      <c r="AF14" s="16" cm="1">
        <f t="array" ref="AF14">ROUND(SUM(($D14:AE14)/SUM($D$3:AE$3))*1.02*AF$3,0)</f>
        <v>18945</v>
      </c>
      <c r="AG14" s="16" cm="1">
        <f t="array" ref="AG14">ROUND(SUM(($D14:AF14)/SUM($D$3:AF$3))*1.02*AG$3,0)</f>
        <v>18958</v>
      </c>
      <c r="AH14" s="16" cm="1">
        <f t="array" ref="AH14">ROUND(SUM(($D14:AG14)/SUM($D$3:AG$3))*1.02*AH$3,0)</f>
        <v>18109</v>
      </c>
      <c r="AI14" s="16" cm="1">
        <f t="array" ref="AI14">ROUND(SUM(($D14:AH14)/SUM($D$3:AH$3))*1.02*AI$3,0)</f>
        <v>19846</v>
      </c>
      <c r="AJ14" s="16" cm="1">
        <f t="array" ref="AJ14">ROUND(SUM(($D14:AI14)/SUM($D$3:AI$3))*1.02*AJ$3,0)</f>
        <v>18996</v>
      </c>
      <c r="AK14" s="16" cm="1">
        <f t="array" ref="AK14">ROUND(SUM(($D14:AJ14)/SUM($D$3:AJ$3))*1.02*AK$3,0)</f>
        <v>18143</v>
      </c>
      <c r="AL14" s="16" cm="1">
        <f t="array" ref="AL14">ROUND(SUM(($D14:AK14)/SUM($D$3:AK$3))*1.02*AL$3,0)</f>
        <v>19018</v>
      </c>
      <c r="AM14" s="16" cm="1">
        <f t="array" ref="AM14">ROUND(SUM(($D14:AL14)/SUM($D$3:AL$3))*1.02*AM$3,0)</f>
        <v>19029</v>
      </c>
      <c r="AN14" s="16" cm="1">
        <f t="array" ref="AN14">ROUND(SUM(($D14:AM14)/SUM($D$3:AM$3))*1.02*AN$3,0)</f>
        <v>19040</v>
      </c>
      <c r="AO14" s="16" cm="1">
        <f t="array" ref="AO14">ROUND(SUM(($D14:AN14)/SUM($D$3:AN$3))*1.02*AO$3,0)</f>
        <v>17318</v>
      </c>
      <c r="AP14" s="16" cm="1">
        <f t="array" ref="AP14">ROUND(SUM(($D14:AO14)/SUM($D$3:AO$3))*1.02*AP$3,0)</f>
        <v>19926</v>
      </c>
      <c r="AQ14" s="16" cm="1">
        <f t="array" ref="AQ14">ROUND(SUM(($D14:AP14)/SUM($D$3:AP$3))*1.02*AQ$3,0)</f>
        <v>17336</v>
      </c>
      <c r="AR14" s="16" cm="1">
        <f t="array" ref="AR14">ROUND(SUM(($D14:AQ14)/SUM($D$3:AQ$3))*1.02*AR$3,0)</f>
        <v>19946</v>
      </c>
      <c r="AS14" s="16" cm="1">
        <f t="array" ref="AS14">ROUND(SUM(($D14:AR14)/SUM($D$3:AR$3))*1.02*AS$3,0)</f>
        <v>19088</v>
      </c>
      <c r="AT14" s="16" cm="1">
        <f t="array" ref="AT14">ROUND(SUM(($D14:AS14)/SUM($D$3:AS$3))*1.02*AT$3,0)</f>
        <v>18229</v>
      </c>
      <c r="AU14" s="16" cm="1">
        <f t="array" ref="AU14">ROUND(SUM(($D14:AT14)/SUM($D$3:AT$3))*1.02*AU$3,0)</f>
        <v>19975</v>
      </c>
      <c r="AV14" s="16" cm="1">
        <f t="array" ref="AV14">ROUND(SUM(($D14:AU14)/SUM($D$3:AU$3))*1.02*AV$3,0)</f>
        <v>18246</v>
      </c>
      <c r="AW14" s="16" cm="1">
        <f t="array" ref="AW14">ROUND(SUM(($D14:AV14)/SUM($D$3:AV$3))*1.02*AW$3,0)</f>
        <v>19123</v>
      </c>
      <c r="AX14" s="16" cm="1">
        <f t="array" ref="AX14">ROUND(SUM(($D14:AW14)/SUM($D$3:AW$3))*1.02*AX$3,0)</f>
        <v>19132</v>
      </c>
      <c r="AY14" s="16" cm="1">
        <f t="array" ref="AY14">ROUND(SUM(($D14:AX14)/SUM($D$3:AX$3))*1.02*AY$3,0)</f>
        <v>18270</v>
      </c>
    </row>
    <row r="15" spans="1:57" x14ac:dyDescent="0.3">
      <c r="A15" t="s">
        <v>21</v>
      </c>
      <c r="B15" t="s">
        <v>12</v>
      </c>
      <c r="C15" t="s">
        <v>18</v>
      </c>
      <c r="D15" s="14">
        <f>680*D$3</f>
        <v>15640</v>
      </c>
      <c r="E15" s="14">
        <f t="shared" ref="E15:O15" si="9">680*E$3</f>
        <v>13600</v>
      </c>
      <c r="F15" s="14">
        <f t="shared" si="9"/>
        <v>14960</v>
      </c>
      <c r="G15" s="14">
        <f t="shared" si="9"/>
        <v>14960</v>
      </c>
      <c r="H15" s="14">
        <f t="shared" si="9"/>
        <v>14280</v>
      </c>
      <c r="I15" s="14">
        <f t="shared" si="9"/>
        <v>14960</v>
      </c>
      <c r="J15" s="14">
        <f t="shared" si="9"/>
        <v>15640</v>
      </c>
      <c r="K15" s="14">
        <f t="shared" si="9"/>
        <v>14280</v>
      </c>
      <c r="L15" s="14">
        <f t="shared" si="9"/>
        <v>14960</v>
      </c>
      <c r="M15" s="14">
        <f t="shared" si="9"/>
        <v>14960</v>
      </c>
      <c r="N15" s="14">
        <f t="shared" si="9"/>
        <v>14280</v>
      </c>
      <c r="O15" s="14">
        <f t="shared" si="9"/>
        <v>15640</v>
      </c>
      <c r="P15" s="17" cm="1">
        <f t="array" ref="P15">ROUND(SUM(($D15:O15)/SUM($D$3:O$3))*1.03*P$3,0)</f>
        <v>14708</v>
      </c>
      <c r="Q15" s="17" cm="1">
        <f t="array" ref="Q15">ROUND(SUM(($D15:P15)/SUM($D$3:P$3))*1.03*Q$3,0)</f>
        <v>14039</v>
      </c>
      <c r="R15" s="17" cm="1">
        <f t="array" ref="R15">ROUND(SUM(($D15:Q15)/SUM($D$3:Q$3))*1.03*R$3,0)</f>
        <v>16177</v>
      </c>
      <c r="S15" s="17" cm="1">
        <f t="array" ref="S15">ROUND(SUM(($D15:R15)/SUM($D$3:R$3))*1.03*S$3,0)</f>
        <v>15506</v>
      </c>
      <c r="T15" s="17" cm="1">
        <f t="array" ref="T15">ROUND(SUM(($D15:S15)/SUM($D$3:S$3))*1.03*T$3,0)</f>
        <v>14830</v>
      </c>
      <c r="U15" s="17" cm="1">
        <f t="array" ref="U15">ROUND(SUM(($D15:T15)/SUM($D$3:T$3))*1.03*U$3,0)</f>
        <v>15562</v>
      </c>
      <c r="V15" s="17" cm="1">
        <f t="array" ref="V15">ROUND(SUM(($D15:U15)/SUM($D$3:U$3))*1.03*V$3,0)</f>
        <v>15589</v>
      </c>
      <c r="W15" s="17" cm="1">
        <f t="array" ref="W15">ROUND(SUM(($D15:V15)/SUM($D$3:V$3))*1.03*W$3,0)</f>
        <v>15614</v>
      </c>
      <c r="X15" s="17" cm="1">
        <f t="array" ref="X15">ROUND(SUM(($D15:W15)/SUM($D$3:W$3))*1.03*X$3,0)</f>
        <v>15637</v>
      </c>
      <c r="Y15" s="17" cm="1">
        <f t="array" ref="Y15">ROUND(SUM(($D15:X15)/SUM($D$3:X$3))*1.03*Y$3,0)</f>
        <v>14948</v>
      </c>
      <c r="Z15" s="17" cm="1">
        <f t="array" ref="Z15">ROUND(SUM(($D15:Y15)/SUM($D$3:Y$3))*1.03*Z$3,0)</f>
        <v>15680</v>
      </c>
      <c r="AA15" s="17" cm="1">
        <f t="array" ref="AA15">ROUND(SUM(($D15:Z15)/SUM($D$3:Z$3))*1.03*AA$3,0)</f>
        <v>16415</v>
      </c>
      <c r="AB15" s="16" cm="1">
        <f t="array" ref="AB15">ROUND(SUM(($D15:AA15)/SUM($D$3:AA$3))*1.02*AB$3,0)</f>
        <v>14862</v>
      </c>
      <c r="AC15" s="16" cm="1">
        <f t="array" ref="AC15">ROUND(SUM(($D15:AB15)/SUM($D$3:AB$3))*1.02*AC$3,0)</f>
        <v>14165</v>
      </c>
      <c r="AD15" s="16" cm="1">
        <f t="array" ref="AD15">ROUND(SUM(($D15:AC15)/SUM($D$3:AC$3))*1.02*AD$3,0)</f>
        <v>16301</v>
      </c>
      <c r="AE15" s="16" cm="1">
        <f t="array" ref="AE15">ROUND(SUM(($D15:AD15)/SUM($D$3:AD$3))*1.02*AE$3,0)</f>
        <v>14895</v>
      </c>
      <c r="AF15" s="16" cm="1">
        <f t="array" ref="AF15">ROUND(SUM(($D15:AE15)/SUM($D$3:AE$3))*1.02*AF$3,0)</f>
        <v>15615</v>
      </c>
      <c r="AG15" s="16" cm="1">
        <f t="array" ref="AG15">ROUND(SUM(($D15:AF15)/SUM($D$3:AF$3))*1.02*AG$3,0)</f>
        <v>15626</v>
      </c>
      <c r="AH15" s="16" cm="1">
        <f t="array" ref="AH15">ROUND(SUM(($D15:AG15)/SUM($D$3:AG$3))*1.02*AH$3,0)</f>
        <v>14926</v>
      </c>
      <c r="AI15" s="16" cm="1">
        <f t="array" ref="AI15">ROUND(SUM(($D15:AH15)/SUM($D$3:AH$3))*1.02*AI$3,0)</f>
        <v>16358</v>
      </c>
      <c r="AJ15" s="16" cm="1">
        <f t="array" ref="AJ15">ROUND(SUM(($D15:AI15)/SUM($D$3:AI$3))*1.02*AJ$3,0)</f>
        <v>15657</v>
      </c>
      <c r="AK15" s="16" cm="1">
        <f t="array" ref="AK15">ROUND(SUM(($D15:AJ15)/SUM($D$3:AJ$3))*1.02*AK$3,0)</f>
        <v>14954</v>
      </c>
      <c r="AL15" s="16" cm="1">
        <f t="array" ref="AL15">ROUND(SUM(($D15:AK15)/SUM($D$3:AK$3))*1.02*AL$3,0)</f>
        <v>15675</v>
      </c>
      <c r="AM15" s="16" cm="1">
        <f t="array" ref="AM15">ROUND(SUM(($D15:AL15)/SUM($D$3:AL$3))*1.02*AM$3,0)</f>
        <v>15684</v>
      </c>
      <c r="AN15" s="16" cm="1">
        <f t="array" ref="AN15">ROUND(SUM(($D15:AM15)/SUM($D$3:AM$3))*1.03*AN$3,0)</f>
        <v>15847</v>
      </c>
      <c r="AO15" s="16" cm="1">
        <f t="array" ref="AO15">ROUND(SUM(($D15:AN15)/SUM($D$3:AN$3))*1.03*AO$3,0)</f>
        <v>14418</v>
      </c>
      <c r="AP15" s="16" cm="1">
        <f t="array" ref="AP15">ROUND(SUM(($D15:AO15)/SUM($D$3:AO$3))*1.03*AP$3,0)</f>
        <v>16593</v>
      </c>
      <c r="AQ15" s="16" cm="1">
        <f t="array" ref="AQ15">ROUND(SUM(($D15:AP15)/SUM($D$3:AP$3))*1.03*AQ$3,0)</f>
        <v>14440</v>
      </c>
      <c r="AR15" s="16" cm="1">
        <f t="array" ref="AR15">ROUND(SUM(($D15:AQ15)/SUM($D$3:AQ$3))*1.03*AR$3,0)</f>
        <v>16618</v>
      </c>
      <c r="AS15" s="16" cm="1">
        <f t="array" ref="AS15">ROUND(SUM(($D15:AR15)/SUM($D$3:AR$3))*1.03*AS$3,0)</f>
        <v>15908</v>
      </c>
      <c r="AT15" s="16" cm="1">
        <f t="array" ref="AT15">ROUND(SUM(($D15:AS15)/SUM($D$3:AS$3))*1.03*AT$3,0)</f>
        <v>15196</v>
      </c>
      <c r="AU15" s="16" cm="1">
        <f t="array" ref="AU15">ROUND(SUM(($D15:AT15)/SUM($D$3:AT$3))*1.03*AU$3,0)</f>
        <v>16654</v>
      </c>
      <c r="AV15" s="16" cm="1">
        <f t="array" ref="AV15">ROUND(SUM(($D15:AU15)/SUM($D$3:AU$3))*1.03*AV$3,0)</f>
        <v>15217</v>
      </c>
      <c r="AW15" s="16" cm="1">
        <f t="array" ref="AW15">ROUND(SUM(($D15:AV15)/SUM($D$3:AV$3))*1.03*AW$3,0)</f>
        <v>15952</v>
      </c>
      <c r="AX15" s="16" cm="1">
        <f t="array" ref="AX15">ROUND(SUM(($D15:AW15)/SUM($D$3:AW$3))*1.03*AX$3,0)</f>
        <v>15962</v>
      </c>
      <c r="AY15" s="16" cm="1">
        <f t="array" ref="AY15">ROUND(SUM(($D15:AX15)/SUM($D$3:AX$3))*1.03*AY$3,0)</f>
        <v>15247</v>
      </c>
    </row>
    <row r="16" spans="1:57" x14ac:dyDescent="0.3">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row>
    <row r="17" spans="4:51" x14ac:dyDescent="0.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row>
    <row r="18" spans="4:51" x14ac:dyDescent="0.3">
      <c r="D18" s="3"/>
    </row>
  </sheetData>
  <sheetProtection algorithmName="SHA-512" hashValue="oXKNlFoXNPvAG9yB19+lD1IcW5gGOrHzSnf5+NcSkOpQ+wwtOfJPAlebvPjnb2E00AWIann7GgBiO5z8QKIwZA==" saltValue="7ZIPsmP9xjyqGJQCSZRSRg==" spinCount="100000" sheet="1" objects="1" scenarios="1" autoFilter="0"/>
  <dataValidations disablePrompts="1" count="1">
    <dataValidation type="list" allowBlank="1" showInputMessage="1" showErrorMessage="1" sqref="BA1" xr:uid="{BA883B6E-A9DF-4952-B9CD-F721828784A1}">
      <formula1>Volume_Measures</formula1>
    </dataValidation>
  </dataValidation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A0EE-2162-4847-BD05-345F4D72B5BB}">
  <dimension ref="A4:C8"/>
  <sheetViews>
    <sheetView showGridLines="0" workbookViewId="0">
      <selection activeCell="A4" sqref="A4"/>
    </sheetView>
  </sheetViews>
  <sheetFormatPr defaultRowHeight="14.4" x14ac:dyDescent="0.3"/>
  <cols>
    <col min="1" max="1" width="9.109375" customWidth="1"/>
    <col min="2" max="2" width="11.21875" customWidth="1"/>
    <col min="3" max="3" width="13.44140625" customWidth="1"/>
  </cols>
  <sheetData>
    <row r="4" spans="1:3" ht="28.8" x14ac:dyDescent="0.3">
      <c r="A4" s="77" t="s">
        <v>76</v>
      </c>
      <c r="B4" s="77" t="s">
        <v>159</v>
      </c>
      <c r="C4" s="77" t="s">
        <v>147</v>
      </c>
    </row>
    <row r="5" spans="1:3" x14ac:dyDescent="0.3">
      <c r="A5" s="64">
        <v>2023</v>
      </c>
      <c r="B5" s="53">
        <v>2023</v>
      </c>
      <c r="C5" s="53" t="b">
        <f>ISNUMBER(TableYears[[#This Row],[Evaluation Year]])</f>
        <v>1</v>
      </c>
    </row>
    <row r="6" spans="1:3" x14ac:dyDescent="0.3">
      <c r="A6" s="64">
        <v>2022</v>
      </c>
      <c r="B6" s="53">
        <v>2022</v>
      </c>
      <c r="C6" s="53" t="b">
        <f>ISNUMBER(TableYears[[#This Row],[Evaluation Year]])</f>
        <v>1</v>
      </c>
    </row>
    <row r="7" spans="1:3" x14ac:dyDescent="0.3">
      <c r="A7" s="64">
        <v>2021</v>
      </c>
      <c r="B7" s="53">
        <v>2021</v>
      </c>
      <c r="C7" s="53" t="b">
        <f>ISNUMBER(TableYears[[#This Row],[Evaluation Year]])</f>
        <v>1</v>
      </c>
    </row>
    <row r="8" spans="1:3" x14ac:dyDescent="0.3">
      <c r="A8" s="53">
        <v>2020</v>
      </c>
      <c r="B8" s="53"/>
      <c r="C8" s="53" t="b">
        <f>ISNUMBER(TableYears[[#This Row],[Evaluation Year]])</f>
        <v>0</v>
      </c>
    </row>
  </sheetData>
  <sheetProtection algorithmName="SHA-512" hashValue="fZCPzoZby3IjiEuLt1AM8zsEV5K7rX1apK9BhIEK9N25XwgVflplTSULF1cPf/i2ewSvmXa9iORx2wQujSb6HQ==" saltValue="zwzrjI+r2xgzVnJpSAMNOQ==" spinCount="100000" sheet="1" objects="1" scenarios="1"/>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AFEJSONBlob>
</file>

<file path=customXml/item19.xml>��
</file>

<file path=customXml/itemProps1.xml><?xml version="1.0" encoding="utf-8"?>
<ds:datastoreItem xmlns:ds="http://schemas.openxmlformats.org/officeDocument/2006/customXml" ds:itemID="{E924D4A1-7370-4012-918D-0F77D9A66E6D}">
  <ds:schemaRefs/>
</ds:datastoreItem>
</file>

<file path=customXml/itemProps2.xml><?xml version="1.0" encoding="utf-8"?>
<ds:datastoreItem xmlns:ds="http://schemas.openxmlformats.org/officeDocument/2006/customXml" ds:itemID="{BF1F61A5-06BB-484E-98B2-34544F23F86D}">
  <ds:schemaRefs/>
</ds:datastoreItem>
</file>

<file path=customXml/itemProps3.xml><?xml version="1.0" encoding="utf-8"?>
<ds:datastoreItem xmlns:ds="http://schemas.openxmlformats.org/officeDocument/2006/customXml" ds:itemID="{9063BFF8-DE80-4A10-9876-0FE35F639A9A}">
  <ds:schemaRefs>
    <ds:schemaRef ds:uri="http://schemas.microsoft.com/DataMashup"/>
  </ds:schemaRefs>
</ds:datastoreItem>
</file>

<file path=customXml/itemProps4.xml><?xml version="1.0" encoding="utf-8"?>
<ds:datastoreItem xmlns:ds="http://schemas.openxmlformats.org/officeDocument/2006/customXml" ds:itemID="{9F704DF8-17EA-48DC-AF77-437A446B3B9C}">
  <ds:schemaRefs/>
</ds:datastoreItem>
</file>

<file path=customXml/itemProps5.xml><?xml version="1.0" encoding="utf-8"?>
<ds:datastoreItem xmlns:ds="http://schemas.openxmlformats.org/officeDocument/2006/customXml" ds:itemID="{9510583A-FAC0-4633-8A2A-07920D84F519}">
  <ds:schemaRefs/>
</ds:datastoreItem>
</file>

<file path=customXml/itemProps6.xml><?xml version="1.0" encoding="utf-8"?>
<ds:datastoreItem xmlns:ds="http://schemas.openxmlformats.org/officeDocument/2006/customXml" ds:itemID="{19F5F886-5595-4B7E-BF3C-FA182E84A4A7}">
  <ds:schemaRefs/>
</ds:datastoreItem>
</file>

<file path=customXml/itemProps7.xml><?xml version="1.0" encoding="utf-8"?>
<ds:datastoreItem xmlns:ds="http://schemas.openxmlformats.org/officeDocument/2006/customXml" ds:itemID="{3BDF0F09-27C7-465E-AA55-51F8B788DA6A}">
  <ds:schemaRefs/>
</ds:datastoreItem>
</file>

<file path=customXml/itemProps8.xml><?xml version="1.0" encoding="utf-8"?>
<ds:datastoreItem xmlns:ds="http://schemas.openxmlformats.org/officeDocument/2006/customXml" ds:itemID="{1078A91D-2F30-40AD-BA28-2D7C6309B980}">
  <ds:schemaRefs/>
</ds:datastoreItem>
</file>

<file path=customXml/itemProps9.xml><?xml version="1.0" encoding="utf-8"?>
<ds:datastoreItem xmlns:ds="http://schemas.openxmlformats.org/officeDocument/2006/customXml" ds:itemID="{791AD760-B0A7-4B37-9751-56AD28EF20DE}">
  <ds:schemaRefs/>
</ds:datastoreItem>
</file>

<file path=customXml/itemProps10.xml><?xml version="1.0" encoding="utf-8"?>
<ds:datastoreItem xmlns:ds="http://schemas.openxmlformats.org/officeDocument/2006/customXml" ds:itemID="{A90021B6-119B-443E-9AF5-970B8ECDE587}">
  <ds:schemaRefs/>
</ds:datastoreItem>
</file>

<file path=customXml/itemProps11.xml><?xml version="1.0" encoding="utf-8"?>
<ds:datastoreItem xmlns:ds="http://schemas.openxmlformats.org/officeDocument/2006/customXml" ds:itemID="{4AA378CE-F6C8-4E37-AB2D-2FF880B85FC8}">
  <ds:schemaRefs/>
</ds:datastoreItem>
</file>

<file path=customXml/itemProps12.xml><?xml version="1.0" encoding="utf-8"?>
<ds:datastoreItem xmlns:ds="http://schemas.openxmlformats.org/officeDocument/2006/customXml" ds:itemID="{83D6A8C3-98D5-46FC-82A2-631BC4E8C812}">
  <ds:schemaRefs/>
</ds:datastoreItem>
</file>

<file path=customXml/itemProps13.xml><?xml version="1.0" encoding="utf-8"?>
<ds:datastoreItem xmlns:ds="http://schemas.openxmlformats.org/officeDocument/2006/customXml" ds:itemID="{99D90B69-3AA3-4D65-82A8-58108BE10F19}">
  <ds:schemaRefs/>
</ds:datastoreItem>
</file>

<file path=customXml/itemProps14.xml><?xml version="1.0" encoding="utf-8"?>
<ds:datastoreItem xmlns:ds="http://schemas.openxmlformats.org/officeDocument/2006/customXml" ds:itemID="{5F63462C-EB29-4A06-BE7B-5403F0A201C2}">
  <ds:schemaRefs/>
</ds:datastoreItem>
</file>

<file path=customXml/itemProps15.xml><?xml version="1.0" encoding="utf-8"?>
<ds:datastoreItem xmlns:ds="http://schemas.openxmlformats.org/officeDocument/2006/customXml" ds:itemID="{329860D5-A427-4100-A39A-D4ADBC9FE3EF}">
  <ds:schemaRefs/>
</ds:datastoreItem>
</file>

<file path=customXml/itemProps16.xml><?xml version="1.0" encoding="utf-8"?>
<ds:datastoreItem xmlns:ds="http://schemas.openxmlformats.org/officeDocument/2006/customXml" ds:itemID="{6D5D03BF-6691-4B58-A3A7-78D1037178E8}">
  <ds:schemaRefs/>
</ds:datastoreItem>
</file>

<file path=customXml/itemProps17.xml><?xml version="1.0" encoding="utf-8"?>
<ds:datastoreItem xmlns:ds="http://schemas.openxmlformats.org/officeDocument/2006/customXml" ds:itemID="{02CFD1A7-79CF-4005-81C1-BCA645CBEF7E}">
  <ds:schemaRefs/>
</ds:datastoreItem>
</file>

<file path=customXml/itemProps18.xml><?xml version="1.0" encoding="utf-8"?>
<ds:datastoreItem xmlns:ds="http://schemas.openxmlformats.org/officeDocument/2006/customXml" ds:itemID="{022891FF-D17F-4EE1-976B-D74B4BFB32C2}">
  <ds:schemaRefs>
    <ds:schemaRef ds:uri="http://schemas.advancedformulaenvironment.officeapps.live.com/afejsonblob/1.0"/>
  </ds:schemaRefs>
</ds:datastoreItem>
</file>

<file path=customXml/itemProps19.xml><?xml version="1.0" encoding="utf-8"?>
<ds:datastoreItem xmlns:ds="http://schemas.openxmlformats.org/officeDocument/2006/customXml" ds:itemID="{C8FB728F-3D33-4ECF-9350-CF3E7C80989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33</vt:i4>
      </vt:variant>
    </vt:vector>
  </HeadingPairs>
  <TitlesOfParts>
    <vt:vector size="42" baseType="lpstr">
      <vt:lpstr>CPU Review</vt:lpstr>
      <vt:lpstr>Departments</vt:lpstr>
      <vt:lpstr>Products</vt:lpstr>
      <vt:lpstr>ProductRates</vt:lpstr>
      <vt:lpstr>Products Calculations</vt:lpstr>
      <vt:lpstr>Volumes</vt:lpstr>
      <vt:lpstr>Costs</vt:lpstr>
      <vt:lpstr>Volume Calculations</vt:lpstr>
      <vt:lpstr>Years</vt:lpstr>
      <vt:lpstr>'CPU Review'!BaseYr</vt:lpstr>
      <vt:lpstr>ChartPrdMarkers</vt:lpstr>
      <vt:lpstr>ChartPrdNames</vt:lpstr>
      <vt:lpstr>Costs_2020</vt:lpstr>
      <vt:lpstr>Costs_2021</vt:lpstr>
      <vt:lpstr>Costs_2022</vt:lpstr>
      <vt:lpstr>Costs_2023</vt:lpstr>
      <vt:lpstr>'CPU Review'!Department_Name</vt:lpstr>
      <vt:lpstr>Department_Name</vt:lpstr>
      <vt:lpstr>'CPU Review'!EvaluationYr</vt:lpstr>
      <vt:lpstr>Icons</vt:lpstr>
      <vt:lpstr>Pic_0</vt:lpstr>
      <vt:lpstr>Pic_1</vt:lpstr>
      <vt:lpstr>Pic_10</vt:lpstr>
      <vt:lpstr>Pic_11</vt:lpstr>
      <vt:lpstr>Pic_2</vt:lpstr>
      <vt:lpstr>Pic_3</vt:lpstr>
      <vt:lpstr>Pic_4</vt:lpstr>
      <vt:lpstr>Pic_5</vt:lpstr>
      <vt:lpstr>Pic_6</vt:lpstr>
      <vt:lpstr>Pic_7</vt:lpstr>
      <vt:lpstr>Pic_8</vt:lpstr>
      <vt:lpstr>Pic_9</vt:lpstr>
      <vt:lpstr>'CPU Review'!Print_Area</vt:lpstr>
      <vt:lpstr>Rates2020</vt:lpstr>
      <vt:lpstr>Rates2021</vt:lpstr>
      <vt:lpstr>Rates2022</vt:lpstr>
      <vt:lpstr>Rates2023</vt:lpstr>
      <vt:lpstr>Share_2020</vt:lpstr>
      <vt:lpstr>Share_2021</vt:lpstr>
      <vt:lpstr>Share_2022</vt:lpstr>
      <vt:lpstr>Share_2023</vt:lpstr>
      <vt:lpstr>Volume_Measures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Craig Bauman</dc:creator>
  <cp:lastModifiedBy>Craig Bauman</cp:lastModifiedBy>
  <cp:lastPrinted>2024-07-18T20:32:18Z</cp:lastPrinted>
  <dcterms:created xsi:type="dcterms:W3CDTF">2024-07-01T10:38:29Z</dcterms:created>
  <dcterms:modified xsi:type="dcterms:W3CDTF">2024-07-19T15:43:26Z</dcterms:modified>
</cp:coreProperties>
</file>