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Crayon\UK\DS Smith\"/>
    </mc:Choice>
  </mc:AlternateContent>
  <xr:revisionPtr revIDLastSave="0" documentId="13_ncr:1_{2555AB57-6262-4BC5-98DF-1A14E03FEF5E}" xr6:coauthVersionLast="47" xr6:coauthVersionMax="47" xr10:uidLastSave="{00000000-0000-0000-0000-000000000000}"/>
  <bookViews>
    <workbookView xWindow="-120" yWindow="-120" windowWidth="29040" windowHeight="15840" xr2:uid="{9E2ED07B-04DC-44F6-98B8-F069C4E7E90D}"/>
  </bookViews>
  <sheets>
    <sheet name="SoW" sheetId="7" r:id="rId1"/>
    <sheet name="Resourcing" sheetId="6" r:id="rId2"/>
    <sheet name="FlexeraOne" sheetId="5" r:id="rId3"/>
    <sheet name="Weighting" sheetId="3" r:id="rId4"/>
    <sheet name="Lookup" sheetId="4" r:id="rId5"/>
  </sheets>
  <definedNames>
    <definedName name="_xlnm._FilterDatabase" localSheetId="1" hidden="1">Resourcing!$A$1:$D$5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D5" i="7"/>
  <c r="G4" i="7"/>
  <c r="G3" i="7"/>
  <c r="G2" i="7"/>
  <c r="G6" i="7" s="1"/>
  <c r="D2" i="7"/>
  <c r="J2" i="5"/>
  <c r="D14" i="3"/>
  <c r="I2" i="3"/>
  <c r="J13" i="5"/>
  <c r="E30" i="3"/>
  <c r="E29" i="3"/>
  <c r="C29" i="3"/>
  <c r="E28" i="3"/>
  <c r="C28" i="3"/>
  <c r="E27" i="3"/>
  <c r="C27" i="3"/>
  <c r="E26" i="3"/>
  <c r="C26" i="3"/>
  <c r="E25" i="3"/>
  <c r="C25" i="3"/>
  <c r="C30" i="3" s="1"/>
  <c r="D21" i="3"/>
  <c r="E21" i="3" s="1"/>
  <c r="C21" i="3"/>
  <c r="E20" i="3"/>
  <c r="C20" i="3"/>
  <c r="E19" i="3"/>
  <c r="C19" i="3"/>
  <c r="E18" i="3"/>
  <c r="C18" i="3"/>
  <c r="E17" i="3"/>
  <c r="C17" i="3"/>
  <c r="I13" i="3"/>
  <c r="C13" i="3"/>
  <c r="D13" i="3" s="1"/>
  <c r="I12" i="3"/>
  <c r="C12" i="3"/>
  <c r="D12" i="3" s="1"/>
  <c r="I11" i="3"/>
  <c r="C11" i="3"/>
  <c r="D11" i="3" s="1"/>
  <c r="I10" i="3"/>
  <c r="I14" i="3" s="1"/>
  <c r="I16" i="5" s="1"/>
  <c r="C10" i="3"/>
  <c r="D10" i="3" s="1"/>
  <c r="I9" i="3"/>
  <c r="C9" i="3"/>
  <c r="D9" i="3" s="1"/>
  <c r="C5" i="3"/>
  <c r="C4" i="3"/>
  <c r="C3" i="3"/>
  <c r="C2" i="3"/>
  <c r="C6" i="3" s="1"/>
  <c r="J8" i="5"/>
  <c r="J7" i="5"/>
  <c r="J6" i="5"/>
  <c r="E22" i="3" l="1"/>
  <c r="J11" i="5" s="1"/>
  <c r="C22" i="3"/>
  <c r="G11" i="5" s="1"/>
  <c r="G4" i="5"/>
  <c r="J4" i="5" s="1"/>
  <c r="B6" i="3"/>
  <c r="C14" i="3"/>
  <c r="J9" i="5" l="1"/>
  <c r="G5" i="5"/>
  <c r="J5" i="5" s="1"/>
  <c r="J15" i="5" s="1"/>
  <c r="J16" i="5" l="1"/>
  <c r="J17" i="5"/>
  <c r="J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tc={A194A59C-2D72-4C51-81D2-C21B1045068C}</author>
    <author>tc={E7DD0255-C4A0-4CF2-A809-9B81C696F668}</author>
  </authors>
  <commentList>
    <comment ref="J2" authorId="0" shapeId="0" xr:uid="{A194A59C-2D72-4C51-81D2-C21B1045068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kind of organisation can take a lot of work to get the design fully worked</t>
      </text>
    </comment>
    <comment ref="I6" authorId="1" shapeId="0" xr:uid="{E7DD0255-C4A0-4CF2-A809-9B81C696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Complex custom inventory adapter needs to be developed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tc={6B9BFADC-D7E4-4C4E-93C7-28F9F2EC9389}</author>
  </authors>
  <commentList>
    <comment ref="I2" authorId="0" shapeId="0" xr:uid="{6B9BFADC-D7E4-4C4E-93C7-28F9F2EC93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required Beacons = the number of isolated networds in PROD + 1 extra Beacon for every 10K devices + 1 Beacon for every non-PROD environment</t>
      </text>
    </comment>
  </commentList>
</comments>
</file>

<file path=xl/sharedStrings.xml><?xml version="1.0" encoding="utf-8"?>
<sst xmlns="http://schemas.openxmlformats.org/spreadsheetml/2006/main" count="142" uniqueCount="81">
  <si>
    <t>Implementation Task</t>
  </si>
  <si>
    <t>Estimate (days)</t>
  </si>
  <si>
    <t>Environments</t>
  </si>
  <si>
    <t>Dev</t>
  </si>
  <si>
    <t>Test</t>
  </si>
  <si>
    <t>QA/PreProd</t>
  </si>
  <si>
    <t>Prod</t>
  </si>
  <si>
    <t>Required?</t>
  </si>
  <si>
    <t>Yes</t>
  </si>
  <si>
    <t>No</t>
  </si>
  <si>
    <t>Beacons</t>
  </si>
  <si>
    <t>FNMS System Design</t>
  </si>
  <si>
    <t>Total</t>
  </si>
  <si>
    <t>Custom Reports</t>
  </si>
  <si>
    <t>Vendor Onboarding</t>
  </si>
  <si>
    <t>Teir-2 Vendors</t>
  </si>
  <si>
    <t>M365</t>
  </si>
  <si>
    <t>Extra Features</t>
  </si>
  <si>
    <t>Teir-1 Vendors</t>
  </si>
  <si>
    <t>Azure</t>
  </si>
  <si>
    <t>Sub-Total (days)</t>
  </si>
  <si>
    <t>Points</t>
  </si>
  <si>
    <t>AWS</t>
  </si>
  <si>
    <t>Factor</t>
  </si>
  <si>
    <t>Number of Isolated Networks</t>
  </si>
  <si>
    <t>Total Number of Devices</t>
  </si>
  <si>
    <t>Value</t>
  </si>
  <si>
    <t>Custom Business Adapters</t>
  </si>
  <si>
    <t>Days</t>
  </si>
  <si>
    <t>Project Management</t>
  </si>
  <si>
    <t>Total (days)</t>
  </si>
  <si>
    <t>Enterprise Overheads</t>
  </si>
  <si>
    <t>Required</t>
  </si>
  <si>
    <t>Microsoft</t>
  </si>
  <si>
    <t>IBM</t>
  </si>
  <si>
    <t>Oarcle</t>
  </si>
  <si>
    <t>SAP</t>
  </si>
  <si>
    <t>Estimate</t>
  </si>
  <si>
    <t>TEIR-2 Vendor</t>
  </si>
  <si>
    <t>TEIR-1 Vendor</t>
  </si>
  <si>
    <t>vendor1</t>
  </si>
  <si>
    <t>vendor2</t>
  </si>
  <si>
    <t>vendor3</t>
  </si>
  <si>
    <t>vendor4</t>
  </si>
  <si>
    <t>vendor5</t>
  </si>
  <si>
    <t>Oracle</t>
  </si>
  <si>
    <t>Enterprise Factor</t>
  </si>
  <si>
    <t>Bank, Financial, or Government?</t>
  </si>
  <si>
    <t>Large Enterprise? (&gt;50k devices)</t>
  </si>
  <si>
    <t>Agile Project Methodology?</t>
  </si>
  <si>
    <t>FNMS System (Cloud)</t>
  </si>
  <si>
    <t>FNMS Systems</t>
  </si>
  <si>
    <t>FlexeraOne</t>
  </si>
  <si>
    <t>InScope</t>
  </si>
  <si>
    <t>Inventory Imports and Data Quality</t>
  </si>
  <si>
    <t>RSD</t>
  </si>
  <si>
    <t>RDS</t>
  </si>
  <si>
    <t>RDS Inventory</t>
  </si>
  <si>
    <t>DS Smith</t>
  </si>
  <si>
    <t>Type</t>
  </si>
  <si>
    <t>Short term</t>
  </si>
  <si>
    <t>Long term</t>
  </si>
  <si>
    <t>Prepaid</t>
  </si>
  <si>
    <t>Cloud Consultant</t>
  </si>
  <si>
    <t>Consultant</t>
  </si>
  <si>
    <t>Project Manager</t>
  </si>
  <si>
    <t>Senior Licensing Consultant</t>
  </si>
  <si>
    <t>Senior Technical Consultant</t>
  </si>
  <si>
    <t>* Note:</t>
  </si>
  <si>
    <t>Short term = 10 days or less</t>
  </si>
  <si>
    <t>Long term = 10 days or more</t>
  </si>
  <si>
    <t>Item</t>
  </si>
  <si>
    <t>Description</t>
  </si>
  <si>
    <t>Resource Level</t>
  </si>
  <si>
    <t>Project Duration</t>
  </si>
  <si>
    <t>Estimated Days</t>
  </si>
  <si>
    <t>Daily Rate  $/day</t>
  </si>
  <si>
    <t>Estimated Fees (AUD)</t>
  </si>
  <si>
    <t>Systems Design</t>
  </si>
  <si>
    <t>Flexera One System Implementation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</si>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</sst>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Stag Sans Light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B4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FF9933"/>
      </left>
      <right/>
      <top style="thin">
        <color rgb="FFFF9933"/>
      </top>
      <bottom/>
      <diagonal/>
    </border>
    <border>
      <left/>
      <right/>
      <top style="thin">
        <color rgb="FFFF9933"/>
      </top>
      <bottom/>
      <diagonal/>
    </border>
    <border>
      <left/>
      <right style="thin">
        <color rgb="FFFF9933"/>
      </right>
      <top style="thin">
        <color rgb="FFFF9933"/>
      </top>
      <bottom/>
      <diagonal/>
    </border>
    <border>
      <left style="thin">
        <color rgb="FFFF9933"/>
      </left>
      <right/>
      <top/>
      <bottom/>
      <diagonal/>
    </border>
    <border>
      <left/>
      <right style="thin">
        <color rgb="FFFF9933"/>
      </right>
      <top/>
      <bottom/>
      <diagonal/>
    </border>
    <border>
      <left style="thin">
        <color rgb="FFFF9933"/>
      </left>
      <right/>
      <top/>
      <bottom style="thin">
        <color rgb="FFFF9933"/>
      </bottom>
      <diagonal/>
    </border>
    <border>
      <left/>
      <right/>
      <top/>
      <bottom style="thin">
        <color rgb="FFFF9933"/>
      </bottom>
      <diagonal/>
    </border>
    <border>
      <left/>
      <right style="thin">
        <color rgb="FFFF9933"/>
      </right>
      <top/>
      <bottom style="thin">
        <color rgb="FFFF9933"/>
      </bottom>
      <diagonal/>
    </border>
    <border>
      <left style="thin">
        <color theme="5" tint="0.39997558519241921"/>
      </left>
      <right/>
      <top style="double">
        <color theme="5"/>
      </top>
      <bottom/>
      <diagonal/>
    </border>
    <border>
      <left/>
      <right/>
      <top style="double">
        <color theme="5"/>
      </top>
      <bottom/>
      <diagonal/>
    </border>
    <border>
      <left/>
      <right style="thin">
        <color theme="5" tint="0.39997558519241921"/>
      </right>
      <top style="double">
        <color theme="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86">
    <xf numFmtId="0" fontId="0" fillId="0" borderId="0" xfId="0"/>
    <xf numFmtId="0" fontId="0" fillId="4" borderId="0" xfId="0" applyFill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3" borderId="2" xfId="0" applyFont="1" applyFill="1" applyBorder="1"/>
    <xf numFmtId="0" fontId="0" fillId="2" borderId="5" xfId="0" applyFill="1" applyBorder="1"/>
    <xf numFmtId="0" fontId="0" fillId="0" borderId="4" xfId="0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6" borderId="5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5" borderId="0" xfId="0" applyFill="1"/>
    <xf numFmtId="0" fontId="0" fillId="5" borderId="0" xfId="0" applyNumberFormat="1" applyFill="1"/>
    <xf numFmtId="9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4" borderId="0" xfId="0" applyFont="1" applyFill="1"/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5" borderId="9" xfId="0" applyFont="1" applyFill="1" applyBorder="1"/>
    <xf numFmtId="0" fontId="2" fillId="5" borderId="10" xfId="0" applyNumberFormat="1" applyFont="1" applyFill="1" applyBorder="1"/>
    <xf numFmtId="0" fontId="2" fillId="5" borderId="11" xfId="0" applyNumberFormat="1" applyFont="1" applyFill="1" applyBorder="1"/>
    <xf numFmtId="0" fontId="2" fillId="5" borderId="0" xfId="0" applyNumberFormat="1" applyFont="1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3" fillId="2" borderId="5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4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65" fontId="11" fillId="0" borderId="0" xfId="1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left" indent="7"/>
    </xf>
    <xf numFmtId="0" fontId="12" fillId="9" borderId="12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/>
    </xf>
    <xf numFmtId="165" fontId="9" fillId="2" borderId="12" xfId="0" applyNumberFormat="1" applyFont="1" applyFill="1" applyBorder="1" applyAlignment="1">
      <alignment horizontal="right" vertical="center"/>
    </xf>
    <xf numFmtId="165" fontId="9" fillId="2" borderId="12" xfId="0" applyNumberFormat="1" applyFont="1" applyFill="1" applyBorder="1" applyAlignment="1">
      <alignment vertical="center"/>
    </xf>
    <xf numFmtId="0" fontId="13" fillId="0" borderId="0" xfId="0" applyFont="1"/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165" fontId="9" fillId="0" borderId="12" xfId="0" applyNumberFormat="1" applyFont="1" applyBorder="1" applyAlignment="1">
      <alignment horizontal="right" vertical="center"/>
    </xf>
    <xf numFmtId="165" fontId="9" fillId="0" borderId="12" xfId="0" applyNumberFormat="1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vertical="center" wrapText="1"/>
    </xf>
    <xf numFmtId="0" fontId="9" fillId="10" borderId="12" xfId="0" applyFont="1" applyFill="1" applyBorder="1" applyAlignment="1">
      <alignment vertical="center"/>
    </xf>
    <xf numFmtId="0" fontId="9" fillId="11" borderId="0" xfId="0" applyFont="1" applyFill="1" applyAlignment="1">
      <alignment horizontal="left"/>
    </xf>
    <xf numFmtId="0" fontId="9" fillId="11" borderId="14" xfId="0" applyFont="1" applyFill="1" applyBorder="1" applyAlignment="1">
      <alignment horizontal="left"/>
    </xf>
    <xf numFmtId="165" fontId="9" fillId="11" borderId="0" xfId="0" applyNumberFormat="1" applyFont="1" applyFill="1"/>
    <xf numFmtId="165" fontId="9" fillId="11" borderId="15" xfId="0" applyNumberFormat="1" applyFont="1" applyFill="1" applyBorder="1" applyAlignment="1">
      <alignment horizontal="left"/>
    </xf>
    <xf numFmtId="165" fontId="9" fillId="11" borderId="14" xfId="0" applyNumberFormat="1" applyFont="1" applyFill="1" applyBorder="1"/>
    <xf numFmtId="0" fontId="1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5" formatCode="&quot;$&quot;#,##0"/>
      <border diagonalUp="0" diagonalDown="0" outline="0">
        <left style="thick">
          <color theme="0"/>
        </left>
        <right/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5" formatCode="&quot;$&quot;#,##0"/>
      <alignment horizontal="center" textRotation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 outline="0">
        <left/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top style="thin">
          <color rgb="FFFF0000"/>
        </top>
      </border>
    </dxf>
    <dxf>
      <border>
        <bottom style="thin">
          <color theme="0"/>
        </bottom>
      </border>
    </dxf>
    <dxf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tag Sans Light"/>
        <family val="2"/>
        <scheme val="none"/>
      </font>
      <fill>
        <patternFill patternType="solid">
          <fgColor indexed="64"/>
          <bgColor rgb="FFFF6B4D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39994506668294322"/>
        </patternFill>
      </fill>
      <border diagonalUp="0" diagonalDown="0" outline="0">
        <left/>
        <right style="thin">
          <color theme="5" tint="0.39997558519241921"/>
        </right>
        <top style="double">
          <color theme="5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39994506668294322"/>
        </patternFill>
      </fill>
      <border diagonalUp="0" diagonalDown="0" outline="0">
        <left/>
        <right/>
        <top style="double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39994506668294322"/>
        </patternFill>
      </fill>
      <border diagonalUp="0" diagonalDown="0" outline="0">
        <left/>
        <right/>
        <top style="double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4506668294322"/>
        </patternFill>
      </fill>
      <border diagonalUp="0" diagonalDown="0" outline="0">
        <left style="thin">
          <color theme="5" tint="0.39997558519241921"/>
        </left>
        <right/>
        <top style="double">
          <color theme="5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39994506668294322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5" tint="0.39994506668294322"/>
        </patternFill>
      </fill>
    </dxf>
    <dxf>
      <numFmt numFmtId="0" formatCode="General"/>
    </dxf>
    <dxf>
      <fill>
        <patternFill patternType="solid">
          <fgColor indexed="64"/>
          <bgColor theme="5" tint="0.39994506668294322"/>
        </patternFill>
      </fill>
    </dxf>
    <dxf>
      <fill>
        <patternFill patternType="solid">
          <fgColor indexed="64"/>
          <bgColor theme="5" tint="0.39994506668294322"/>
        </patternFill>
      </fill>
    </dxf>
    <dxf>
      <fill>
        <patternFill patternType="solid">
          <fgColor indexed="64"/>
          <bgColor theme="5" tint="0.39994506668294322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vor Holmes" id="{FA6C4CA6-69E6-4918-BE38-34712744480B}" userId="S::trevor.holmes@crayon.com::808e9d2b-102f-4c06-a480-850c3579933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6ACED-DA0E-4180-9765-00687557B21C}" name="Table2" displayName="Table2" ref="A1:G6" totalsRowShown="0" headerRowDxfId="11" dataDxfId="10" headerRowBorderDxfId="8" tableBorderDxfId="9" totalsRowBorderDxfId="7">
  <tableColumns count="7">
    <tableColumn id="1" xr3:uid="{4CAED6F1-E51E-4BD8-B68D-E50E05BA6E9D}" name="Item" dataDxfId="6"/>
    <tableColumn id="2" xr3:uid="{3CC6FBE6-1A00-47DF-80C9-7DC54293E2DE}" name="Description" dataDxfId="5"/>
    <tableColumn id="7" xr3:uid="{EDB16DE1-7AF4-4F27-8E47-3BFE91458A27}" name="Resource Level" dataDxfId="4"/>
    <tableColumn id="4" xr3:uid="{ACD91B13-CA68-44AC-9A7E-DDEFC9E8AE23}" name="Project Duration" dataDxfId="3"/>
    <tableColumn id="6" xr3:uid="{80AA0BB9-6868-42D0-8441-525351E04BB8}" name="Estimated Days" dataDxfId="2"/>
    <tableColumn id="5" xr3:uid="{1D6C7964-65E6-4841-8A50-C279462C287B}" name="Daily Rate  $/day" dataDxfId="1">
      <calculatedColumnFormula>INDEX(#REF!,MATCH(C2,#REF!,0),MATCH(D2,#REF!,0))</calculatedColumnFormula>
    </tableColumn>
    <tableColumn id="3" xr3:uid="{73A1D48B-BE35-4CF8-9EC8-47A32F7AE116}" name="Estimated Fees (AUD)" dataDxfId="0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919BF8-6897-4F4B-B2A9-79C6AE16AA54}" name="Table10" displayName="Table10" ref="F8:I14" totalsRowCount="1">
  <tableColumns count="4">
    <tableColumn id="1" xr3:uid="{23F9DD28-7335-4E8A-AFDF-B44A803174F4}" name="Enterprise Factor" totalsRowDxfId="16"/>
    <tableColumn id="2" xr3:uid="{B4A8C4F0-3F50-4F78-BE7B-03675816742A}" name="InScope" totalsRowDxfId="15"/>
    <tableColumn id="5" xr3:uid="{EEC2FF5F-F588-4750-881C-45D729F51403}" name="Value" totalsRowDxfId="14"/>
    <tableColumn id="3" xr3:uid="{0C3D608B-EA3E-4760-B955-E67FF1FF2937}" name="Points" totalsRowFunction="custom" dataDxfId="13" totalsRowDxfId="12">
      <calculatedColumnFormula>IF(G9="Yes",H9,0)</calculatedColumnFormula>
      <totalsRowFormula>SUM(Table10[Points])</totalsRow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D34265-B6FA-4D13-B9F9-4ABAAB73AD75}" name="Table5" displayName="Table5" ref="A1:A3" totalsRowShown="0">
  <autoFilter ref="A1:A3" xr:uid="{E9D34265-B6FA-4D13-B9F9-4ABAAB73AD75}"/>
  <tableColumns count="1">
    <tableColumn id="1" xr3:uid="{833939F7-E4CB-4E95-8E5E-1BCF54A4262A}" name="Required?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0A7EA-9E9F-4A71-AE67-026C08E715CE}" name="Table112" displayName="Table112" ref="A1:B6" totalsRowShown="0">
  <tableColumns count="2">
    <tableColumn id="1" xr3:uid="{8D538B3D-5FD9-497C-B6E5-35BA0BADFE1D}" name="Environments"/>
    <tableColumn id="2" xr3:uid="{972212A2-3E44-47FE-91A7-26B2ECAEF22F}" name="Required?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7D6350-7986-41BF-92D0-EBEB09825E15}" name="Table1313" displayName="Table1313" ref="A8:B14" totalsRowShown="0">
  <tableColumns count="2">
    <tableColumn id="1" xr3:uid="{77D5B6AC-09B9-4156-82B0-C7E4DD246813}" name="Extra Features"/>
    <tableColumn id="2" xr3:uid="{F7E89271-9D85-42E4-8701-62C16EEC0DFE}" name="Required?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20955-2BAC-4AB2-9814-80AD198E5C51}" name="Table14" displayName="Table14" ref="A1:C6" totalsRowShown="0">
  <tableColumns count="3">
    <tableColumn id="1" xr3:uid="{CB72A213-FA4B-4D6D-AB57-4B70FF639931}" name="Environments"/>
    <tableColumn id="2" xr3:uid="{8365E0F9-A096-4B36-9AD1-F2CCC3E12444}" name="Required?"/>
    <tableColumn id="3" xr3:uid="{1EC59667-6712-405D-84EE-364685D8DD4E}" name="Points" dataDxfId="28">
      <calculatedColumnFormula>IF(B2="Yes",1,0)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B5D084-5005-4BC8-9A91-D0222D2BF3AF}" name="Table135" displayName="Table135" ref="A8:D14" totalsRowCount="1" totalsRowDxfId="27">
  <tableColumns count="4">
    <tableColumn id="1" xr3:uid="{0E1951BD-0B11-47E5-B7BE-0EB8B3B3AC74}" name="Extra Features" totalsRowDxfId="26"/>
    <tableColumn id="2" xr3:uid="{75354DC7-9904-4339-8B88-B0E0ABFBF3E9}" name="Required?" totalsRowDxfId="25"/>
    <tableColumn id="3" xr3:uid="{ADF0BA0B-5C72-4011-B329-3E6EB0EE36FF}" name="Points" totalsRowFunction="custom" dataDxfId="24" totalsRowDxfId="23">
      <calculatedColumnFormula>IF(B9="Yes",1,0)</calculatedColumnFormula>
      <totalsRowFormula>SUM(C9:C13)</totalsRowFormula>
    </tableColumn>
    <tableColumn id="4" xr3:uid="{4B39ECF3-9C6F-4BB4-8943-4338FDFBFF9A}" name="Days" totalsRowFunction="custom" dataDxfId="22" totalsRowDxfId="21">
      <calculatedColumnFormula>C9*0.5</calculatedColumnFormula>
      <totalsRowFormula>ROUND(SUM(Table135[Days]),0)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336161-6BB5-43E5-B6B8-12469C859065}" name="Table7" displayName="Table7" ref="F1:G5" totalsRowShown="0">
  <tableColumns count="2">
    <tableColumn id="1" xr3:uid="{AA821CC0-124E-41D4-954D-B7E1F43E84CD}" name="Factor"/>
    <tableColumn id="2" xr3:uid="{9185D6BB-BA81-490E-AD1A-B2B50175D98B}" name="Valu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835FA8-D295-4522-8203-73637012A371}" name="Table8" displayName="Table8" ref="I1:I2" totalsRowShown="0">
  <tableColumns count="1">
    <tableColumn id="1" xr3:uid="{5E5A3EFD-ABF6-476A-8BEB-1C2AAE3FD9CC}" name="Beacons">
      <calculatedColumnFormula>G2+IF(G3&gt;15000,ROUND(G3/15000,0),1)+C6-1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1E23CF-60A4-4EF6-9424-E74D5D1A2203}" name="Table6" displayName="Table6" ref="A16:E21" totalsRowShown="0">
  <tableColumns count="5">
    <tableColumn id="1" xr3:uid="{F8868F6B-6B28-4C9E-84FA-B5CD1C3EE0A3}" name="TEIR-1 Vendor"/>
    <tableColumn id="2" xr3:uid="{3D8A164F-16D9-4CA5-92F4-8A582E1F0452}" name="Required"/>
    <tableColumn id="3" xr3:uid="{185E98F0-55BF-4651-A9D9-770F1728471C}" name="Points" dataDxfId="20">
      <calculatedColumnFormula>IF(B17="Yes",1,0)</calculatedColumnFormula>
    </tableColumn>
    <tableColumn id="4" xr3:uid="{AF123C29-B177-4228-9333-5C182F305B1F}" name="Estimate" dataDxfId="19">
      <calculatedColumnFormula>C17*5</calculatedColumnFormula>
    </tableColumn>
    <tableColumn id="5" xr3:uid="{CEE5A1A6-E46E-4E74-A439-513A396C835C}" name="Day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3EC815-1109-4E2B-A5FF-893B61216298}" name="Table610" displayName="Table610" ref="A24:E29" totalsRowShown="0">
  <tableColumns count="5">
    <tableColumn id="1" xr3:uid="{0F38BF05-A299-41D5-BD9A-4206D7F1D121}" name="TEIR-2 Vendor"/>
    <tableColumn id="2" xr3:uid="{2DE07D47-5866-4271-98A7-E1542A7F28C0}" name="Required"/>
    <tableColumn id="3" xr3:uid="{13CF2BDC-07FB-4C07-8203-FD4522DAC2E2}" name="Points" dataDxfId="18">
      <calculatedColumnFormula>IF(B25="Yes",1,0)</calculatedColumnFormula>
    </tableColumn>
    <tableColumn id="4" xr3:uid="{82673ED9-4D0B-4FC6-B580-84310296E640}" name="Estimate" dataDxfId="17">
      <calculatedColumnFormula>C25*5</calculatedColumnFormula>
    </tableColumn>
    <tableColumn id="5" xr3:uid="{A5EB11EF-3DF3-40EB-B836-3B5F518265F8}" name="Day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1-07-23T07:48:39.27" personId="{FA6C4CA6-69E6-4918-BE38-34712744480B}" id="{A194A59C-2D72-4C51-81D2-C21B1045068C}">
    <text>This kind of organisation can take a lot of work to get the design fully worked</text>
  </threadedComment>
  <threadedComment ref="I6" dT="2021-07-23T06:58:13.11" personId="{FA6C4CA6-69E6-4918-BE38-34712744480B}" id="{E7DD0255-C4A0-4CF2-A809-9B81C696F668}">
    <text>Complex custom inventory adapter needs to be developed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1-07-08T22:18:35.58" personId="{FA6C4CA6-69E6-4918-BE38-34712744480B}" id="{6B9BFADC-D7E4-4C4E-93C7-28F9F2EC9389}">
    <text>The number of required Beacons = the number of isolated networds in PROD + 1 extra Beacon for every 10K devices + 1 Beacon for every non-PROD environment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11" Type="http://schemas.microsoft.com/office/2017/10/relationships/threadedComment" Target="../threadedComments/threadedComment2.xml"/><Relationship Id="rId5" Type="http://schemas.openxmlformats.org/officeDocument/2006/relationships/table" Target="../tables/table6.xml"/><Relationship Id="rId10" Type="http://schemas.openxmlformats.org/officeDocument/2006/relationships/comments" Target="../comments2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094D-D005-443C-A39D-D7325A2C6AC3}">
  <dimension ref="A1:G7"/>
  <sheetViews>
    <sheetView tabSelected="1" zoomScale="160" zoomScaleNormal="160" workbookViewId="0">
      <selection activeCell="B18" sqref="B18"/>
    </sheetView>
  </sheetViews>
  <sheetFormatPr defaultColWidth="8.85546875" defaultRowHeight="12.75" x14ac:dyDescent="0.2"/>
  <cols>
    <col min="1" max="1" width="11.7109375" style="70" bestFit="1" customWidth="1"/>
    <col min="2" max="2" width="22.7109375" style="70" bestFit="1" customWidth="1"/>
    <col min="3" max="3" width="24.85546875" style="70" bestFit="1" customWidth="1"/>
    <col min="4" max="4" width="10.140625" style="70" hidden="1" customWidth="1"/>
    <col min="5" max="5" width="11" style="70" customWidth="1"/>
    <col min="6" max="6" width="13.28515625" style="85" customWidth="1"/>
    <col min="7" max="7" width="13.42578125" style="70" customWidth="1"/>
    <col min="8" max="16384" width="8.85546875" style="70"/>
  </cols>
  <sheetData>
    <row r="1" spans="1:7" s="64" customFormat="1" ht="31.7" customHeight="1" x14ac:dyDescent="0.25">
      <c r="A1" s="62" t="s">
        <v>71</v>
      </c>
      <c r="B1" s="62" t="s">
        <v>72</v>
      </c>
      <c r="C1" s="62" t="s">
        <v>73</v>
      </c>
      <c r="D1" s="63" t="s">
        <v>74</v>
      </c>
      <c r="E1" s="63" t="s">
        <v>75</v>
      </c>
      <c r="F1" s="63" t="s">
        <v>76</v>
      </c>
      <c r="G1" s="63" t="s">
        <v>77</v>
      </c>
    </row>
    <row r="2" spans="1:7" ht="15" thickBot="1" x14ac:dyDescent="0.25">
      <c r="A2" s="65">
        <v>1</v>
      </c>
      <c r="B2" s="66" t="s">
        <v>78</v>
      </c>
      <c r="C2" s="67" t="s">
        <v>67</v>
      </c>
      <c r="D2" s="67" t="str">
        <f>IF(E2&lt;=10,"Short term","Long term")</f>
        <v>Short term</v>
      </c>
      <c r="E2" s="67">
        <v>5</v>
      </c>
      <c r="F2" s="68">
        <v>2200</v>
      </c>
      <c r="G2" s="69">
        <f>E2*F2</f>
        <v>11000</v>
      </c>
    </row>
    <row r="3" spans="1:7" ht="30" thickTop="1" thickBot="1" x14ac:dyDescent="0.25">
      <c r="A3" s="71">
        <v>2</v>
      </c>
      <c r="B3" s="72" t="s">
        <v>79</v>
      </c>
      <c r="C3" s="73" t="s">
        <v>67</v>
      </c>
      <c r="D3" s="73"/>
      <c r="E3" s="73">
        <v>42</v>
      </c>
      <c r="F3" s="74">
        <v>2200</v>
      </c>
      <c r="G3" s="75">
        <f t="shared" ref="G3:G5" si="0">E3*F3</f>
        <v>92400</v>
      </c>
    </row>
    <row r="4" spans="1:7" ht="15.75" thickTop="1" thickBot="1" x14ac:dyDescent="0.25">
      <c r="A4" s="76">
        <v>3</v>
      </c>
      <c r="B4" s="66" t="s">
        <v>14</v>
      </c>
      <c r="C4" s="67" t="s">
        <v>66</v>
      </c>
      <c r="D4" s="67"/>
      <c r="E4" s="67">
        <v>45</v>
      </c>
      <c r="F4" s="68">
        <v>2200</v>
      </c>
      <c r="G4" s="69">
        <f t="shared" si="0"/>
        <v>99000</v>
      </c>
    </row>
    <row r="5" spans="1:7" ht="15" thickTop="1" x14ac:dyDescent="0.2">
      <c r="A5" s="77">
        <v>4</v>
      </c>
      <c r="B5" s="78" t="s">
        <v>29</v>
      </c>
      <c r="C5" s="79" t="s">
        <v>65</v>
      </c>
      <c r="D5" s="79" t="str">
        <f t="shared" ref="D5" si="1">IF(E5&lt;=10,"Short term","Long term")</f>
        <v>Short term</v>
      </c>
      <c r="E5" s="79">
        <v>9</v>
      </c>
      <c r="F5" s="74">
        <v>2400</v>
      </c>
      <c r="G5" s="75">
        <f t="shared" si="0"/>
        <v>21600</v>
      </c>
    </row>
    <row r="6" spans="1:7" ht="15" thickBot="1" x14ac:dyDescent="0.3">
      <c r="A6" s="80" t="s">
        <v>80</v>
      </c>
      <c r="B6" s="81"/>
      <c r="C6" s="80"/>
      <c r="D6" s="80"/>
      <c r="E6" s="82"/>
      <c r="F6" s="83"/>
      <c r="G6" s="84">
        <f>SUM(G2:G5)</f>
        <v>224000</v>
      </c>
    </row>
    <row r="7" spans="1:7" ht="13.5" thickTop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082D-6B7D-49A7-8AB6-2F210814E5D1}">
  <dimension ref="A1:D11"/>
  <sheetViews>
    <sheetView zoomScale="91" workbookViewId="0">
      <selection activeCell="D6" sqref="D6"/>
    </sheetView>
  </sheetViews>
  <sheetFormatPr defaultColWidth="8.85546875" defaultRowHeight="15" x14ac:dyDescent="0.25"/>
  <cols>
    <col min="1" max="1" width="15.42578125" bestFit="1" customWidth="1"/>
    <col min="2" max="4" width="13.85546875" customWidth="1"/>
  </cols>
  <sheetData>
    <row r="1" spans="1:4" x14ac:dyDescent="0.25">
      <c r="A1" s="57" t="s">
        <v>59</v>
      </c>
      <c r="B1" s="57" t="s">
        <v>60</v>
      </c>
      <c r="C1" s="57" t="s">
        <v>61</v>
      </c>
      <c r="D1" s="57" t="s">
        <v>62</v>
      </c>
    </row>
    <row r="2" spans="1:4" ht="30" x14ac:dyDescent="0.25">
      <c r="A2" s="58" t="s">
        <v>63</v>
      </c>
      <c r="B2" s="59">
        <v>1760</v>
      </c>
      <c r="C2" s="59">
        <v>1600</v>
      </c>
      <c r="D2" s="59">
        <v>1600</v>
      </c>
    </row>
    <row r="3" spans="1:4" x14ac:dyDescent="0.25">
      <c r="A3" s="58" t="s">
        <v>64</v>
      </c>
      <c r="B3" s="59">
        <v>1760</v>
      </c>
      <c r="C3" s="59">
        <v>1600</v>
      </c>
      <c r="D3" s="59">
        <v>1600</v>
      </c>
    </row>
    <row r="4" spans="1:4" ht="30" x14ac:dyDescent="0.25">
      <c r="A4" s="58" t="s">
        <v>65</v>
      </c>
      <c r="B4" s="59">
        <v>2800</v>
      </c>
      <c r="C4" s="59">
        <v>2400</v>
      </c>
      <c r="D4" s="59">
        <v>2400</v>
      </c>
    </row>
    <row r="5" spans="1:4" ht="30" x14ac:dyDescent="0.25">
      <c r="A5" s="58" t="s">
        <v>66</v>
      </c>
      <c r="B5" s="59">
        <v>2000</v>
      </c>
      <c r="C5" s="59">
        <v>2000</v>
      </c>
      <c r="D5" s="59">
        <v>2200</v>
      </c>
    </row>
    <row r="6" spans="1:4" ht="45" x14ac:dyDescent="0.25">
      <c r="A6" s="58" t="s">
        <v>67</v>
      </c>
      <c r="B6" s="59">
        <v>2400</v>
      </c>
      <c r="C6" s="59">
        <v>2200</v>
      </c>
      <c r="D6" s="59">
        <v>2200</v>
      </c>
    </row>
    <row r="9" spans="1:4" x14ac:dyDescent="0.25">
      <c r="A9" s="60" t="s">
        <v>68</v>
      </c>
    </row>
    <row r="10" spans="1:4" x14ac:dyDescent="0.25">
      <c r="A10" s="61" t="s">
        <v>69</v>
      </c>
    </row>
    <row r="11" spans="1:4" x14ac:dyDescent="0.25">
      <c r="A11" s="61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72F7-221D-4EB9-9344-29EFC3DD2566}">
  <dimension ref="A1:J20"/>
  <sheetViews>
    <sheetView zoomScale="128" zoomScaleNormal="150" workbookViewId="0">
      <selection activeCell="M11" sqref="M11"/>
    </sheetView>
  </sheetViews>
  <sheetFormatPr defaultColWidth="8.85546875" defaultRowHeight="15" x14ac:dyDescent="0.25"/>
  <cols>
    <col min="1" max="1" width="14.42578125" customWidth="1"/>
    <col min="2" max="2" width="12.28515625" customWidth="1"/>
    <col min="3" max="4" width="2.42578125" customWidth="1"/>
    <col min="5" max="5" width="2.7109375" customWidth="1"/>
    <col min="6" max="6" width="3.5703125" customWidth="1"/>
    <col min="7" max="7" width="5" customWidth="1"/>
    <col min="8" max="8" width="23.7109375" customWidth="1"/>
    <col min="9" max="9" width="14.85546875" customWidth="1"/>
    <col min="10" max="10" width="16.140625" customWidth="1"/>
  </cols>
  <sheetData>
    <row r="1" spans="1:10" x14ac:dyDescent="0.25">
      <c r="A1" t="s">
        <v>2</v>
      </c>
      <c r="B1" t="s">
        <v>7</v>
      </c>
      <c r="C1" s="1"/>
      <c r="D1" s="1"/>
      <c r="E1" s="1"/>
      <c r="F1" s="46" t="s">
        <v>0</v>
      </c>
      <c r="G1" s="47"/>
      <c r="H1" s="47"/>
      <c r="I1" s="5" t="s">
        <v>1</v>
      </c>
      <c r="J1" s="15" t="s">
        <v>12</v>
      </c>
    </row>
    <row r="2" spans="1:10" x14ac:dyDescent="0.25">
      <c r="A2" t="s">
        <v>3</v>
      </c>
      <c r="B2" t="s">
        <v>8</v>
      </c>
      <c r="C2" s="1"/>
      <c r="D2" s="1"/>
      <c r="E2" s="1"/>
      <c r="F2" s="11" t="s">
        <v>11</v>
      </c>
      <c r="G2" s="10"/>
      <c r="H2" s="10"/>
      <c r="I2" s="12">
        <v>5</v>
      </c>
      <c r="J2" s="13">
        <f>I2</f>
        <v>5</v>
      </c>
    </row>
    <row r="3" spans="1:10" x14ac:dyDescent="0.25">
      <c r="A3" t="s">
        <v>4</v>
      </c>
      <c r="B3" t="s">
        <v>9</v>
      </c>
      <c r="C3" s="1"/>
      <c r="D3" s="1"/>
      <c r="E3" s="1"/>
      <c r="F3" s="48" t="s">
        <v>51</v>
      </c>
      <c r="G3" s="49"/>
      <c r="H3" s="49"/>
      <c r="I3" s="2"/>
      <c r="J3" s="6"/>
    </row>
    <row r="4" spans="1:10" x14ac:dyDescent="0.25">
      <c r="A4" t="s">
        <v>5</v>
      </c>
      <c r="B4" t="s">
        <v>9</v>
      </c>
      <c r="C4" s="1"/>
      <c r="D4" s="1"/>
      <c r="E4" s="1"/>
      <c r="F4" s="7"/>
      <c r="G4" s="21">
        <f>Weighting!C6</f>
        <v>2</v>
      </c>
      <c r="H4" s="4" t="s">
        <v>50</v>
      </c>
      <c r="I4" s="3">
        <v>2</v>
      </c>
      <c r="J4" s="14">
        <f t="shared" ref="J4:J8" si="0">G4*I4</f>
        <v>4</v>
      </c>
    </row>
    <row r="5" spans="1:10" x14ac:dyDescent="0.25">
      <c r="A5" t="s">
        <v>6</v>
      </c>
      <c r="B5" t="s">
        <v>8</v>
      </c>
      <c r="C5" s="1"/>
      <c r="D5" s="1"/>
      <c r="E5" s="1"/>
      <c r="F5" s="8"/>
      <c r="G5" s="23">
        <f>Weighting!I2</f>
        <v>4</v>
      </c>
      <c r="H5" s="2" t="s">
        <v>10</v>
      </c>
      <c r="I5" s="9">
        <v>0.5</v>
      </c>
      <c r="J5" s="16">
        <f t="shared" si="0"/>
        <v>2</v>
      </c>
    </row>
    <row r="6" spans="1:10" x14ac:dyDescent="0.25">
      <c r="B6" s="20"/>
      <c r="C6" s="1"/>
      <c r="D6" s="1"/>
      <c r="E6" s="1"/>
      <c r="F6" s="7"/>
      <c r="G6" s="3">
        <v>1</v>
      </c>
      <c r="H6" s="4" t="s">
        <v>57</v>
      </c>
      <c r="I6" s="42">
        <v>15</v>
      </c>
      <c r="J6" s="14">
        <f t="shared" si="0"/>
        <v>15</v>
      </c>
    </row>
    <row r="7" spans="1:10" x14ac:dyDescent="0.25">
      <c r="A7" s="1"/>
      <c r="B7" s="1"/>
      <c r="C7" s="1"/>
      <c r="D7" s="1"/>
      <c r="E7" s="1"/>
      <c r="F7" s="8"/>
      <c r="G7" s="9">
        <v>3</v>
      </c>
      <c r="H7" s="2" t="s">
        <v>27</v>
      </c>
      <c r="I7" s="9">
        <v>1</v>
      </c>
      <c r="J7" s="16">
        <f t="shared" si="0"/>
        <v>3</v>
      </c>
    </row>
    <row r="8" spans="1:10" x14ac:dyDescent="0.25">
      <c r="A8" t="s">
        <v>17</v>
      </c>
      <c r="B8" t="s">
        <v>7</v>
      </c>
      <c r="C8" s="1"/>
      <c r="D8" s="1"/>
      <c r="E8" s="1"/>
      <c r="F8" s="7"/>
      <c r="G8" s="3">
        <v>2</v>
      </c>
      <c r="H8" s="4" t="s">
        <v>13</v>
      </c>
      <c r="I8" s="3">
        <v>0.5</v>
      </c>
      <c r="J8" s="14">
        <f t="shared" si="0"/>
        <v>1</v>
      </c>
    </row>
    <row r="9" spans="1:10" x14ac:dyDescent="0.25">
      <c r="A9" t="s">
        <v>16</v>
      </c>
      <c r="B9" t="s">
        <v>8</v>
      </c>
      <c r="C9" s="1"/>
      <c r="D9" s="1"/>
      <c r="E9" s="1"/>
      <c r="F9" s="8"/>
      <c r="G9" s="9">
        <v>2</v>
      </c>
      <c r="H9" s="2" t="s">
        <v>17</v>
      </c>
      <c r="I9" s="9"/>
      <c r="J9" s="24">
        <f>Weighting!D14</f>
        <v>2</v>
      </c>
    </row>
    <row r="10" spans="1:10" x14ac:dyDescent="0.25">
      <c r="A10" t="s">
        <v>19</v>
      </c>
      <c r="B10" t="s">
        <v>8</v>
      </c>
      <c r="C10" s="1"/>
      <c r="D10" s="1"/>
      <c r="E10" s="1"/>
      <c r="F10" s="50" t="s">
        <v>14</v>
      </c>
      <c r="G10" s="51"/>
      <c r="H10" s="51"/>
      <c r="I10" s="3"/>
      <c r="J10" s="14"/>
    </row>
    <row r="11" spans="1:10" x14ac:dyDescent="0.25">
      <c r="A11" t="s">
        <v>22</v>
      </c>
      <c r="B11" t="s">
        <v>9</v>
      </c>
      <c r="C11" s="1"/>
      <c r="D11" s="1"/>
      <c r="E11" s="1"/>
      <c r="F11" s="8"/>
      <c r="G11" s="23">
        <f>Weighting!C22</f>
        <v>3</v>
      </c>
      <c r="H11" s="2" t="s">
        <v>18</v>
      </c>
      <c r="I11" s="9"/>
      <c r="J11" s="24">
        <f>Weighting!E22</f>
        <v>30</v>
      </c>
    </row>
    <row r="12" spans="1:10" x14ac:dyDescent="0.25">
      <c r="A12" t="s">
        <v>45</v>
      </c>
      <c r="B12" t="s">
        <v>9</v>
      </c>
      <c r="C12" s="1"/>
      <c r="D12" s="1"/>
      <c r="E12" s="1"/>
      <c r="F12" s="7"/>
      <c r="G12" s="32">
        <v>5</v>
      </c>
      <c r="H12" s="4" t="s">
        <v>15</v>
      </c>
      <c r="I12" s="3"/>
      <c r="J12" s="33">
        <v>15</v>
      </c>
    </row>
    <row r="13" spans="1:10" x14ac:dyDescent="0.25">
      <c r="A13" t="s">
        <v>36</v>
      </c>
      <c r="B13" t="s">
        <v>9</v>
      </c>
      <c r="C13" s="1"/>
      <c r="D13" s="1"/>
      <c r="E13" s="1"/>
      <c r="F13" s="48" t="s">
        <v>54</v>
      </c>
      <c r="G13" s="49"/>
      <c r="H13" s="49"/>
      <c r="I13" s="9">
        <v>15</v>
      </c>
      <c r="J13" s="41">
        <f>I13</f>
        <v>15</v>
      </c>
    </row>
    <row r="14" spans="1:10" x14ac:dyDescent="0.25">
      <c r="A14" t="s">
        <v>55</v>
      </c>
      <c r="B14" t="s">
        <v>8</v>
      </c>
      <c r="C14" s="1"/>
      <c r="D14" s="1"/>
      <c r="E14" s="1"/>
      <c r="F14" s="38"/>
      <c r="G14" s="39"/>
      <c r="H14" s="39"/>
      <c r="I14" s="39"/>
      <c r="J14" s="40"/>
    </row>
    <row r="15" spans="1:10" x14ac:dyDescent="0.25">
      <c r="A15" s="1"/>
      <c r="B15" s="31"/>
      <c r="C15" s="1"/>
      <c r="D15" s="1"/>
      <c r="E15" s="1"/>
      <c r="F15" s="52" t="s">
        <v>20</v>
      </c>
      <c r="G15" s="53"/>
      <c r="H15" s="53"/>
      <c r="I15" s="53"/>
      <c r="J15" s="19">
        <f>SUM(J2:J14)</f>
        <v>92</v>
      </c>
    </row>
    <row r="16" spans="1:10" x14ac:dyDescent="0.25">
      <c r="A16" s="45" t="s">
        <v>52</v>
      </c>
      <c r="B16" s="45"/>
      <c r="C16" s="1"/>
      <c r="D16" s="1"/>
      <c r="E16" s="1"/>
      <c r="F16" s="54" t="s">
        <v>31</v>
      </c>
      <c r="G16" s="55"/>
      <c r="H16" s="55"/>
      <c r="I16" s="27">
        <f>Weighting!I14</f>
        <v>0.1</v>
      </c>
      <c r="J16" s="28">
        <f>ROUND(J15*Weighting!I14, 0)</f>
        <v>9</v>
      </c>
    </row>
    <row r="17" spans="1:10" x14ac:dyDescent="0.25">
      <c r="A17" s="45"/>
      <c r="B17" s="45"/>
      <c r="C17" s="1"/>
      <c r="D17" s="1"/>
      <c r="E17" s="1"/>
      <c r="F17" s="29" t="s">
        <v>29</v>
      </c>
      <c r="G17" s="30"/>
      <c r="H17" s="30"/>
      <c r="I17" s="27">
        <v>0.1</v>
      </c>
      <c r="J17" s="28">
        <f>ROUND(I17*J15,0)</f>
        <v>9</v>
      </c>
    </row>
    <row r="18" spans="1:10" ht="23.25" x14ac:dyDescent="0.35">
      <c r="A18" s="56" t="s">
        <v>58</v>
      </c>
      <c r="B18" s="56"/>
      <c r="C18" s="1"/>
      <c r="D18" s="1"/>
      <c r="E18" s="1"/>
      <c r="F18" s="43" t="s">
        <v>30</v>
      </c>
      <c r="G18" s="44"/>
      <c r="H18" s="44"/>
      <c r="I18" s="22"/>
      <c r="J18" s="17">
        <f>J15+J16+J17</f>
        <v>110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9">
    <mergeCell ref="F18:H18"/>
    <mergeCell ref="A16:B17"/>
    <mergeCell ref="F1:H1"/>
    <mergeCell ref="F3:H3"/>
    <mergeCell ref="F10:H10"/>
    <mergeCell ref="F15:I15"/>
    <mergeCell ref="F16:H16"/>
    <mergeCell ref="F13:H13"/>
    <mergeCell ref="A18:B18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593884-21BB-44CB-A498-CE4FD4192759}">
          <x14:formula1>
            <xm:f>Lookup!$A$2:$A$3</xm:f>
          </x14:formula1>
          <xm:sqref>B2:B5 B9:B14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0FDC-638E-44B4-9D8A-4D23A2F246CE}">
  <dimension ref="A1:I30"/>
  <sheetViews>
    <sheetView zoomScale="150" zoomScaleNormal="150" workbookViewId="0">
      <selection activeCell="B19" sqref="B19"/>
    </sheetView>
  </sheetViews>
  <sheetFormatPr defaultRowHeight="15" x14ac:dyDescent="0.25"/>
  <cols>
    <col min="1" max="1" width="15.85546875" customWidth="1"/>
    <col min="2" max="2" width="13.140625" customWidth="1"/>
    <col min="3" max="3" width="7.7109375" customWidth="1"/>
    <col min="4" max="4" width="9.85546875" customWidth="1"/>
    <col min="5" max="5" width="8.28515625" customWidth="1"/>
    <col min="6" max="6" width="33.7109375" customWidth="1"/>
    <col min="7" max="7" width="8" customWidth="1"/>
    <col min="8" max="8" width="8.28515625" customWidth="1"/>
    <col min="9" max="9" width="10.7109375" customWidth="1"/>
  </cols>
  <sheetData>
    <row r="1" spans="1:9" x14ac:dyDescent="0.25">
      <c r="A1" t="s">
        <v>2</v>
      </c>
      <c r="B1" t="s">
        <v>7</v>
      </c>
      <c r="C1" t="s">
        <v>21</v>
      </c>
      <c r="F1" t="s">
        <v>23</v>
      </c>
      <c r="G1" t="s">
        <v>26</v>
      </c>
      <c r="I1" t="s">
        <v>10</v>
      </c>
    </row>
    <row r="2" spans="1:9" x14ac:dyDescent="0.25">
      <c r="A2" t="s">
        <v>3</v>
      </c>
      <c r="B2" t="s">
        <v>8</v>
      </c>
      <c r="C2">
        <f t="shared" ref="C2:C5" si="0">IF(B2="Yes",1,0)</f>
        <v>1</v>
      </c>
      <c r="F2" t="s">
        <v>24</v>
      </c>
      <c r="G2">
        <v>1</v>
      </c>
      <c r="I2">
        <f>G2+IF(G3&gt;15000,ROUND(G3/15000,0),1)+C6-1</f>
        <v>4</v>
      </c>
    </row>
    <row r="3" spans="1:9" x14ac:dyDescent="0.25">
      <c r="A3" t="s">
        <v>4</v>
      </c>
      <c r="B3" t="s">
        <v>9</v>
      </c>
      <c r="C3">
        <f t="shared" si="0"/>
        <v>0</v>
      </c>
      <c r="F3" t="s">
        <v>25</v>
      </c>
      <c r="G3">
        <v>24000</v>
      </c>
    </row>
    <row r="4" spans="1:9" x14ac:dyDescent="0.25">
      <c r="A4" t="s">
        <v>5</v>
      </c>
      <c r="B4" t="s">
        <v>9</v>
      </c>
      <c r="C4">
        <f t="shared" si="0"/>
        <v>0</v>
      </c>
    </row>
    <row r="5" spans="1:9" x14ac:dyDescent="0.25">
      <c r="A5" t="s">
        <v>6</v>
      </c>
      <c r="B5" t="s">
        <v>8</v>
      </c>
      <c r="C5">
        <f t="shared" si="0"/>
        <v>1</v>
      </c>
    </row>
    <row r="6" spans="1:9" x14ac:dyDescent="0.25">
      <c r="B6" s="18">
        <f>C6</f>
        <v>2</v>
      </c>
      <c r="C6">
        <f>SUM(C2:C5)</f>
        <v>2</v>
      </c>
    </row>
    <row r="7" spans="1:9" x14ac:dyDescent="0.25">
      <c r="A7" s="1"/>
      <c r="B7" s="1"/>
    </row>
    <row r="8" spans="1:9" x14ac:dyDescent="0.25">
      <c r="A8" t="s">
        <v>17</v>
      </c>
      <c r="B8" t="s">
        <v>7</v>
      </c>
      <c r="C8" t="s">
        <v>21</v>
      </c>
      <c r="D8" t="s">
        <v>28</v>
      </c>
      <c r="F8" t="s">
        <v>46</v>
      </c>
      <c r="G8" t="s">
        <v>53</v>
      </c>
      <c r="H8" t="s">
        <v>26</v>
      </c>
      <c r="I8" t="s">
        <v>21</v>
      </c>
    </row>
    <row r="9" spans="1:9" x14ac:dyDescent="0.25">
      <c r="A9" t="s">
        <v>16</v>
      </c>
      <c r="B9" t="s">
        <v>8</v>
      </c>
      <c r="C9">
        <f t="shared" ref="C9:C13" si="1">IF(B9="Yes",1,0)</f>
        <v>1</v>
      </c>
      <c r="D9">
        <f t="shared" ref="D9:D13" si="2">C9*0.5</f>
        <v>0.5</v>
      </c>
      <c r="F9" t="s">
        <v>47</v>
      </c>
      <c r="G9" t="s">
        <v>9</v>
      </c>
      <c r="H9">
        <v>0.2</v>
      </c>
      <c r="I9">
        <f t="shared" ref="I9:I13" si="3">IF(G9="Yes",H9,0)</f>
        <v>0</v>
      </c>
    </row>
    <row r="10" spans="1:9" x14ac:dyDescent="0.25">
      <c r="A10" t="s">
        <v>19</v>
      </c>
      <c r="B10" t="s">
        <v>8</v>
      </c>
      <c r="C10">
        <f t="shared" si="1"/>
        <v>1</v>
      </c>
      <c r="D10">
        <f t="shared" si="2"/>
        <v>0.5</v>
      </c>
      <c r="F10" t="s">
        <v>48</v>
      </c>
      <c r="G10" t="s">
        <v>8</v>
      </c>
      <c r="H10">
        <v>0.1</v>
      </c>
      <c r="I10">
        <f t="shared" si="3"/>
        <v>0.1</v>
      </c>
    </row>
    <row r="11" spans="1:9" x14ac:dyDescent="0.25">
      <c r="A11" t="s">
        <v>22</v>
      </c>
      <c r="B11" t="s">
        <v>9</v>
      </c>
      <c r="C11">
        <f t="shared" si="1"/>
        <v>0</v>
      </c>
      <c r="D11">
        <f t="shared" si="2"/>
        <v>0</v>
      </c>
      <c r="F11" t="s">
        <v>49</v>
      </c>
      <c r="G11" t="s">
        <v>9</v>
      </c>
      <c r="H11">
        <v>0.2</v>
      </c>
      <c r="I11">
        <f t="shared" si="3"/>
        <v>0</v>
      </c>
    </row>
    <row r="12" spans="1:9" x14ac:dyDescent="0.25">
      <c r="A12" t="s">
        <v>56</v>
      </c>
      <c r="B12" t="s">
        <v>8</v>
      </c>
      <c r="C12">
        <f t="shared" si="1"/>
        <v>1</v>
      </c>
      <c r="D12">
        <f t="shared" si="2"/>
        <v>0.5</v>
      </c>
      <c r="I12">
        <f t="shared" si="3"/>
        <v>0</v>
      </c>
    </row>
    <row r="13" spans="1:9" ht="15.75" thickBot="1" x14ac:dyDescent="0.3">
      <c r="C13">
        <f t="shared" si="1"/>
        <v>0</v>
      </c>
      <c r="D13">
        <f t="shared" si="2"/>
        <v>0</v>
      </c>
      <c r="I13">
        <f t="shared" si="3"/>
        <v>0</v>
      </c>
    </row>
    <row r="14" spans="1:9" ht="15.75" thickTop="1" x14ac:dyDescent="0.25">
      <c r="A14" s="25"/>
      <c r="B14" s="25"/>
      <c r="C14" s="26">
        <f>SUM(C9:C13)</f>
        <v>3</v>
      </c>
      <c r="D14" s="26">
        <f>ROUND(SUM(Table135[Days]),0)</f>
        <v>2</v>
      </c>
      <c r="F14" s="34"/>
      <c r="G14" s="35"/>
      <c r="H14" s="35"/>
      <c r="I14" s="36">
        <f>SUM(Table10[Points])</f>
        <v>0.1</v>
      </c>
    </row>
    <row r="16" spans="1:9" x14ac:dyDescent="0.25">
      <c r="A16" t="s">
        <v>39</v>
      </c>
      <c r="B16" t="s">
        <v>32</v>
      </c>
      <c r="C16" t="s">
        <v>21</v>
      </c>
      <c r="D16" t="s">
        <v>37</v>
      </c>
      <c r="E16" t="s">
        <v>28</v>
      </c>
    </row>
    <row r="17" spans="1:5" x14ac:dyDescent="0.25">
      <c r="A17" t="s">
        <v>33</v>
      </c>
      <c r="B17" t="s">
        <v>8</v>
      </c>
      <c r="C17">
        <f t="shared" ref="C17:C21" si="4">IF(B17="Yes",1,0)</f>
        <v>1</v>
      </c>
      <c r="D17">
        <v>10</v>
      </c>
      <c r="E17">
        <f>IF(B17="Yes",D17,0)</f>
        <v>10</v>
      </c>
    </row>
    <row r="18" spans="1:5" x14ac:dyDescent="0.25">
      <c r="A18" t="s">
        <v>34</v>
      </c>
      <c r="B18" t="s">
        <v>8</v>
      </c>
      <c r="C18">
        <f t="shared" si="4"/>
        <v>1</v>
      </c>
      <c r="D18">
        <v>10</v>
      </c>
      <c r="E18">
        <f>IF(B18="Yes",D18,0)</f>
        <v>10</v>
      </c>
    </row>
    <row r="19" spans="1:5" x14ac:dyDescent="0.25">
      <c r="A19" t="s">
        <v>35</v>
      </c>
      <c r="B19" t="s">
        <v>8</v>
      </c>
      <c r="C19">
        <f t="shared" si="4"/>
        <v>1</v>
      </c>
      <c r="D19">
        <v>10</v>
      </c>
      <c r="E19">
        <f>IF(B19="Yes",D19,0)</f>
        <v>10</v>
      </c>
    </row>
    <row r="20" spans="1:5" x14ac:dyDescent="0.25">
      <c r="A20" t="s">
        <v>36</v>
      </c>
      <c r="B20" t="s">
        <v>9</v>
      </c>
      <c r="C20">
        <f t="shared" si="4"/>
        <v>0</v>
      </c>
      <c r="D20">
        <v>30</v>
      </c>
      <c r="E20">
        <f>IF(B20="Yes",D20,0)</f>
        <v>0</v>
      </c>
    </row>
    <row r="21" spans="1:5" x14ac:dyDescent="0.25">
      <c r="C21">
        <f t="shared" si="4"/>
        <v>0</v>
      </c>
      <c r="D21">
        <f t="shared" ref="D21" si="5">C21*5</f>
        <v>0</v>
      </c>
      <c r="E21">
        <f t="shared" ref="E21" si="6">D21*5</f>
        <v>0</v>
      </c>
    </row>
    <row r="22" spans="1:5" x14ac:dyDescent="0.25">
      <c r="A22" s="25"/>
      <c r="B22" s="25"/>
      <c r="C22" s="37">
        <f>SUM(C17:C21)</f>
        <v>3</v>
      </c>
      <c r="D22" s="26"/>
      <c r="E22" s="37">
        <f>SUM(Table6[Days])</f>
        <v>30</v>
      </c>
    </row>
    <row r="24" spans="1:5" x14ac:dyDescent="0.25">
      <c r="A24" t="s">
        <v>38</v>
      </c>
      <c r="B24" t="s">
        <v>32</v>
      </c>
      <c r="C24" t="s">
        <v>21</v>
      </c>
      <c r="D24" t="s">
        <v>37</v>
      </c>
      <c r="E24" t="s">
        <v>28</v>
      </c>
    </row>
    <row r="25" spans="1:5" x14ac:dyDescent="0.25">
      <c r="A25" t="s">
        <v>40</v>
      </c>
      <c r="B25" t="s">
        <v>8</v>
      </c>
      <c r="C25">
        <f t="shared" ref="C25:C29" si="7">IF(B25="Yes",1,0)</f>
        <v>1</v>
      </c>
      <c r="D25">
        <v>3</v>
      </c>
      <c r="E25">
        <f>IF(B25="Yes",D25,0)</f>
        <v>3</v>
      </c>
    </row>
    <row r="26" spans="1:5" x14ac:dyDescent="0.25">
      <c r="A26" t="s">
        <v>41</v>
      </c>
      <c r="B26" t="s">
        <v>8</v>
      </c>
      <c r="C26">
        <f t="shared" si="7"/>
        <v>1</v>
      </c>
      <c r="D26">
        <v>3</v>
      </c>
      <c r="E26">
        <f>IF(B26="Yes",D26,0)</f>
        <v>3</v>
      </c>
    </row>
    <row r="27" spans="1:5" x14ac:dyDescent="0.25">
      <c r="A27" t="s">
        <v>42</v>
      </c>
      <c r="B27" t="s">
        <v>8</v>
      </c>
      <c r="C27">
        <f t="shared" si="7"/>
        <v>1</v>
      </c>
      <c r="D27">
        <v>3</v>
      </c>
      <c r="E27">
        <f>IF(B27="Yes",D27,0)</f>
        <v>3</v>
      </c>
    </row>
    <row r="28" spans="1:5" x14ac:dyDescent="0.25">
      <c r="A28" t="s">
        <v>43</v>
      </c>
      <c r="B28" t="s">
        <v>8</v>
      </c>
      <c r="C28">
        <f t="shared" si="7"/>
        <v>1</v>
      </c>
      <c r="D28">
        <v>3</v>
      </c>
      <c r="E28">
        <f>IF(B28="Yes",D28,0)</f>
        <v>3</v>
      </c>
    </row>
    <row r="29" spans="1:5" x14ac:dyDescent="0.25">
      <c r="A29" t="s">
        <v>44</v>
      </c>
      <c r="B29" t="s">
        <v>9</v>
      </c>
      <c r="C29">
        <f t="shared" si="7"/>
        <v>0</v>
      </c>
      <c r="D29">
        <v>3</v>
      </c>
      <c r="E29">
        <f>IF(B29="Yes",D29,0)</f>
        <v>0</v>
      </c>
    </row>
    <row r="30" spans="1:5" x14ac:dyDescent="0.25">
      <c r="A30" s="25"/>
      <c r="B30" s="25"/>
      <c r="C30" s="37">
        <f>SUM(C25:C29)</f>
        <v>4</v>
      </c>
      <c r="D30" s="26"/>
      <c r="E30" s="37">
        <f>SUM(Table610[Days])</f>
        <v>12</v>
      </c>
    </row>
  </sheetData>
  <pageMargins left="0.7" right="0.7" top="0.75" bottom="0.75" header="0.3" footer="0.3"/>
  <pageSetup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E051F8-3770-49E8-B6B6-8EE89FE613E3}">
          <x14:formula1>
            <xm:f>Lookup!$A$2:$A$3</xm:f>
          </x14:formula1>
          <xm:sqref>B2:B5 B9:B12 B17:B20 B25:B29 G9:G11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EE6D-DB44-448D-8079-33A9D011EE7B}">
  <dimension ref="A1:A3"/>
  <sheetViews>
    <sheetView workbookViewId="0">
      <selection activeCell="J22" sqref="J22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</vt:lpstr>
      <vt:lpstr>Resourcing</vt:lpstr>
      <vt:lpstr>FlexeraOne</vt:lpstr>
      <vt:lpstr>Weighting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trevorh</dc:creator>
  <cp:lastModifiedBy>trevorh</cp:lastModifiedBy>
  <dcterms:created xsi:type="dcterms:W3CDTF">2021-07-08T04:49:25Z</dcterms:created>
  <dcterms:modified xsi:type="dcterms:W3CDTF">2021-09-22T04:24:19Z</dcterms:modified>
</cp:coreProperties>
</file>