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9.xml" ContentType="application/vnd.openxmlformats-officedocument.drawing+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MY COMPUTER\Yogi\Sem 6\CE6030\Project\"/>
    </mc:Choice>
  </mc:AlternateContent>
  <xr:revisionPtr revIDLastSave="0" documentId="13_ncr:1_{B44D921C-6C12-4330-9EE0-C5609641322C}" xr6:coauthVersionLast="47" xr6:coauthVersionMax="47" xr10:uidLastSave="{00000000-0000-0000-0000-000000000000}"/>
  <bookViews>
    <workbookView xWindow="-108" yWindow="-108" windowWidth="23256" windowHeight="12456" xr2:uid="{00000000-000D-0000-FFFF-FFFF00000000}"/>
  </bookViews>
  <sheets>
    <sheet name="Flexible Pavement Design" sheetId="1" r:id="rId1"/>
    <sheet name="Rigid Pavement Design" sheetId="2" r:id="rId2"/>
    <sheet name="Cost Estimation" sheetId="3" r:id="rId3"/>
    <sheet name="Revenue Estimation" sheetId="8" r:id="rId4"/>
    <sheet name="Cash Flow" sheetId="4" r:id="rId5"/>
    <sheet name="Financial Analysis" sheetId="5" r:id="rId6"/>
    <sheet name="Economic Analysis" sheetId="6" r:id="rId7"/>
    <sheet name="Sensitivity Analysis" sheetId="9" r:id="rId8"/>
    <sheet name="Breakeven Analysis" sheetId="7" r:id="rId9"/>
  </sheets>
  <definedNames>
    <definedName name="amount">'Cash Flow'!$D1048565</definedName>
    <definedName name="category">'Cash Flow'!$C1048565</definedName>
    <definedName name="cbr" localSheetId="7">#REF!</definedName>
    <definedName name="cbr">'Flexible Pavement Design'!$D$48</definedName>
    <definedName name="description">'Cash Flow'!$B1048565</definedName>
    <definedName name="end_year">'Cash Flow'!$G1048565</definedName>
    <definedName name="Initial_cost">'Cash Flow'!$F1048565</definedName>
    <definedName name="n">'Cash Flow'!$I$8</definedName>
    <definedName name="recurring_period">'Cash Flow'!$E1048565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5" i="9" l="1"/>
  <c r="F85" i="9" s="1"/>
  <c r="A85" i="9"/>
  <c r="A84" i="9" s="1"/>
  <c r="A36" i="9"/>
  <c r="A37" i="9" s="1"/>
  <c r="D35" i="9"/>
  <c r="B35" i="9"/>
  <c r="E35" i="9" s="1"/>
  <c r="D34" i="9"/>
  <c r="A34" i="9"/>
  <c r="D33" i="9"/>
  <c r="A33" i="9"/>
  <c r="A32" i="9" s="1"/>
  <c r="L30" i="9"/>
  <c r="N30" i="9" s="1"/>
  <c r="N26" i="9"/>
  <c r="M26" i="9"/>
  <c r="O26" i="9" s="1"/>
  <c r="N25" i="9"/>
  <c r="N24" i="9"/>
  <c r="N23" i="9"/>
  <c r="N22" i="9"/>
  <c r="M22" i="9"/>
  <c r="O22" i="9" s="1"/>
  <c r="N18" i="9"/>
  <c r="N17" i="9"/>
  <c r="M17" i="9"/>
  <c r="O17" i="9" s="1"/>
  <c r="N12" i="9"/>
  <c r="F60" i="9"/>
  <c r="A60" i="9"/>
  <c r="M15" i="9"/>
  <c r="C38" i="6"/>
  <c r="C49" i="6" s="1"/>
  <c r="K30" i="6"/>
  <c r="L30" i="6" s="1"/>
  <c r="E28" i="6"/>
  <c r="F28" i="6" s="1"/>
  <c r="C28" i="6"/>
  <c r="E27" i="6"/>
  <c r="F27" i="6" s="1"/>
  <c r="C31" i="6" s="1"/>
  <c r="C56" i="6" s="1"/>
  <c r="C60" i="6" s="1"/>
  <c r="C27" i="6"/>
  <c r="J29" i="6"/>
  <c r="K29" i="6" s="1"/>
  <c r="L29" i="6" s="1"/>
  <c r="F18" i="6"/>
  <c r="E11" i="8"/>
  <c r="E10" i="8"/>
  <c r="E9" i="8"/>
  <c r="E8" i="8"/>
  <c r="E7" i="8"/>
  <c r="E6" i="8"/>
  <c r="D13" i="8" s="1"/>
  <c r="D14" i="8" s="1"/>
  <c r="X47" i="3"/>
  <c r="Z47" i="3" s="1"/>
  <c r="P53" i="3" s="1"/>
  <c r="S53" i="3" s="1"/>
  <c r="L47" i="3"/>
  <c r="K47" i="3"/>
  <c r="Z46" i="3"/>
  <c r="P51" i="3" s="1"/>
  <c r="S51" i="3" s="1"/>
  <c r="X46" i="3"/>
  <c r="L46" i="3"/>
  <c r="K46" i="3"/>
  <c r="M46" i="3" s="1"/>
  <c r="C51" i="3" s="1"/>
  <c r="G51" i="3" s="1"/>
  <c r="K43" i="3"/>
  <c r="M43" i="3" s="1"/>
  <c r="X42" i="3"/>
  <c r="Z42" i="3" s="1"/>
  <c r="X41" i="3"/>
  <c r="Z41" i="3" s="1"/>
  <c r="X40" i="3"/>
  <c r="Z40" i="3" s="1"/>
  <c r="X39" i="3"/>
  <c r="Z39" i="3" s="1"/>
  <c r="X37" i="3"/>
  <c r="Z37" i="3" s="1"/>
  <c r="Z25" i="3"/>
  <c r="M25" i="3"/>
  <c r="P20" i="3"/>
  <c r="P21" i="3" s="1"/>
  <c r="X29" i="3" s="1"/>
  <c r="Z29" i="3" s="1"/>
  <c r="K35" i="3" s="1"/>
  <c r="M35" i="3" s="1"/>
  <c r="C19" i="3" s="1"/>
  <c r="C21" i="3" s="1"/>
  <c r="P10" i="3"/>
  <c r="X26" i="3" s="1"/>
  <c r="Z26" i="3" s="1"/>
  <c r="C10" i="3"/>
  <c r="K41" i="3" s="1"/>
  <c r="M41" i="3" s="1"/>
  <c r="Z41" i="7"/>
  <c r="Z40" i="7"/>
  <c r="Z39" i="7"/>
  <c r="Z38" i="7"/>
  <c r="Z37" i="7"/>
  <c r="Z36" i="7"/>
  <c r="Z35" i="7"/>
  <c r="Z34" i="7"/>
  <c r="Z33" i="7"/>
  <c r="Z32" i="7"/>
  <c r="Z31" i="7"/>
  <c r="Z30" i="7"/>
  <c r="Z29" i="7"/>
  <c r="Z28" i="7"/>
  <c r="Z27" i="7"/>
  <c r="Z26" i="7"/>
  <c r="Z25" i="7"/>
  <c r="Z24" i="7"/>
  <c r="Z23" i="7"/>
  <c r="L23" i="7"/>
  <c r="Z22" i="7"/>
  <c r="Z21" i="7"/>
  <c r="Z20" i="7"/>
  <c r="Z19" i="7"/>
  <c r="Z18" i="7"/>
  <c r="Z17" i="7"/>
  <c r="Z16" i="7"/>
  <c r="Z15" i="7"/>
  <c r="Z14" i="7"/>
  <c r="Z13" i="7"/>
  <c r="Z12" i="7"/>
  <c r="M47" i="3" l="1"/>
  <c r="C53" i="3" s="1"/>
  <c r="G53" i="3" s="1"/>
  <c r="K29" i="3"/>
  <c r="M29" i="3" s="1"/>
  <c r="X35" i="3"/>
  <c r="Z35" i="3" s="1"/>
  <c r="K38" i="3"/>
  <c r="M38" i="3" s="1"/>
  <c r="X30" i="3"/>
  <c r="Z30" i="3" s="1"/>
  <c r="X36" i="3"/>
  <c r="Z36" i="3" s="1"/>
  <c r="K39" i="3"/>
  <c r="M39" i="3" s="1"/>
  <c r="Z38" i="3" s="1"/>
  <c r="F61" i="9"/>
  <c r="F62" i="9" s="1"/>
  <c r="F63" i="9" s="1"/>
  <c r="F64" i="9" s="1"/>
  <c r="F65" i="9" s="1"/>
  <c r="F66" i="9" s="1"/>
  <c r="F67" i="9" s="1"/>
  <c r="F68" i="9" s="1"/>
  <c r="F69" i="9" s="1"/>
  <c r="F70" i="9" s="1"/>
  <c r="F59" i="9"/>
  <c r="F58" i="9" s="1"/>
  <c r="F57" i="9" s="1"/>
  <c r="F56" i="9" s="1"/>
  <c r="F55" i="9" s="1"/>
  <c r="F54" i="9" s="1"/>
  <c r="F53" i="9" s="1"/>
  <c r="F52" i="9" s="1"/>
  <c r="F51" i="9" s="1"/>
  <c r="F50" i="9" s="1"/>
  <c r="D37" i="9"/>
  <c r="A38" i="9"/>
  <c r="A31" i="9"/>
  <c r="B32" i="9"/>
  <c r="D32" i="9"/>
  <c r="A83" i="9"/>
  <c r="A82" i="9" s="1"/>
  <c r="A81" i="9" s="1"/>
  <c r="A80" i="9" s="1"/>
  <c r="A79" i="9" s="1"/>
  <c r="A78" i="9" s="1"/>
  <c r="A77" i="9" s="1"/>
  <c r="A76" i="9" s="1"/>
  <c r="A75" i="9" s="1"/>
  <c r="B75" i="9" s="1"/>
  <c r="E84" i="9"/>
  <c r="O15" i="9"/>
  <c r="A61" i="9"/>
  <c r="A62" i="9" s="1"/>
  <c r="A63" i="9" s="1"/>
  <c r="A64" i="9" s="1"/>
  <c r="A65" i="9" s="1"/>
  <c r="A66" i="9" s="1"/>
  <c r="A67" i="9" s="1"/>
  <c r="A68" i="9" s="1"/>
  <c r="A69" i="9" s="1"/>
  <c r="A70" i="9" s="1"/>
  <c r="A59" i="9"/>
  <c r="A58" i="9" s="1"/>
  <c r="A57" i="9" s="1"/>
  <c r="A56" i="9" s="1"/>
  <c r="A55" i="9" s="1"/>
  <c r="A54" i="9" s="1"/>
  <c r="A53" i="9" s="1"/>
  <c r="A52" i="9" s="1"/>
  <c r="A51" i="9" s="1"/>
  <c r="A50" i="9" s="1"/>
  <c r="B50" i="9" s="1"/>
  <c r="E75" i="9"/>
  <c r="M13" i="9"/>
  <c r="O13" i="9" s="1"/>
  <c r="L31" i="9"/>
  <c r="B36" i="9"/>
  <c r="G51" i="9"/>
  <c r="G53" i="9"/>
  <c r="G55" i="9"/>
  <c r="G57" i="9"/>
  <c r="G59" i="9"/>
  <c r="G61" i="9"/>
  <c r="G63" i="9"/>
  <c r="G65" i="9"/>
  <c r="G67" i="9"/>
  <c r="G69" i="9"/>
  <c r="E82" i="9"/>
  <c r="N13" i="9"/>
  <c r="M18" i="9"/>
  <c r="O18" i="9" s="1"/>
  <c r="M23" i="9"/>
  <c r="O23" i="9" s="1"/>
  <c r="M25" i="9"/>
  <c r="O25" i="9" s="1"/>
  <c r="M14" i="9"/>
  <c r="O14" i="9" s="1"/>
  <c r="M30" i="9"/>
  <c r="O30" i="9" s="1"/>
  <c r="B33" i="9"/>
  <c r="E87" i="9"/>
  <c r="D36" i="9"/>
  <c r="E80" i="9"/>
  <c r="B85" i="9"/>
  <c r="N14" i="9"/>
  <c r="M24" i="9"/>
  <c r="O24" i="9" s="1"/>
  <c r="B38" i="9"/>
  <c r="B60" i="9"/>
  <c r="B62" i="9"/>
  <c r="B64" i="9"/>
  <c r="B66" i="9"/>
  <c r="B68" i="9"/>
  <c r="B70" i="9"/>
  <c r="E78" i="9"/>
  <c r="N15" i="9"/>
  <c r="B31" i="9"/>
  <c r="C35" i="9"/>
  <c r="G85" i="9"/>
  <c r="M20" i="9"/>
  <c r="O20" i="9" s="1"/>
  <c r="M28" i="9"/>
  <c r="O28" i="9" s="1"/>
  <c r="G50" i="9"/>
  <c r="G54" i="9"/>
  <c r="G56" i="9"/>
  <c r="G58" i="9"/>
  <c r="G60" i="9"/>
  <c r="G62" i="9"/>
  <c r="G64" i="9"/>
  <c r="G66" i="9"/>
  <c r="G68" i="9"/>
  <c r="G70" i="9"/>
  <c r="A86" i="9"/>
  <c r="A87" i="9" s="1"/>
  <c r="A88" i="9" s="1"/>
  <c r="A89" i="9" s="1"/>
  <c r="M19" i="9"/>
  <c r="O19" i="9" s="1"/>
  <c r="M16" i="9"/>
  <c r="O16" i="9" s="1"/>
  <c r="N20" i="9"/>
  <c r="N28" i="9"/>
  <c r="N29" i="9"/>
  <c r="N16" i="9"/>
  <c r="F35" i="9"/>
  <c r="G35" i="9" s="1"/>
  <c r="B37" i="9"/>
  <c r="B77" i="9"/>
  <c r="E88" i="9"/>
  <c r="M21" i="9"/>
  <c r="M27" i="9"/>
  <c r="B84" i="9"/>
  <c r="M29" i="9"/>
  <c r="O29" i="9" s="1"/>
  <c r="N19" i="9"/>
  <c r="C17" i="9"/>
  <c r="C19" i="9" s="1"/>
  <c r="N21" i="9"/>
  <c r="N27" i="9"/>
  <c r="E86" i="9"/>
  <c r="E76" i="9"/>
  <c r="M12" i="9"/>
  <c r="O12" i="9" s="1"/>
  <c r="F17" i="9"/>
  <c r="B34" i="9"/>
  <c r="J27" i="6"/>
  <c r="K27" i="6" s="1"/>
  <c r="L27" i="6" s="1"/>
  <c r="K28" i="6"/>
  <c r="L28" i="6" s="1"/>
  <c r="C44" i="6"/>
  <c r="C27" i="7" s="1"/>
  <c r="X11" i="7" s="1"/>
  <c r="L27" i="7" s="1"/>
  <c r="P50" i="3"/>
  <c r="S50" i="3" s="1"/>
  <c r="K26" i="3"/>
  <c r="M26" i="3" s="1"/>
  <c r="K42" i="3"/>
  <c r="M42" i="3" s="1"/>
  <c r="K36" i="3"/>
  <c r="M36" i="3" s="1"/>
  <c r="K40" i="3"/>
  <c r="M40" i="3" s="1"/>
  <c r="K37" i="3"/>
  <c r="M37" i="3" s="1"/>
  <c r="C50" i="9" l="1"/>
  <c r="D50" i="9"/>
  <c r="C75" i="9"/>
  <c r="D75" i="9"/>
  <c r="I35" i="9"/>
  <c r="J35" i="9"/>
  <c r="G75" i="9"/>
  <c r="F75" i="9"/>
  <c r="I67" i="9"/>
  <c r="H67" i="9"/>
  <c r="E37" i="9"/>
  <c r="C37" i="9"/>
  <c r="D64" i="9"/>
  <c r="C64" i="9"/>
  <c r="B76" i="9"/>
  <c r="I63" i="9"/>
  <c r="H63" i="9"/>
  <c r="G84" i="9"/>
  <c r="F84" i="9"/>
  <c r="D77" i="9"/>
  <c r="C77" i="9"/>
  <c r="I59" i="9"/>
  <c r="H59" i="9"/>
  <c r="B82" i="9"/>
  <c r="F86" i="9"/>
  <c r="G86" i="9"/>
  <c r="I57" i="9"/>
  <c r="H57" i="9"/>
  <c r="F78" i="9"/>
  <c r="G78" i="9"/>
  <c r="G76" i="9"/>
  <c r="F76" i="9"/>
  <c r="B89" i="9"/>
  <c r="A90" i="9"/>
  <c r="B69" i="9"/>
  <c r="I53" i="9"/>
  <c r="H53" i="9"/>
  <c r="D31" i="9"/>
  <c r="A30" i="9"/>
  <c r="I69" i="9"/>
  <c r="H69" i="9"/>
  <c r="C66" i="9"/>
  <c r="D66" i="9"/>
  <c r="I61" i="9"/>
  <c r="H61" i="9"/>
  <c r="B67" i="9"/>
  <c r="B88" i="9"/>
  <c r="B65" i="9"/>
  <c r="B63" i="9"/>
  <c r="E83" i="9"/>
  <c r="E89" i="9"/>
  <c r="B59" i="9"/>
  <c r="E79" i="9"/>
  <c r="B86" i="9"/>
  <c r="I62" i="9"/>
  <c r="H62" i="9"/>
  <c r="B52" i="9"/>
  <c r="B78" i="9"/>
  <c r="I51" i="9"/>
  <c r="H51" i="9"/>
  <c r="A39" i="9"/>
  <c r="D38" i="9"/>
  <c r="I65" i="9"/>
  <c r="H65" i="9"/>
  <c r="E33" i="9"/>
  <c r="C33" i="9"/>
  <c r="E31" i="9"/>
  <c r="C31" i="9"/>
  <c r="E36" i="9"/>
  <c r="C36" i="9"/>
  <c r="I50" i="9"/>
  <c r="H50" i="9"/>
  <c r="E32" i="9"/>
  <c r="C32" i="9"/>
  <c r="B61" i="9"/>
  <c r="B57" i="9"/>
  <c r="B55" i="9"/>
  <c r="I58" i="9"/>
  <c r="H58" i="9"/>
  <c r="C38" i="9"/>
  <c r="E38" i="9"/>
  <c r="L32" i="9"/>
  <c r="N31" i="9"/>
  <c r="M31" i="9"/>
  <c r="O31" i="9" s="1"/>
  <c r="G80" i="9"/>
  <c r="F80" i="9"/>
  <c r="C68" i="9"/>
  <c r="D68" i="9"/>
  <c r="B79" i="9"/>
  <c r="I70" i="9"/>
  <c r="H70" i="9"/>
  <c r="I55" i="9"/>
  <c r="H55" i="9"/>
  <c r="B54" i="9"/>
  <c r="C34" i="9"/>
  <c r="E34" i="9"/>
  <c r="I56" i="9"/>
  <c r="H56" i="9"/>
  <c r="G82" i="9"/>
  <c r="F82" i="9"/>
  <c r="G87" i="9"/>
  <c r="F87" i="9"/>
  <c r="H35" i="9"/>
  <c r="F36" i="9"/>
  <c r="F34" i="9"/>
  <c r="C62" i="9"/>
  <c r="D62" i="9"/>
  <c r="D60" i="9"/>
  <c r="C60" i="9"/>
  <c r="B58" i="9"/>
  <c r="B81" i="9"/>
  <c r="B56" i="9"/>
  <c r="I64" i="9"/>
  <c r="H64" i="9"/>
  <c r="E77" i="9"/>
  <c r="E81" i="9"/>
  <c r="B53" i="9"/>
  <c r="O21" i="9"/>
  <c r="I54" i="9"/>
  <c r="H54" i="9"/>
  <c r="G88" i="9"/>
  <c r="F88" i="9"/>
  <c r="D70" i="9"/>
  <c r="C70" i="9"/>
  <c r="I68" i="9"/>
  <c r="H68" i="9"/>
  <c r="I66" i="9"/>
  <c r="H66" i="9"/>
  <c r="D84" i="9"/>
  <c r="C84" i="9"/>
  <c r="I60" i="9"/>
  <c r="H60" i="9"/>
  <c r="O27" i="9"/>
  <c r="B51" i="9"/>
  <c r="G52" i="9"/>
  <c r="B83" i="9"/>
  <c r="D85" i="9"/>
  <c r="C85" i="9"/>
  <c r="B87" i="9"/>
  <c r="B80" i="9"/>
  <c r="E61" i="6"/>
  <c r="C61" i="6"/>
  <c r="C50" i="6"/>
  <c r="C51" i="6" s="1"/>
  <c r="I31" i="6"/>
  <c r="E56" i="6" s="1"/>
  <c r="E60" i="6" s="1"/>
  <c r="Y11" i="7"/>
  <c r="Z11" i="7" s="1"/>
  <c r="L29" i="7"/>
  <c r="C50" i="3"/>
  <c r="G50" i="3" s="1"/>
  <c r="C67" i="9" l="1"/>
  <c r="D67" i="9"/>
  <c r="D81" i="9"/>
  <c r="C81" i="9"/>
  <c r="D78" i="9"/>
  <c r="C78" i="9"/>
  <c r="G36" i="9"/>
  <c r="H36" i="9"/>
  <c r="F37" i="9"/>
  <c r="C82" i="9"/>
  <c r="D82" i="9"/>
  <c r="D76" i="9"/>
  <c r="C76" i="9"/>
  <c r="D30" i="9"/>
  <c r="A29" i="9"/>
  <c r="B30" i="9"/>
  <c r="C58" i="9"/>
  <c r="D58" i="9"/>
  <c r="D80" i="9"/>
  <c r="C80" i="9"/>
  <c r="D86" i="9"/>
  <c r="C86" i="9"/>
  <c r="C53" i="9"/>
  <c r="D53" i="9"/>
  <c r="G79" i="9"/>
  <c r="F79" i="9"/>
  <c r="C57" i="9"/>
  <c r="D57" i="9"/>
  <c r="C59" i="9"/>
  <c r="D59" i="9"/>
  <c r="D54" i="9"/>
  <c r="C54" i="9"/>
  <c r="B39" i="9"/>
  <c r="A40" i="9"/>
  <c r="D39" i="9"/>
  <c r="D79" i="9"/>
  <c r="C79" i="9"/>
  <c r="I52" i="9"/>
  <c r="H52" i="9"/>
  <c r="F89" i="9"/>
  <c r="G89" i="9"/>
  <c r="C69" i="9"/>
  <c r="D69" i="9"/>
  <c r="C65" i="9"/>
  <c r="D65" i="9"/>
  <c r="C55" i="9"/>
  <c r="D55" i="9"/>
  <c r="C61" i="9"/>
  <c r="D61" i="9"/>
  <c r="C52" i="9"/>
  <c r="D52" i="9"/>
  <c r="F77" i="9"/>
  <c r="G77" i="9"/>
  <c r="N32" i="9"/>
  <c r="M32" i="9"/>
  <c r="G83" i="9"/>
  <c r="F83" i="9"/>
  <c r="A91" i="9"/>
  <c r="B90" i="9"/>
  <c r="E90" i="9"/>
  <c r="C56" i="9"/>
  <c r="D56" i="9"/>
  <c r="D88" i="9"/>
  <c r="C88" i="9"/>
  <c r="D87" i="9"/>
  <c r="C87" i="9"/>
  <c r="F33" i="9"/>
  <c r="G34" i="9"/>
  <c r="H34" i="9"/>
  <c r="D83" i="9"/>
  <c r="C83" i="9"/>
  <c r="C51" i="9"/>
  <c r="D51" i="9"/>
  <c r="G81" i="9"/>
  <c r="F81" i="9"/>
  <c r="C63" i="9"/>
  <c r="D63" i="9"/>
  <c r="D89" i="9"/>
  <c r="C89" i="9"/>
  <c r="E62" i="6"/>
  <c r="E64" i="6" s="1"/>
  <c r="E65" i="6" s="1"/>
  <c r="C64" i="6"/>
  <c r="C65" i="6" s="1"/>
  <c r="C62" i="6"/>
  <c r="D29" i="9" l="1"/>
  <c r="A28" i="9"/>
  <c r="B29" i="9"/>
  <c r="C90" i="9"/>
  <c r="D90" i="9"/>
  <c r="E30" i="9"/>
  <c r="C30" i="9"/>
  <c r="A92" i="9"/>
  <c r="E91" i="9"/>
  <c r="B91" i="9"/>
  <c r="F38" i="9"/>
  <c r="H37" i="9"/>
  <c r="G37" i="9"/>
  <c r="O32" i="9"/>
  <c r="J36" i="9"/>
  <c r="I36" i="9"/>
  <c r="G90" i="9"/>
  <c r="F90" i="9"/>
  <c r="J34" i="9"/>
  <c r="I34" i="9"/>
  <c r="H33" i="9"/>
  <c r="F32" i="9"/>
  <c r="G33" i="9"/>
  <c r="D40" i="9"/>
  <c r="A41" i="9"/>
  <c r="B40" i="9"/>
  <c r="E39" i="9"/>
  <c r="C39" i="9"/>
  <c r="J37" i="9" l="1"/>
  <c r="I37" i="9"/>
  <c r="H38" i="9"/>
  <c r="F39" i="9"/>
  <c r="G38" i="9"/>
  <c r="E40" i="9"/>
  <c r="C40" i="9"/>
  <c r="C91" i="9"/>
  <c r="D91" i="9"/>
  <c r="A42" i="9"/>
  <c r="D41" i="9"/>
  <c r="B41" i="9"/>
  <c r="G91" i="9"/>
  <c r="F91" i="9"/>
  <c r="A93" i="9"/>
  <c r="E92" i="9"/>
  <c r="B92" i="9"/>
  <c r="J33" i="9"/>
  <c r="I33" i="9"/>
  <c r="H32" i="9"/>
  <c r="F31" i="9"/>
  <c r="G32" i="9"/>
  <c r="C29" i="9"/>
  <c r="E29" i="9"/>
  <c r="D28" i="9"/>
  <c r="A27" i="9"/>
  <c r="B28" i="9"/>
  <c r="B131" i="1" a="1"/>
  <c r="B131" i="1" s="1"/>
  <c r="L44" i="2"/>
  <c r="E38" i="2"/>
  <c r="C37" i="2"/>
  <c r="N36" i="2"/>
  <c r="H36" i="2"/>
  <c r="F36" i="2"/>
  <c r="E37" i="2" s="1"/>
  <c r="E36" i="2"/>
  <c r="D36" i="2"/>
  <c r="C36" i="2"/>
  <c r="N35" i="2"/>
  <c r="M35" i="2"/>
  <c r="M36" i="2" s="1"/>
  <c r="M37" i="2" s="1"/>
  <c r="L35" i="2"/>
  <c r="L36" i="2" s="1"/>
  <c r="K35" i="2"/>
  <c r="K36" i="2" s="1"/>
  <c r="K37" i="2" s="1"/>
  <c r="J35" i="2"/>
  <c r="J36" i="2" s="1"/>
  <c r="I35" i="2"/>
  <c r="I36" i="2" s="1"/>
  <c r="I37" i="2" s="1"/>
  <c r="H35" i="2"/>
  <c r="G35" i="2"/>
  <c r="G36" i="2" s="1"/>
  <c r="G37" i="2" s="1"/>
  <c r="F35" i="2"/>
  <c r="E35" i="2"/>
  <c r="D35" i="2"/>
  <c r="C35" i="2"/>
  <c r="H26" i="2"/>
  <c r="M38" i="2" s="1"/>
  <c r="G26" i="2"/>
  <c r="K38" i="2" s="1"/>
  <c r="F26" i="2"/>
  <c r="I38" i="2" s="1"/>
  <c r="E26" i="2"/>
  <c r="G38" i="2" s="1"/>
  <c r="D26" i="2"/>
  <c r="C26" i="2"/>
  <c r="C38" i="2" s="1"/>
  <c r="B17" i="2"/>
  <c r="B18" i="2" s="1"/>
  <c r="B19" i="2" s="1"/>
  <c r="B20" i="2" s="1"/>
  <c r="B21" i="2" s="1"/>
  <c r="B22" i="2" s="1"/>
  <c r="B23" i="2" s="1"/>
  <c r="B24" i="2" s="1"/>
  <c r="B25" i="2" s="1"/>
  <c r="E126" i="1"/>
  <c r="E127" i="1"/>
  <c r="D127" i="1"/>
  <c r="C127" i="1"/>
  <c r="D126" i="1"/>
  <c r="C126" i="1"/>
  <c r="C88" i="1"/>
  <c r="C54" i="1"/>
  <c r="C52" i="1"/>
  <c r="L44" i="1"/>
  <c r="G72" i="1"/>
  <c r="F91" i="1"/>
  <c r="F92" i="1" s="1"/>
  <c r="C82" i="1" a="1"/>
  <c r="C82" i="1" s="1"/>
  <c r="C83" i="1" s="1"/>
  <c r="G75" i="1"/>
  <c r="G70" i="1"/>
  <c r="N35" i="1"/>
  <c r="N36" i="1" s="1"/>
  <c r="M35" i="1"/>
  <c r="M36" i="1" s="1"/>
  <c r="L35" i="1"/>
  <c r="L36" i="1" s="1"/>
  <c r="K35" i="1"/>
  <c r="K36" i="1" s="1"/>
  <c r="J35" i="1"/>
  <c r="J36" i="1" s="1"/>
  <c r="I35" i="1"/>
  <c r="I36" i="1" s="1"/>
  <c r="H35" i="1"/>
  <c r="H36" i="1" s="1"/>
  <c r="G35" i="1"/>
  <c r="G36" i="1" s="1"/>
  <c r="F35" i="1"/>
  <c r="F36" i="1" s="1"/>
  <c r="E35" i="1"/>
  <c r="E36" i="1" s="1"/>
  <c r="E37" i="1" s="1"/>
  <c r="D35" i="1"/>
  <c r="D36" i="1" s="1"/>
  <c r="C35" i="1"/>
  <c r="C36" i="1" s="1"/>
  <c r="C37" i="1" s="1"/>
  <c r="D26" i="1"/>
  <c r="E38" i="1" s="1"/>
  <c r="E26" i="1"/>
  <c r="G38" i="1" s="1"/>
  <c r="F26" i="1"/>
  <c r="I38" i="1" s="1"/>
  <c r="G26" i="1"/>
  <c r="K38" i="1" s="1"/>
  <c r="H26" i="1"/>
  <c r="C26" i="1"/>
  <c r="B17" i="1"/>
  <c r="B18" i="1" s="1"/>
  <c r="B19" i="1" s="1"/>
  <c r="B20" i="1" s="1"/>
  <c r="B21" i="1" s="1"/>
  <c r="B22" i="1" s="1"/>
  <c r="B23" i="1" s="1"/>
  <c r="B24" i="1" s="1"/>
  <c r="B25" i="1" s="1"/>
  <c r="G92" i="9" l="1"/>
  <c r="F92" i="9"/>
  <c r="E41" i="9"/>
  <c r="C41" i="9"/>
  <c r="E28" i="9"/>
  <c r="C28" i="9"/>
  <c r="D42" i="9"/>
  <c r="A43" i="9"/>
  <c r="B42" i="9"/>
  <c r="J32" i="9"/>
  <c r="I32" i="9"/>
  <c r="A94" i="9"/>
  <c r="B93" i="9"/>
  <c r="E93" i="9"/>
  <c r="H31" i="9"/>
  <c r="F30" i="9"/>
  <c r="G31" i="9"/>
  <c r="J38" i="9"/>
  <c r="I38" i="9"/>
  <c r="F40" i="9"/>
  <c r="H39" i="9"/>
  <c r="G39" i="9"/>
  <c r="D27" i="9"/>
  <c r="A26" i="9"/>
  <c r="B27" i="9"/>
  <c r="D92" i="9"/>
  <c r="C92" i="9"/>
  <c r="C39" i="2"/>
  <c r="D44" i="2" s="1"/>
  <c r="D27" i="2"/>
  <c r="E27" i="2"/>
  <c r="F27" i="2"/>
  <c r="G27" i="2"/>
  <c r="C27" i="2"/>
  <c r="H27" i="2"/>
  <c r="C39" i="1"/>
  <c r="C27" i="1"/>
  <c r="C38" i="1"/>
  <c r="M38" i="1"/>
  <c r="I37" i="1"/>
  <c r="G37" i="1"/>
  <c r="K37" i="1"/>
  <c r="M37" i="1"/>
  <c r="F27" i="1"/>
  <c r="H27" i="1"/>
  <c r="E27" i="1"/>
  <c r="G27" i="1"/>
  <c r="D27" i="1"/>
  <c r="B43" i="9" l="1"/>
  <c r="D43" i="9"/>
  <c r="A44" i="9"/>
  <c r="F93" i="9"/>
  <c r="G93" i="9"/>
  <c r="A95" i="9"/>
  <c r="E94" i="9"/>
  <c r="B94" i="9"/>
  <c r="B26" i="9"/>
  <c r="D26" i="9"/>
  <c r="A25" i="9"/>
  <c r="D93" i="9"/>
  <c r="C93" i="9"/>
  <c r="C42" i="9"/>
  <c r="E42" i="9"/>
  <c r="J39" i="9"/>
  <c r="I39" i="9"/>
  <c r="F41" i="9"/>
  <c r="H40" i="9"/>
  <c r="G40" i="9"/>
  <c r="G30" i="9"/>
  <c r="F29" i="9"/>
  <c r="H30" i="9"/>
  <c r="E27" i="9"/>
  <c r="C27" i="9"/>
  <c r="I31" i="9"/>
  <c r="J31" i="9"/>
  <c r="D44" i="1"/>
  <c r="C26" i="9" l="1"/>
  <c r="E26" i="9"/>
  <c r="J40" i="9"/>
  <c r="I40" i="9"/>
  <c r="D25" i="9"/>
  <c r="B25" i="9"/>
  <c r="G94" i="9"/>
  <c r="F94" i="9"/>
  <c r="F28" i="9"/>
  <c r="H29" i="9"/>
  <c r="G29" i="9"/>
  <c r="E95" i="9"/>
  <c r="B95" i="9"/>
  <c r="A45" i="9"/>
  <c r="D44" i="9"/>
  <c r="B44" i="9"/>
  <c r="D94" i="9"/>
  <c r="C94" i="9"/>
  <c r="J30" i="9"/>
  <c r="I30" i="9"/>
  <c r="H41" i="9"/>
  <c r="F42" i="9"/>
  <c r="G41" i="9"/>
  <c r="E43" i="9"/>
  <c r="C43" i="9"/>
  <c r="C91" i="1"/>
  <c r="G95" i="9" l="1"/>
  <c r="F95" i="9"/>
  <c r="J29" i="9"/>
  <c r="I29" i="9"/>
  <c r="H28" i="9"/>
  <c r="F27" i="9"/>
  <c r="G28" i="9"/>
  <c r="E25" i="9"/>
  <c r="C25" i="9"/>
  <c r="E44" i="9"/>
  <c r="C44" i="9"/>
  <c r="D45" i="9"/>
  <c r="B45" i="9"/>
  <c r="D95" i="9"/>
  <c r="C95" i="9"/>
  <c r="J41" i="9"/>
  <c r="I41" i="9"/>
  <c r="F43" i="9"/>
  <c r="H42" i="9"/>
  <c r="G42" i="9"/>
  <c r="E45" i="9" l="1"/>
  <c r="C45" i="9"/>
  <c r="F26" i="9"/>
  <c r="H27" i="9"/>
  <c r="G27" i="9"/>
  <c r="H43" i="9"/>
  <c r="F44" i="9"/>
  <c r="G43" i="9"/>
  <c r="I28" i="9"/>
  <c r="J28" i="9"/>
  <c r="J42" i="9"/>
  <c r="I42" i="9"/>
  <c r="J27" i="9" l="1"/>
  <c r="I27" i="9"/>
  <c r="F25" i="9"/>
  <c r="H26" i="9"/>
  <c r="G26" i="9"/>
  <c r="G44" i="9"/>
  <c r="F45" i="9"/>
  <c r="H44" i="9"/>
  <c r="I43" i="9"/>
  <c r="J43" i="9"/>
  <c r="J26" i="9" l="1"/>
  <c r="I26" i="9"/>
  <c r="J44" i="9"/>
  <c r="I44" i="9"/>
  <c r="H45" i="9"/>
  <c r="G45" i="9"/>
  <c r="H25" i="9"/>
  <c r="G25" i="9"/>
  <c r="I25" i="9" l="1"/>
  <c r="J25" i="9"/>
  <c r="J45" i="9"/>
  <c r="I4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<sst xmlns="http://schemas.openxmlformats.org/spreadsheetml/2006/main" count="606" uniqueCount="332">
  <si>
    <t>Bus</t>
  </si>
  <si>
    <t>Car</t>
  </si>
  <si>
    <t>Date</t>
  </si>
  <si>
    <t>Truck</t>
  </si>
  <si>
    <t>LCV</t>
  </si>
  <si>
    <t>MAV</t>
  </si>
  <si>
    <t>3 Axle</t>
  </si>
  <si>
    <t>Annexture 8 - Daily Tollable Toll Collection Traffic Count and Revenue Entry Details</t>
  </si>
  <si>
    <t>Reference</t>
  </si>
  <si>
    <t>https://msrdc.in/Site/Upload/GR/Khalapur%20YCEW%20Feb%202016.pdf</t>
  </si>
  <si>
    <t>Average Traffic</t>
  </si>
  <si>
    <t xml:space="preserve">n (Design life in years) </t>
  </si>
  <si>
    <t>% composition</t>
  </si>
  <si>
    <t>Traffic data</t>
  </si>
  <si>
    <t>Period</t>
  </si>
  <si>
    <t>Feb, 2016</t>
  </si>
  <si>
    <t>Toll Plaza</t>
  </si>
  <si>
    <t>Khalapur</t>
  </si>
  <si>
    <t>Source</t>
  </si>
  <si>
    <t>Direction</t>
  </si>
  <si>
    <t>Mumbai to Pune</t>
  </si>
  <si>
    <t>Remarks</t>
  </si>
  <si>
    <t>Axle load survey for 10 days on Khalapur toll plaza</t>
  </si>
  <si>
    <t>Dimensions</t>
  </si>
  <si>
    <t>Flexible Pavement</t>
  </si>
  <si>
    <t>Rigid Pavement</t>
  </si>
  <si>
    <t>Length (in km)</t>
  </si>
  <si>
    <t>Width (in m)</t>
  </si>
  <si>
    <t># The width of a single lane in multilane road is 3.5m. So for 6 lane is 3.5*6 = 21m. And the minimum width of paved shoulder is 1.5m and unpaved shoulder is 2m. So total width of shoulder on both sides including is 2*(1.5+2) = 7m. The minimum width of divider is 2.5m. The clearnce between lane and divider is 0.5 m thus for both sides total clearnce is 0.5*2 = 1m.</t>
  </si>
  <si>
    <t>Subgrade</t>
  </si>
  <si>
    <t>GSB</t>
  </si>
  <si>
    <t>Base (WMM)</t>
  </si>
  <si>
    <t>Thickness of each layer (in mm)</t>
  </si>
  <si>
    <t>PQC slab</t>
  </si>
  <si>
    <t>DLC</t>
  </si>
  <si>
    <t>GSB as Drainage layer</t>
  </si>
  <si>
    <t>GSB as Seperation layer</t>
  </si>
  <si>
    <t>Excavation cost</t>
  </si>
  <si>
    <t>Maintenance Cost</t>
  </si>
  <si>
    <t>Construction Cost</t>
  </si>
  <si>
    <t>Results</t>
  </si>
  <si>
    <t>Initial cost</t>
  </si>
  <si>
    <t>Annual operation cost</t>
  </si>
  <si>
    <t>Design life</t>
  </si>
  <si>
    <t>Calculation for VDF</t>
  </si>
  <si>
    <t>Average weight (in kg)</t>
  </si>
  <si>
    <t>Front axle</t>
  </si>
  <si>
    <t>Rear axle</t>
  </si>
  <si>
    <t>https://truckindia.co.in/m&amp;hcv-gvw-gcw-payload-unladen-weight-commercial-vehicle-category-english.html</t>
  </si>
  <si>
    <t>VDF</t>
  </si>
  <si>
    <t># All front axle are single axle with single wheel, Rear axle for car is single axle with single wheel, for bus is single axle with dual wheel, for truck is tandem axle, for LCV is single axle with single wheel, for MAV is tridem axle, for 3 Axle is tandem axle</t>
  </si>
  <si>
    <t>Total VDF</t>
  </si>
  <si>
    <t>Count</t>
  </si>
  <si>
    <t>Weighted Average VDF</t>
  </si>
  <si>
    <t>Axle load distribution</t>
  </si>
  <si>
    <t>LDF</t>
  </si>
  <si>
    <t>Design parameters</t>
  </si>
  <si>
    <t>r (rate of traffic growth annually)</t>
  </si>
  <si>
    <t>Effective CBR</t>
  </si>
  <si>
    <t># For three lane in each direction</t>
  </si>
  <si>
    <t>Poisson's ratio</t>
  </si>
  <si>
    <t>Axle type</t>
  </si>
  <si>
    <r>
      <t>M</t>
    </r>
    <r>
      <rPr>
        <sz val="8"/>
        <color theme="1"/>
        <rFont val="Calibri"/>
        <family val="2"/>
        <scheme val="minor"/>
      </rPr>
      <t>R</t>
    </r>
    <r>
      <rPr>
        <sz val="11"/>
        <color theme="1"/>
        <rFont val="Calibri"/>
        <family val="2"/>
        <scheme val="minor"/>
      </rPr>
      <t xml:space="preserve"> (in Mpa)</t>
    </r>
  </si>
  <si>
    <t>Granular Layers</t>
  </si>
  <si>
    <t>Construction Period (in years)</t>
  </si>
  <si>
    <t>CVPD in one direction</t>
  </si>
  <si>
    <t># As per IRC-37-2001</t>
  </si>
  <si>
    <t>Step 1 -&gt; Calculate the no of CVPD in the year of completion of construction</t>
  </si>
  <si>
    <t>A (in CVPD)</t>
  </si>
  <si>
    <t>Calculate the no of CVPD in the design life of 20 years</t>
  </si>
  <si>
    <t>N (in MSA)</t>
  </si>
  <si>
    <t>Design Process</t>
  </si>
  <si>
    <t>Step 2 -&gt; Choose the layer combinations (from IRC:37 catalogues)</t>
  </si>
  <si>
    <t>Layer</t>
  </si>
  <si>
    <t>Thickness (in mm)</t>
  </si>
  <si>
    <t>BC (Surface Layer)</t>
  </si>
  <si>
    <t>Binder coarse</t>
  </si>
  <si>
    <t># The reason for selecting higher binder thickness is higher traffic 50 MSA)</t>
  </si>
  <si>
    <t>Step 3 -&gt; Drawing system boundaries</t>
  </si>
  <si>
    <t>Bituminous layer</t>
  </si>
  <si>
    <t>Granular layer</t>
  </si>
  <si>
    <t>Subgrade layer</t>
  </si>
  <si>
    <t>Step 4 -&gt; Calculate Resilient modulus for all the layers and poisson's ratio</t>
  </si>
  <si>
    <t>Bituminous Layers</t>
  </si>
  <si>
    <r>
      <t>e</t>
    </r>
    <r>
      <rPr>
        <sz val="8"/>
        <color theme="1"/>
        <rFont val="Calibri Light"/>
        <family val="2"/>
        <scheme val="major"/>
      </rPr>
      <t>v</t>
    </r>
  </si>
  <si>
    <t>Step 5 -&gt; Calculate the Allowable strain values</t>
  </si>
  <si>
    <t>Calculate the Allowable vertical compressive strain values at top of subgrade for RUTTING Failure</t>
  </si>
  <si>
    <t>Calculate the allowable horizontal tensile strain values at bottom of bituminous layer for FATIGUE Failure</t>
  </si>
  <si>
    <t>C</t>
  </si>
  <si>
    <t>M</t>
  </si>
  <si>
    <r>
      <t>e</t>
    </r>
    <r>
      <rPr>
        <sz val="8"/>
        <color theme="1"/>
        <rFont val="Calibri Light"/>
        <family val="2"/>
        <scheme val="major"/>
      </rPr>
      <t>t</t>
    </r>
  </si>
  <si>
    <t>Step 6 -&gt; Calculate the Actual strain values using IITPAVE Software</t>
  </si>
  <si>
    <t>Surender sir slides</t>
  </si>
  <si>
    <t>Mix design parameters of bituminous layer</t>
  </si>
  <si>
    <t>Air voids</t>
  </si>
  <si>
    <t>Effective bitumen content</t>
  </si>
  <si>
    <t>Allowable strain</t>
  </si>
  <si>
    <t>Actual strain</t>
  </si>
  <si>
    <t>Vertical strains</t>
  </si>
  <si>
    <t>Horizontal strains</t>
  </si>
  <si>
    <t># As per IRC-53</t>
  </si>
  <si>
    <t>Tyre Pressure (in MPa)</t>
  </si>
  <si>
    <t>E (in MPa)</t>
  </si>
  <si>
    <t>Unit Weight (in KN)</t>
  </si>
  <si>
    <t>Poissions Ratio</t>
  </si>
  <si>
    <t>Flexural Strength (@ 90days)</t>
  </si>
  <si>
    <t>Positive Temperature Diff.</t>
  </si>
  <si>
    <t>Negative Temperature Diff.</t>
  </si>
  <si>
    <t>Design process</t>
  </si>
  <si>
    <t>Commercial Veichle at end of Design Life(in Perdominant Direction)</t>
  </si>
  <si>
    <t>Axle Category</t>
  </si>
  <si>
    <t>Proportion</t>
  </si>
  <si>
    <t>Axle repetitions for BUC</t>
  </si>
  <si>
    <t>Axle repetitions for TDC</t>
  </si>
  <si>
    <t>Average No. of axle</t>
  </si>
  <si>
    <t>Front Single</t>
  </si>
  <si>
    <t>No. of Axle at end of Design Life</t>
  </si>
  <si>
    <t>Rear Single</t>
  </si>
  <si>
    <t>Edge Traffic (in %)</t>
  </si>
  <si>
    <t>Tandem</t>
  </si>
  <si>
    <t>Edge Traffic</t>
  </si>
  <si>
    <t>Tridem</t>
  </si>
  <si>
    <t>Day Traffic (in %)</t>
  </si>
  <si>
    <t>Total</t>
  </si>
  <si>
    <t>Night Traffic (in %)</t>
  </si>
  <si>
    <t>No. of Veichle in Bottom Up Cracking</t>
  </si>
  <si>
    <t>No. of Veichle in Top Down Cracking</t>
  </si>
  <si>
    <t>Veichle with Wheel Base&lt;4.5m (in %)</t>
  </si>
  <si>
    <t>No. of Veichle in TDC with Wheel Base&lt;4.5m</t>
  </si>
  <si>
    <t>Design Results</t>
  </si>
  <si>
    <t>Dowel Bar Details</t>
  </si>
  <si>
    <t>Diameter (in mm)</t>
  </si>
  <si>
    <t>Length (in mm)</t>
  </si>
  <si>
    <t>Spacing (in mm)</t>
  </si>
  <si>
    <t>Reiteration on the thickness of slab</t>
  </si>
  <si>
    <t>Slab Thickness(mm)</t>
  </si>
  <si>
    <t>Thickness of DLC (in mm)</t>
  </si>
  <si>
    <t>Design results</t>
  </si>
  <si>
    <t>Steel Bars (Per KM)</t>
  </si>
  <si>
    <t>Length(mm)</t>
  </si>
  <si>
    <t>Diameter(mm)</t>
  </si>
  <si>
    <t>PVC Sheet</t>
  </si>
  <si>
    <t>Dowel Bars</t>
  </si>
  <si>
    <t>Tie bars</t>
  </si>
  <si>
    <t>Wire fabric</t>
  </si>
  <si>
    <t xml:space="preserve">Total depth </t>
  </si>
  <si>
    <t>Total depth</t>
  </si>
  <si>
    <t>Total Width excavated</t>
  </si>
  <si>
    <t>Site Preparation cost</t>
  </si>
  <si>
    <t>SSR Item No.</t>
  </si>
  <si>
    <t>Description</t>
  </si>
  <si>
    <t>Unit</t>
  </si>
  <si>
    <t>Quantity</t>
  </si>
  <si>
    <t>Rate</t>
  </si>
  <si>
    <t>Total Cost</t>
  </si>
  <si>
    <t>Cutting down trees including trunks and branches with girths above 30cm to 60cm and stacking the materials neatly with all lifts and lead of 1000m as directed and earth filling in the depression / pit if any.</t>
  </si>
  <si>
    <t>Number</t>
  </si>
  <si>
    <t xml:space="preserve">Excavation or roadway in earth, soil of all sorts, and, gravel or soft murum including dressing section to the required grade, camber and side slopes and conveying the excavated materials with all liftsup to a lead of 50m. and spreading for embankment or stacking as directed. By Manual Means. (with prior permission of S.E.)(  assuming surface layer to be on top and rest all layer combine will level up to ground)                                        </t>
  </si>
  <si>
    <t>Cubic metre</t>
  </si>
  <si>
    <t>Excavation for roadway in earth, soil of all sorts, sand, gravel or soft murum including dressing section to the required grade, camber and side slopes and conveying the excavated materials with all lifts upto a lead of 50m. and spreading for embankment or stacking as directed</t>
  </si>
  <si>
    <t>Providing and laying in-situ M40 Grade unreinforced plain cement concrete pavement with max 20% fly Ash ( Fly-ash upto 20% by weight of Cement) over a prepared sub base with 43 grade cement , coarse and fine aggregate ( VSI grade finely washed crushed sand) conforming to IS 383, using fine and coarse aggregates combined gradation as per Table 600-3 of MORTH Specification 2013, mixed in a batching and mixing plant/ non tilting mixer and Weigh batcher as per approved mix design, admixtures, transporting to site, spreading, laying with approved make paver,compacted and finished in a continuous operation, finishing to lines and grades as directed by Engineer-in-charge and curing by curing compound /by providing cement vata in cement Mortar 1:8 @0.6m X 0.6m centre to centre, admeasuring 80 mm at bottom and 40 mm at top with depth of 75mm and maintaining the same throughout curing period by any other method approved by Engineer-in-charge</t>
  </si>
  <si>
    <t>Clearing grass and removal of rubbish up to a distance of 50 metres outside the periphery of the area .</t>
  </si>
  <si>
    <t>Square metre</t>
  </si>
  <si>
    <t>Providing earth work in embankment with approved materials obtained from departmental In Rs. land upto lead of 50m. including all lifts, laying in layers of 20cm. to 30cm. thickness breaking clods, dressing to the required lines, curves, grades &amp; section, watering and compaction with vibratory roller to achieve not less than 97 % of standard proctor density etc. complete. (Material obtained from departmental Land)</t>
  </si>
  <si>
    <t>WetMixMacadam--Providing,laying,spreadingandcompactinggradedstoneaggregatetowetmixmacadamspecificationincludingpremixingtheMaterialwithwateratOMCinmechanicalmixplantcarriageofmixedMaterialbytippertosite,layinginuniformlayerswithpaverinsub-base/basecourseonwellpreparedsurfaceandcompactingwithvibratoryroller to achieve the desired density. Laying By Grader/Paver.</t>
  </si>
  <si>
    <t>Cubic Metre</t>
  </si>
  <si>
    <t>2.29a</t>
  </si>
  <si>
    <t>Supplying hard murum/ kankar at the road site, including conveying and stacking complete.</t>
  </si>
  <si>
    <t>Construction of dry lean cement concrete Sub- base over a prepared sub-grade with coarse In Rs. and fine aggregate ( VSI grade finely washed crushed sand) conforming to IS: 383, the size of coarse aggregate not exceeding 25 mm, , cement content not to be less than 150 Kilogram/ cum, optimum moisture content to be determined during trial length construction, concrete strength not to be less than 10 Mpa at 7 days, mixed in a batching plant/ Weigh batch mixer, transported to site with all leads and lifts, laid with a paver with electronic sensor /by suitable means as approved by Engineer-in-charge , compacting with vibratory roller, finishing, curing and including preparation of sub-grade surface if required etc. complete.</t>
  </si>
  <si>
    <t>Compacting the hardmurumsidewidths including laying in layers on each sidewith vibratory roller including artificial watering etc. complete.</t>
  </si>
  <si>
    <t>Providing and laying 125 micron Low Density Polyethylene (LDPE) sheet confirming to IS 3395 : 1997 below concrete pavement including all materials and labour complete</t>
  </si>
  <si>
    <t>Square Metre</t>
  </si>
  <si>
    <t>Construction of granular sub-base by providing close graded Material, mixing in a mechanical mix plant at OMC, carriage of mixed Material to worksite, spreading in uniform layers with motor grader/Paver on prepared surface and compacting with vibratory roller to achieve the desired density, complete as per clause 401 -- Plant Mix Method and Grading - I Material.</t>
  </si>
  <si>
    <t>Providing and fixing in position TMT FE 500, 32 mm dia dowel bars precoated with anticorrosive epoxy paint of required Dia. 60 cms. Long and at 30.00 cm. C/C and PVC pipe of 40 mm dia wherever directed including handling, straightening, necessary cutting supported by TMT FE 500, chairs with proper alignment by using properly designed assembly of Bulkheads lubricating half length with bituminous paint as directed etc. complete</t>
  </si>
  <si>
    <t>Prime coat - Providing and applying primer coat with bitumen emulsion on prepared surface of granular base including cleaning of road surface and spraying primer at the rate of 0.60 kilogram/square metre using mechanical means.</t>
  </si>
  <si>
    <t>Cutting transverse contraction joints 3 to 4 mm wide and depth 60mm. .in concrete slab using concrete cutting machine with diamond studded saw within 48 hours of casting of bay / slab etc. complete including subsequent widening of the groove 8 to 10 mm. wide at top having depth of 15 mm. as directed by Engineer incharge.</t>
  </si>
  <si>
    <t>Running Metre</t>
  </si>
  <si>
    <t>Watering and compacting of embankment formed of materials obtained from the road cutting with a lead of 50 m, not less than 97% of standard Proctor density after laying them in layers of 20 cm to 30 cm with Power roller.</t>
  </si>
  <si>
    <t>Providing and fixing in position TMT FE 500, tie bars precoated with anticorrosive epoxy paint of 12 mm dia. 70 cms.long and at 30.00 cm. C/C and wherever directed including handling, straightening wrapping with paper of approved quality for half length, necessary cutting, handling, straightening , supported by assembly of TMT FE 500, chairs with proper alignment etc. complete.</t>
  </si>
  <si>
    <t>Providing and applying tack coat on the prepared surface by heating in a boiler and spraying bitumen set footed in bitumen boiler on B.T. surface at 2.5 kilograms/10 square metres (VG-30 bulk bitumen rates are considered to arrive at rates).</t>
  </si>
  <si>
    <t>Providing, laying and spreading soil on a prepared sub grade, pulverizing, mixing the spread soil in place with rotavator with 3 per cent slaked lime with minimum content of 70 per cent of CaO, grading with motor grader and compacting with the road roller at OMC to achieve atleast 98 per cent of the max dry density to form a layer of sub base.</t>
  </si>
  <si>
    <t>DENSE BITUMINOUS MACADAM: Providing and laying dense bituminous macadam using crushed aggregates of Grading 1, premixed with bituminous binder of specified grade of bitumen at 4.50 percent by weight of total mix and filler, transported to site with VTS, laid over a previously prepared surface, finished to the required grade, level, alignment, and rolling to achieve the desired density for 76-100 mm compacted thickness. USING Batch mix type hot mix plant with SCADA, Sensor Paver, Vibratory roller with Stone Dust filler. (VG-30 bulk bitumen rates are considered to arrive at rates)</t>
  </si>
  <si>
    <t>Construction of granular sub-base by providing close graded material, spreading in uniform layers with motor grader / Paver on prepared surface, mixing by mix in place method with rotavator at OMC, and compacting with vibratory roller to achieve the desired density, complete as per clause 401 -- By Mix in Place Method and Grading - I Material</t>
  </si>
  <si>
    <t>Providing bituminous Type A liquid seal coat on bituminous surface including supplying all materials and bitumen of specified grade, preparing existing road surface, heating and applying bitumen at 0.98 kilogram/square metre by mechanical means, spreading chips and rolling by static roller having weight 8 to 10 MT, etc., complete. (VG-30 bulk bitumen rates are considered to arrive at rates)</t>
  </si>
  <si>
    <t>Maintenance cost per km per lane per year</t>
  </si>
  <si>
    <t>km</t>
  </si>
  <si>
    <t>Rs</t>
  </si>
  <si>
    <t>Cr</t>
  </si>
  <si>
    <t>Annual operation and maintenance cost</t>
  </si>
  <si>
    <t>Cr per year</t>
  </si>
  <si>
    <t>years</t>
  </si>
  <si>
    <t>Major maintenance (every 5 years)</t>
  </si>
  <si>
    <t>Cashflow diagram of Flexible Pavement: -</t>
  </si>
  <si>
    <t>Cashflow diagram of Rigid Pavement: -</t>
  </si>
  <si>
    <t>MARR</t>
  </si>
  <si>
    <t>Data table</t>
  </si>
  <si>
    <t>AW (flexible)</t>
  </si>
  <si>
    <t>AW (rigid)</t>
  </si>
  <si>
    <t>Initial Cost (in Cr.)</t>
  </si>
  <si>
    <t>Annual O&amp;M Cost (in Cr.)</t>
  </si>
  <si>
    <t>Major mainternance cost (in Cr.)</t>
  </si>
  <si>
    <t>Annual Revenue (in Cr.)</t>
  </si>
  <si>
    <t>Annual Cost of Flexible Pavement (in Cr.)</t>
  </si>
  <si>
    <t>Annual Cost of Rigid Pavement (in Cr.)</t>
  </si>
  <si>
    <t>Difference of Annual Costs</t>
  </si>
  <si>
    <t># For goal seek function reference</t>
  </si>
  <si>
    <t>In the risk analysis part, we thought of doing breakeven analysis but later we realised that it is not possible to do breakeven analysis in this case because to do so, we would have to assume different toll tax rates for both the pavements.</t>
  </si>
  <si>
    <t>Initial construction cost (in Cr)</t>
  </si>
  <si>
    <t>Annual operating and maintenance cost</t>
  </si>
  <si>
    <t>Major maintenance cost (every 3 years)</t>
  </si>
  <si>
    <t>Annual Toll Tax Revenue</t>
  </si>
  <si>
    <t>Cashflow Diagram of Flexible Pavement: -</t>
  </si>
  <si>
    <t>Cashflow Diagram of Rigid Pavement: -</t>
  </si>
  <si>
    <t>Payback Period Analysis: -</t>
  </si>
  <si>
    <t>Major maintenance cost (in Cr.)</t>
  </si>
  <si>
    <t>Payback period (in years)</t>
  </si>
  <si>
    <t>NPW (for i = 0%)</t>
  </si>
  <si>
    <t xml:space="preserve">Assuming that the full road is not being maintained, we calculated an average cost of Rs. 1,50,000 per kilometer for maintenance of all six lanes. </t>
  </si>
  <si>
    <t>Major maintenance every 3 years costing Rs. 4,00,000</t>
  </si>
  <si>
    <t>Major Maintenance (every 5 years)</t>
  </si>
  <si>
    <t>Difference</t>
  </si>
  <si>
    <t>No. of vehicles</t>
  </si>
  <si>
    <t>Toll rates</t>
  </si>
  <si>
    <t>Toll Revenue</t>
  </si>
  <si>
    <t>Daily Toll Revenue</t>
  </si>
  <si>
    <t>Annual Toll Revenue</t>
  </si>
  <si>
    <t>SOCIAL AND ENVIROMENTAL COST</t>
  </si>
  <si>
    <t>Calculation of CO2 Emission in project</t>
  </si>
  <si>
    <t>Table 5. List of energy consumption, emission and budget price per unit of raw material.</t>
  </si>
  <si>
    <t>Material type</t>
  </si>
  <si>
    <t>Energy consumption (MJ)</t>
  </si>
  <si>
    <t>CO2 equivalent
(kg)</t>
  </si>
  <si>
    <t>Asphalt</t>
  </si>
  <si>
    <t>Petroleum asphalt</t>
  </si>
  <si>
    <t>ton</t>
  </si>
  <si>
    <t>Modified asphalt</t>
  </si>
  <si>
    <t>Cement</t>
  </si>
  <si>
    <t>P.I.52.5</t>
  </si>
  <si>
    <t>P.O.42.5</t>
  </si>
  <si>
    <t>P.S.32.5</t>
  </si>
  <si>
    <t>Aggregate</t>
  </si>
  <si>
    <t>Gravel</t>
  </si>
  <si>
    <t>m3</t>
  </si>
  <si>
    <t>Stone chips</t>
  </si>
  <si>
    <t>Sand</t>
  </si>
  <si>
    <t>Steel</t>
  </si>
  <si>
    <t>Fe415</t>
  </si>
  <si>
    <t>-</t>
  </si>
  <si>
    <t>Calcium oxide</t>
  </si>
  <si>
    <t>Social Cost of carbon for india ($/Ton of CO2)</t>
  </si>
  <si>
    <t>Total Concrete Volume</t>
  </si>
  <si>
    <t>Construction Material</t>
  </si>
  <si>
    <t>Material</t>
  </si>
  <si>
    <t>CO2 quantity emitted (Ton)</t>
  </si>
  <si>
    <t>Equvivalent cost</t>
  </si>
  <si>
    <t>CO2 quantity emitted</t>
  </si>
  <si>
    <t>Bitumen</t>
  </si>
  <si>
    <t>Aggregate (Gravel)</t>
  </si>
  <si>
    <t>Aggregate (Sand)</t>
  </si>
  <si>
    <t>Total Cost due to CO2 emission</t>
  </si>
  <si>
    <t xml:space="preserve">BENEFITS GENERATED </t>
  </si>
  <si>
    <t>Increase in Land price</t>
  </si>
  <si>
    <t>Flexible pavement</t>
  </si>
  <si>
    <t>Rigid pavement</t>
  </si>
  <si>
    <t>Year</t>
  </si>
  <si>
    <t>Cash Flow</t>
  </si>
  <si>
    <t>Internal Rate of Return (IRR)</t>
  </si>
  <si>
    <t>IRR Analysis</t>
  </si>
  <si>
    <t>Distance from road where land price is impacted</t>
  </si>
  <si>
    <t>Miles</t>
  </si>
  <si>
    <t>Distance on both sides</t>
  </si>
  <si>
    <t>Range of increase in land price</t>
  </si>
  <si>
    <t>%</t>
  </si>
  <si>
    <t>Price of land before road construction</t>
  </si>
  <si>
    <t>Rs/Sqft</t>
  </si>
  <si>
    <t>Length of road</t>
  </si>
  <si>
    <t>Km</t>
  </si>
  <si>
    <t>Plain land</t>
  </si>
  <si>
    <t>Dense forest and mountains</t>
  </si>
  <si>
    <t>Increase in price of overall land</t>
  </si>
  <si>
    <t>Fiscal Benefits: Increased tax collection</t>
  </si>
  <si>
    <t>Maharashtra property tax rate</t>
  </si>
  <si>
    <t>Area of land where price is hiking</t>
  </si>
  <si>
    <t>Km2</t>
  </si>
  <si>
    <t>Market value of land</t>
  </si>
  <si>
    <t>Overall tax collection</t>
  </si>
  <si>
    <t>Cost Benefit Analysis</t>
  </si>
  <si>
    <t>Cost of CO2 Emission(Rs)</t>
  </si>
  <si>
    <t>At t = 0 years</t>
  </si>
  <si>
    <t>Initial Cost</t>
  </si>
  <si>
    <t>Annual O&amp;M Cost</t>
  </si>
  <si>
    <t>Every year</t>
  </si>
  <si>
    <t>Major Maintenance</t>
  </si>
  <si>
    <t>Every 3 years</t>
  </si>
  <si>
    <t>Every 5 years</t>
  </si>
  <si>
    <t>Cost Annual Value(Rs)</t>
  </si>
  <si>
    <t>Land Value increase</t>
  </si>
  <si>
    <t>Property Tax Collection</t>
  </si>
  <si>
    <t>Toll Collected</t>
  </si>
  <si>
    <t>Benefit Annual Value</t>
  </si>
  <si>
    <t>Flexible Payment</t>
  </si>
  <si>
    <t>AW</t>
  </si>
  <si>
    <t>Diff (AW_rigid - AW_flexible)</t>
  </si>
  <si>
    <t>Total Annual Toll Tax</t>
  </si>
  <si>
    <t>Rigid Pavement Annual Worth</t>
  </si>
  <si>
    <t>Flexible Pavement Annual Worth</t>
  </si>
  <si>
    <t>A/P,12%,30</t>
  </si>
  <si>
    <t>A/P,12%,20</t>
  </si>
  <si>
    <t>AW of rigid pavement</t>
  </si>
  <si>
    <t>AW of flexible pavement</t>
  </si>
  <si>
    <t>Difference of annual worths</t>
  </si>
  <si>
    <t>Initial Cost of Rigid Pavement</t>
  </si>
  <si>
    <t>Rigid pavement annual worth.</t>
  </si>
  <si>
    <t>%change in Annual Worth of Rigid Pavement cost</t>
  </si>
  <si>
    <t>%Change in Initial Cost of Rigid Pavements</t>
  </si>
  <si>
    <t>Change in Rigid Pavement Cost</t>
  </si>
  <si>
    <t>Initial Cost of Flexible Pavement</t>
  </si>
  <si>
    <t>Flexible pavement annual worth.</t>
  </si>
  <si>
    <t>%change in Initial cost of flexible Pavement</t>
  </si>
  <si>
    <t>%change in Annual Worth of flexible Pavement cost</t>
  </si>
  <si>
    <t>CHANGE IN FP COST</t>
  </si>
  <si>
    <t>Annual O&amp;M cost in RP</t>
  </si>
  <si>
    <t>Total of RP</t>
  </si>
  <si>
    <t>%change in annual worth</t>
  </si>
  <si>
    <t>Change</t>
  </si>
  <si>
    <t>Annual O&amp;M cost in FP</t>
  </si>
  <si>
    <t>Total of FP</t>
  </si>
  <si>
    <t>Toll Tax Revenue</t>
  </si>
  <si>
    <t>%change IN RP</t>
  </si>
  <si>
    <t>Change in annual worth of rigid pavement</t>
  </si>
  <si>
    <t>%change IN annual worth of flexible pavement</t>
  </si>
  <si>
    <t>Change IN 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</si>
</sst>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000"/>
    <numFmt numFmtId="166" formatCode="0.000"/>
    <numFmt numFmtId="167" formatCode="0.000E+00"/>
    <numFmt numFmtId="168" formatCode="0.0000"/>
    <numFmt numFmtId="169" formatCode="0.00000"/>
    <numFmt numFmtId="170" formatCode="0.0"/>
    <numFmt numFmtId="171" formatCode="&quot;$&quot;#,##0.00"/>
    <numFmt numFmtId="172" formatCode="[$₹]#,##0.00"/>
    <numFmt numFmtId="173" formatCode="_(&quot;$&quot;* #,##0.00_);_(&quot;$&quot;* \(#,##0.00\);_(&quot;$&quot;* &quot;-&quot;??_);_(@_)"/>
  </numFmts>
  <fonts count="39">
    <font>
      <sz val="11"/>
      <color theme="1"/>
      <name val="Calibri"/>
      <family val="2"/>
      <scheme val="minor"/>
    </font>
    <font>
      <sz val="11"/>
      <color theme="1"/>
      <name val="Calibri"/>
      <family val="2"/>
      <scheme val="minor"/>
    </font>
    <font>
      <sz val="10"/>
      <color theme="1"/>
      <name val="Times New Roman"/>
      <family val="1"/>
    </font>
    <font>
      <b/>
      <sz val="12"/>
      <color theme="0"/>
      <name val="Calibri"/>
      <family val="2"/>
      <scheme val="minor"/>
    </font>
    <font>
      <sz val="11"/>
      <color rgb="FFFF0000"/>
      <name val="Calibri"/>
      <family val="2"/>
      <scheme val="minor"/>
    </font>
    <font>
      <sz val="8"/>
      <color theme="1"/>
      <name val="Calibri"/>
      <family val="2"/>
      <scheme val="minor"/>
    </font>
    <font>
      <sz val="16"/>
      <color theme="0"/>
      <name val="Calibri"/>
      <family val="2"/>
      <scheme val="minor"/>
    </font>
    <font>
      <sz val="16"/>
      <color theme="1"/>
      <name val="Calibri"/>
      <family val="2"/>
      <scheme val="minor"/>
    </font>
    <font>
      <sz val="14"/>
      <color theme="1"/>
      <name val="Calibri"/>
      <family val="2"/>
      <scheme val="minor"/>
    </font>
    <font>
      <sz val="11"/>
      <color theme="1"/>
      <name val="Symbol"/>
      <family val="1"/>
      <charset val="2"/>
    </font>
    <font>
      <sz val="8"/>
      <color theme="1"/>
      <name val="Calibri Light"/>
      <family val="2"/>
      <scheme val="major"/>
    </font>
    <font>
      <b/>
      <sz val="11"/>
      <color theme="0"/>
      <name val="Calibri"/>
      <family val="2"/>
      <scheme val="minor"/>
    </font>
    <font>
      <b/>
      <sz val="12"/>
      <color theme="0"/>
      <name val="Calibri"/>
      <family val="2"/>
    </font>
    <font>
      <sz val="11"/>
      <name val="Calibri"/>
      <family val="2"/>
    </font>
    <font>
      <sz val="11"/>
      <color theme="1"/>
      <name val="Calibri"/>
      <family val="2"/>
    </font>
    <font>
      <b/>
      <sz val="11"/>
      <color theme="1"/>
      <name val="Calibri"/>
      <family val="2"/>
    </font>
    <font>
      <b/>
      <sz val="14"/>
      <color theme="0"/>
      <name val="Calibri"/>
      <family val="2"/>
    </font>
    <font>
      <sz val="9"/>
      <color theme="1"/>
      <name val="Calibri"/>
      <family val="2"/>
    </font>
    <font>
      <b/>
      <sz val="11"/>
      <color theme="0"/>
      <name val="Calibri"/>
      <family val="2"/>
    </font>
    <font>
      <sz val="14"/>
      <color theme="1"/>
      <name val="Calibri"/>
      <family val="2"/>
    </font>
    <font>
      <i/>
      <sz val="11"/>
      <color theme="0" tint="-0.499984740745262"/>
      <name val="Calibri"/>
      <family val="2"/>
    </font>
    <font>
      <b/>
      <sz val="12"/>
      <color theme="1"/>
      <name val="Calibri"/>
      <family val="2"/>
    </font>
    <font>
      <sz val="12"/>
      <color theme="1"/>
      <name val="Calibri"/>
      <family val="2"/>
      <scheme val="minor"/>
    </font>
    <font>
      <b/>
      <sz val="11"/>
      <color rgb="FFFFFFFF"/>
      <name val="Calibri"/>
      <family val="2"/>
    </font>
    <font>
      <b/>
      <sz val="12"/>
      <color theme="1"/>
      <name val="Calibri"/>
      <family val="2"/>
      <scheme val="minor"/>
    </font>
    <font>
      <b/>
      <sz val="12"/>
      <color rgb="FFFFFFFF"/>
      <name val="Calibri"/>
      <family val="2"/>
      <scheme val="minor"/>
    </font>
    <font>
      <b/>
      <sz val="14"/>
      <color rgb="FFFFFFFF"/>
      <name val="Calibri"/>
      <family val="2"/>
      <scheme val="minor"/>
    </font>
    <font>
      <sz val="11"/>
      <color rgb="FF1F1F1F"/>
      <name val="Lexend"/>
    </font>
    <font>
      <sz val="11"/>
      <color rgb="FF1F1F1F"/>
      <name val="ElsevierGulliver"/>
    </font>
    <font>
      <b/>
      <sz val="11"/>
      <color rgb="FF1F1F1F"/>
      <name val="Lexend"/>
    </font>
    <font>
      <sz val="10"/>
      <color theme="1"/>
      <name val="Calibri"/>
      <family val="2"/>
      <scheme val="minor"/>
    </font>
    <font>
      <sz val="10"/>
      <color rgb="FF000000"/>
      <name val="Calibri"/>
      <family val="2"/>
    </font>
    <font>
      <b/>
      <sz val="13"/>
      <color rgb="FF000000"/>
      <name val="Calibri"/>
      <family val="2"/>
    </font>
    <font>
      <b/>
      <sz val="13"/>
      <color rgb="FFFFFFFF"/>
      <name val="Calibri"/>
      <family val="2"/>
    </font>
    <font>
      <b/>
      <sz val="11"/>
      <color rgb="FF000000"/>
      <name val="Calibri"/>
      <family val="2"/>
    </font>
    <font>
      <sz val="11"/>
      <color rgb="FF000000"/>
      <name val="Calibri"/>
      <family val="2"/>
    </font>
    <font>
      <sz val="10"/>
      <color rgb="FFFFFFFF"/>
      <name val="Calibri"/>
      <family val="2"/>
      <scheme val="minor"/>
    </font>
    <font>
      <sz val="10"/>
      <color theme="1"/>
      <name val="Arial"/>
      <family val="2"/>
    </font>
    <font>
      <sz val="10"/>
      <color rgb="FF000000"/>
      <name val="Arial"/>
      <family val="2"/>
    </font>
  </fonts>
  <fills count="24">
    <fill>
      <patternFill patternType="none"/>
    </fill>
    <fill>
      <patternFill patternType="gray125"/>
    </fill>
    <fill>
      <patternFill patternType="solid">
        <fgColor theme="2"/>
        <bgColor indexed="64"/>
      </patternFill>
    </fill>
    <fill>
      <patternFill patternType="solid">
        <fgColor rgb="FF002060"/>
        <bgColor indexed="64"/>
      </patternFill>
    </fill>
    <fill>
      <patternFill patternType="solid">
        <fgColor theme="0" tint="-4.9989318521683403E-2"/>
        <bgColor indexed="64"/>
      </patternFill>
    </fill>
    <fill>
      <patternFill patternType="gray0625">
        <bgColor theme="0" tint="-0.24994659260841701"/>
      </patternFill>
    </fill>
    <fill>
      <patternFill patternType="lightTrellis">
        <bgColor theme="5" tint="0.59996337778862885"/>
      </patternFill>
    </fill>
    <fill>
      <patternFill patternType="darkHorizontal">
        <bgColor rgb="FF642100"/>
      </patternFill>
    </fill>
    <fill>
      <patternFill patternType="solid">
        <fgColor rgb="FF002060"/>
        <bgColor rgb="FF002060"/>
      </patternFill>
    </fill>
    <fill>
      <patternFill patternType="solid">
        <fgColor rgb="FFE7E6E6"/>
        <bgColor rgb="FFE7E6E6"/>
      </patternFill>
    </fill>
    <fill>
      <patternFill patternType="solid">
        <fgColor rgb="FFF2F2F2"/>
        <bgColor rgb="FFF2F2F2"/>
      </patternFill>
    </fill>
    <fill>
      <patternFill patternType="solid">
        <fgColor rgb="FFFFFF00"/>
        <bgColor indexed="64"/>
      </patternFill>
    </fill>
    <fill>
      <patternFill patternType="solid">
        <fgColor rgb="FF0B5394"/>
        <bgColor rgb="FF0B5394"/>
      </patternFill>
    </fill>
    <fill>
      <patternFill patternType="solid">
        <fgColor rgb="FFFFFFFF"/>
        <bgColor rgb="FFFFFFFF"/>
      </patternFill>
    </fill>
    <fill>
      <patternFill patternType="solid">
        <fgColor rgb="FF6D9EEB"/>
        <bgColor rgb="FF6D9EEB"/>
      </patternFill>
    </fill>
    <fill>
      <patternFill patternType="solid">
        <fgColor rgb="FFFFF2CC"/>
        <bgColor rgb="FFFFF2CC"/>
      </patternFill>
    </fill>
    <fill>
      <patternFill patternType="solid">
        <fgColor rgb="FF434343"/>
        <bgColor rgb="FF434343"/>
      </patternFill>
    </fill>
    <fill>
      <patternFill patternType="solid">
        <fgColor rgb="FFCCCCCC"/>
        <bgColor rgb="FFCCCCCC"/>
      </patternFill>
    </fill>
    <fill>
      <patternFill patternType="solid">
        <fgColor rgb="FFEAD1DC"/>
        <bgColor rgb="FFEAD1DC"/>
      </patternFill>
    </fill>
    <fill>
      <patternFill patternType="solid">
        <fgColor rgb="FFA64D79"/>
        <bgColor rgb="FFA64D79"/>
      </patternFill>
    </fill>
    <fill>
      <patternFill patternType="solid">
        <fgColor rgb="FFEA9999"/>
        <bgColor rgb="FFEA9999"/>
      </patternFill>
    </fill>
    <fill>
      <patternFill patternType="solid">
        <fgColor rgb="FFA2C4C9"/>
        <bgColor rgb="FFA2C4C9"/>
      </patternFill>
    </fill>
    <fill>
      <patternFill patternType="solid">
        <fgColor rgb="FFFFE599"/>
        <bgColor rgb="FFFFE599"/>
      </patternFill>
    </fill>
    <fill>
      <patternFill patternType="solid">
        <fgColor rgb="FFF9CB9C"/>
        <bgColor rgb="FFF9CB9C"/>
      </patternFill>
    </fill>
  </fills>
  <borders count="62">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n">
        <color rgb="FF000000"/>
      </left>
      <right/>
      <top/>
      <bottom style="thin">
        <color rgb="FF000000"/>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top/>
      <bottom/>
      <diagonal/>
    </border>
    <border>
      <left style="thin">
        <color rgb="FF000000"/>
      </left>
      <right style="thin">
        <color rgb="FF000000"/>
      </right>
      <top/>
      <bottom style="thin">
        <color rgb="FF000000"/>
      </bottom>
      <diagonal/>
    </border>
    <border>
      <left style="thick">
        <color rgb="FFFFFFFF"/>
      </left>
      <right style="thick">
        <color rgb="FFFFFFFF"/>
      </right>
      <top style="thick">
        <color rgb="FFFFFFFF"/>
      </top>
      <bottom style="thick">
        <color rgb="FFFFFFFF"/>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ck">
        <color rgb="FFFFFFFF"/>
      </right>
      <top style="thick">
        <color rgb="FFFFFFFF"/>
      </top>
      <bottom style="thick">
        <color rgb="FFFFFFFF"/>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s>
  <cellStyleXfs count="2">
    <xf numFmtId="0" fontId="0" fillId="0" borderId="0"/>
    <xf numFmtId="9" fontId="1" fillId="0" borderId="0" applyFont="0" applyFill="0" applyBorder="0" applyAlignment="0" applyProtection="0"/>
  </cellStyleXfs>
  <cellXfs count="342">
    <xf numFmtId="0" fontId="0" fillId="0" borderId="0" xfId="0"/>
    <xf numFmtId="9" fontId="0" fillId="0" borderId="0" xfId="1" applyFont="1"/>
    <xf numFmtId="0" fontId="2" fillId="0" borderId="0" xfId="0" applyFont="1"/>
    <xf numFmtId="0" fontId="0" fillId="0" borderId="1" xfId="0" applyBorder="1"/>
    <xf numFmtId="0" fontId="0" fillId="0" borderId="7" xfId="0" applyBorder="1"/>
    <xf numFmtId="0" fontId="0" fillId="0" borderId="8" xfId="0" applyBorder="1"/>
    <xf numFmtId="0" fontId="3" fillId="3" borderId="3" xfId="0" applyFont="1" applyFill="1" applyBorder="1" applyAlignment="1">
      <alignment horizontal="center" vertical="center"/>
    </xf>
    <xf numFmtId="0" fontId="3" fillId="3" borderId="2" xfId="0" applyFont="1" applyFill="1" applyBorder="1" applyAlignment="1">
      <alignment horizontal="center" vertical="center"/>
    </xf>
    <xf numFmtId="1" fontId="0" fillId="2" borderId="4" xfId="0" applyNumberFormat="1" applyFill="1" applyBorder="1" applyAlignment="1">
      <alignment horizontal="center" vertical="center"/>
    </xf>
    <xf numFmtId="164" fontId="0" fillId="0" borderId="6" xfId="1" applyNumberFormat="1" applyFont="1" applyBorder="1" applyAlignment="1">
      <alignment horizontal="center" vertical="center"/>
    </xf>
    <xf numFmtId="164" fontId="0" fillId="0" borderId="2" xfId="1" applyNumberFormat="1" applyFont="1" applyBorder="1" applyAlignment="1">
      <alignment horizontal="center" vertical="center"/>
    </xf>
    <xf numFmtId="14" fontId="0" fillId="0" borderId="9" xfId="0" applyNumberForma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14" fontId="0" fillId="0" borderId="10" xfId="0" applyNumberFormat="1" applyBorder="1" applyAlignment="1">
      <alignment horizontal="center"/>
    </xf>
    <xf numFmtId="0" fontId="0" fillId="0" borderId="0" xfId="0" applyAlignment="1">
      <alignment horizontal="center"/>
    </xf>
    <xf numFmtId="0" fontId="0" fillId="0" borderId="1" xfId="0" applyBorder="1" applyAlignment="1">
      <alignment horizontal="center"/>
    </xf>
    <xf numFmtId="14" fontId="0" fillId="0" borderId="9" xfId="0" applyNumberFormat="1" applyBorder="1" applyAlignment="1">
      <alignment horizontal="center" vertical="center"/>
    </xf>
    <xf numFmtId="1" fontId="0" fillId="2" borderId="5" xfId="0" applyNumberFormat="1" applyFill="1" applyBorder="1" applyAlignment="1">
      <alignment horizontal="center" vertical="center"/>
    </xf>
    <xf numFmtId="14" fontId="0" fillId="0" borderId="6" xfId="0" applyNumberFormat="1" applyBorder="1" applyAlignment="1">
      <alignment horizontal="center" vertical="center"/>
    </xf>
    <xf numFmtId="164" fontId="0" fillId="0" borderId="3" xfId="1" applyNumberFormat="1" applyFont="1" applyBorder="1" applyAlignment="1">
      <alignment horizontal="center" vertical="center"/>
    </xf>
    <xf numFmtId="0" fontId="0" fillId="0" borderId="6" xfId="0" applyBorder="1"/>
    <xf numFmtId="0" fontId="0" fillId="0" borderId="3" xfId="0" applyBorder="1"/>
    <xf numFmtId="0" fontId="0" fillId="0" borderId="14" xfId="0" applyBorder="1"/>
    <xf numFmtId="0" fontId="0" fillId="0" borderId="5" xfId="0" applyBorder="1"/>
    <xf numFmtId="1" fontId="0" fillId="0" borderId="0" xfId="0" applyNumberFormat="1"/>
    <xf numFmtId="0" fontId="0" fillId="4" borderId="0" xfId="0" applyFill="1"/>
    <xf numFmtId="0" fontId="0" fillId="4" borderId="11" xfId="0" applyFill="1" applyBorder="1"/>
    <xf numFmtId="1" fontId="0" fillId="0" borderId="0" xfId="1" applyNumberFormat="1" applyFont="1"/>
    <xf numFmtId="2" fontId="0" fillId="0" borderId="10" xfId="0" applyNumberFormat="1" applyBorder="1"/>
    <xf numFmtId="2" fontId="0" fillId="0" borderId="0" xfId="0" applyNumberFormat="1"/>
    <xf numFmtId="164" fontId="0" fillId="0" borderId="0" xfId="1" applyNumberFormat="1" applyFont="1"/>
    <xf numFmtId="0" fontId="4" fillId="0" borderId="0" xfId="0" applyFont="1"/>
    <xf numFmtId="0" fontId="0" fillId="0" borderId="9" xfId="0" applyBorder="1"/>
    <xf numFmtId="166" fontId="0" fillId="0" borderId="8" xfId="0" applyNumberFormat="1" applyBorder="1"/>
    <xf numFmtId="2" fontId="0" fillId="0" borderId="9" xfId="0" applyNumberFormat="1" applyBorder="1"/>
    <xf numFmtId="2" fontId="0" fillId="0" borderId="15" xfId="0" applyNumberFormat="1" applyBorder="1"/>
    <xf numFmtId="9" fontId="0" fillId="0" borderId="0" xfId="1" applyFont="1" applyBorder="1"/>
    <xf numFmtId="0" fontId="9" fillId="0" borderId="8" xfId="0" applyFont="1" applyBorder="1"/>
    <xf numFmtId="167" fontId="0" fillId="0" borderId="8" xfId="0" applyNumberFormat="1" applyBorder="1"/>
    <xf numFmtId="169" fontId="0" fillId="0" borderId="10" xfId="0" applyNumberFormat="1" applyBorder="1"/>
    <xf numFmtId="0" fontId="12" fillId="8" borderId="19" xfId="0" applyFont="1" applyFill="1" applyBorder="1" applyAlignment="1">
      <alignment horizontal="center" vertical="center"/>
    </xf>
    <xf numFmtId="0" fontId="14" fillId="0" borderId="20" xfId="0" applyFont="1" applyBorder="1"/>
    <xf numFmtId="0" fontId="12" fillId="8" borderId="24" xfId="0" applyFont="1" applyFill="1" applyBorder="1" applyAlignment="1">
      <alignment horizontal="center" vertical="center"/>
    </xf>
    <xf numFmtId="14" fontId="14" fillId="0" borderId="25" xfId="0" applyNumberFormat="1" applyFont="1" applyBorder="1" applyAlignment="1">
      <alignment horizontal="center"/>
    </xf>
    <xf numFmtId="0" fontId="14" fillId="0" borderId="26" xfId="0" applyFont="1" applyBorder="1" applyAlignment="1">
      <alignment horizontal="center"/>
    </xf>
    <xf numFmtId="0" fontId="14" fillId="0" borderId="27" xfId="0" applyFont="1" applyBorder="1" applyAlignment="1">
      <alignment horizontal="center"/>
    </xf>
    <xf numFmtId="14" fontId="14" fillId="0" borderId="28" xfId="0" applyNumberFormat="1" applyFont="1" applyBorder="1" applyAlignment="1">
      <alignment horizontal="center"/>
    </xf>
    <xf numFmtId="0" fontId="14" fillId="0" borderId="0" xfId="0" applyFont="1" applyAlignment="1">
      <alignment horizontal="center"/>
    </xf>
    <xf numFmtId="0" fontId="14" fillId="0" borderId="29" xfId="0" applyFont="1" applyBorder="1" applyAlignment="1">
      <alignment horizontal="center"/>
    </xf>
    <xf numFmtId="14" fontId="14" fillId="0" borderId="25" xfId="0" applyNumberFormat="1" applyFont="1" applyBorder="1" applyAlignment="1">
      <alignment horizontal="center" vertical="center"/>
    </xf>
    <xf numFmtId="1" fontId="14" fillId="9" borderId="26" xfId="0" applyNumberFormat="1" applyFont="1" applyFill="1" applyBorder="1" applyAlignment="1">
      <alignment horizontal="center" vertical="center"/>
    </xf>
    <xf numFmtId="1" fontId="14" fillId="9" borderId="27" xfId="0" applyNumberFormat="1" applyFont="1" applyFill="1" applyBorder="1" applyAlignment="1">
      <alignment horizontal="center" vertical="center"/>
    </xf>
    <xf numFmtId="14" fontId="14" fillId="0" borderId="30" xfId="0" applyNumberFormat="1" applyFont="1" applyBorder="1" applyAlignment="1">
      <alignment horizontal="center" vertical="center"/>
    </xf>
    <xf numFmtId="164" fontId="14" fillId="0" borderId="30" xfId="0" applyNumberFormat="1" applyFont="1" applyBorder="1" applyAlignment="1">
      <alignment horizontal="center" vertical="center"/>
    </xf>
    <xf numFmtId="164" fontId="14" fillId="0" borderId="19" xfId="0" applyNumberFormat="1" applyFont="1" applyBorder="1" applyAlignment="1">
      <alignment horizontal="center" vertical="center"/>
    </xf>
    <xf numFmtId="164" fontId="14" fillId="0" borderId="24" xfId="0" applyNumberFormat="1" applyFont="1" applyBorder="1" applyAlignment="1">
      <alignment horizontal="center" vertical="center"/>
    </xf>
    <xf numFmtId="0" fontId="14" fillId="0" borderId="31" xfId="0" applyFont="1" applyBorder="1"/>
    <xf numFmtId="0" fontId="14" fillId="10" borderId="0" xfId="0" applyFont="1" applyFill="1"/>
    <xf numFmtId="0" fontId="1" fillId="0" borderId="0" xfId="0" applyFont="1"/>
    <xf numFmtId="0" fontId="14" fillId="0" borderId="28" xfId="0" applyFont="1" applyBorder="1"/>
    <xf numFmtId="168" fontId="14" fillId="0" borderId="28" xfId="0" applyNumberFormat="1" applyFont="1" applyBorder="1"/>
    <xf numFmtId="0" fontId="14" fillId="10" borderId="21" xfId="0" applyFont="1" applyFill="1" applyBorder="1"/>
    <xf numFmtId="2" fontId="14" fillId="0" borderId="20" xfId="0" applyNumberFormat="1" applyFont="1" applyBorder="1"/>
    <xf numFmtId="1" fontId="14" fillId="0" borderId="20" xfId="0" applyNumberFormat="1" applyFont="1" applyBorder="1"/>
    <xf numFmtId="9" fontId="14" fillId="0" borderId="20" xfId="0" applyNumberFormat="1" applyFont="1" applyBorder="1"/>
    <xf numFmtId="0" fontId="14" fillId="0" borderId="29" xfId="0" applyFont="1" applyBorder="1"/>
    <xf numFmtId="164" fontId="14" fillId="0" borderId="20" xfId="0" applyNumberFormat="1" applyFont="1" applyBorder="1"/>
    <xf numFmtId="10" fontId="14" fillId="0" borderId="20" xfId="0" applyNumberFormat="1" applyFont="1" applyBorder="1"/>
    <xf numFmtId="0" fontId="14" fillId="0" borderId="35" xfId="0" applyFont="1" applyBorder="1"/>
    <xf numFmtId="0" fontId="14" fillId="0" borderId="36" xfId="0" applyFont="1" applyBorder="1"/>
    <xf numFmtId="0" fontId="14" fillId="0" borderId="37" xfId="0" applyFont="1" applyBorder="1"/>
    <xf numFmtId="0" fontId="14" fillId="0" borderId="38" xfId="0" applyFont="1" applyBorder="1"/>
    <xf numFmtId="0" fontId="14" fillId="0" borderId="39" xfId="0" applyFont="1" applyBorder="1"/>
    <xf numFmtId="0" fontId="15" fillId="0" borderId="40" xfId="0" applyFont="1" applyBorder="1"/>
    <xf numFmtId="0" fontId="14" fillId="0" borderId="41" xfId="0" applyFont="1" applyBorder="1"/>
    <xf numFmtId="0" fontId="14" fillId="0" borderId="18" xfId="0" applyFont="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14" fillId="0" borderId="26" xfId="0" applyFont="1" applyBorder="1"/>
    <xf numFmtId="0" fontId="14" fillId="0" borderId="48" xfId="0" applyFont="1" applyBorder="1"/>
    <xf numFmtId="0" fontId="14" fillId="0" borderId="0" xfId="0" applyFont="1"/>
    <xf numFmtId="0" fontId="15" fillId="0" borderId="0" xfId="0" applyFont="1"/>
    <xf numFmtId="0" fontId="15" fillId="0" borderId="29" xfId="0" applyFont="1" applyBorder="1"/>
    <xf numFmtId="0" fontId="14" fillId="0" borderId="30" xfId="0" applyFont="1" applyBorder="1"/>
    <xf numFmtId="0" fontId="14" fillId="0" borderId="19" xfId="0" applyFont="1" applyBorder="1"/>
    <xf numFmtId="0" fontId="14" fillId="0" borderId="24" xfId="0" applyFont="1" applyBorder="1"/>
    <xf numFmtId="0" fontId="14" fillId="0" borderId="27" xfId="0" applyFont="1" applyBorder="1"/>
    <xf numFmtId="0" fontId="14" fillId="0" borderId="48" xfId="0" applyFont="1" applyBorder="1" applyAlignment="1">
      <alignment horizontal="center" vertical="center"/>
    </xf>
    <xf numFmtId="0" fontId="1" fillId="0" borderId="0" xfId="0" applyFont="1" applyAlignment="1">
      <alignment wrapText="1"/>
    </xf>
    <xf numFmtId="0" fontId="14" fillId="0" borderId="0" xfId="0" applyFont="1"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wrapText="1"/>
    </xf>
    <xf numFmtId="170" fontId="14" fillId="0" borderId="26" xfId="0" applyNumberFormat="1" applyFont="1" applyBorder="1"/>
    <xf numFmtId="0" fontId="14" fillId="0" borderId="8" xfId="0" applyFont="1" applyBorder="1"/>
    <xf numFmtId="2" fontId="14" fillId="0" borderId="0" xfId="0" applyNumberFormat="1" applyFont="1" applyAlignment="1">
      <alignment horizontal="center" vertical="center"/>
    </xf>
    <xf numFmtId="0" fontId="14" fillId="0" borderId="0" xfId="0" applyFont="1" applyAlignment="1">
      <alignment wrapText="1"/>
    </xf>
    <xf numFmtId="0" fontId="1" fillId="0" borderId="0" xfId="0" applyFont="1" applyAlignment="1">
      <alignment horizontal="center" vertical="center" wrapText="1"/>
    </xf>
    <xf numFmtId="0" fontId="14" fillId="0" borderId="0" xfId="0" applyFont="1" applyAlignment="1">
      <alignment horizontal="right"/>
    </xf>
    <xf numFmtId="0" fontId="19" fillId="11" borderId="8" xfId="0" applyFont="1" applyFill="1" applyBorder="1" applyAlignment="1">
      <alignment horizontal="center"/>
    </xf>
    <xf numFmtId="9" fontId="14" fillId="0" borderId="0" xfId="0" applyNumberFormat="1" applyFont="1" applyAlignment="1">
      <alignment horizontal="right"/>
    </xf>
    <xf numFmtId="10" fontId="19" fillId="0" borderId="8" xfId="0" applyNumberFormat="1" applyFont="1" applyBorder="1" applyAlignment="1">
      <alignment horizontal="center"/>
    </xf>
    <xf numFmtId="0" fontId="14" fillId="0" borderId="14" xfId="0" applyFont="1" applyBorder="1"/>
    <xf numFmtId="0" fontId="14" fillId="0" borderId="4" xfId="0" applyFont="1" applyBorder="1"/>
    <xf numFmtId="0" fontId="14" fillId="0" borderId="5" xfId="0" applyFont="1" applyBorder="1"/>
    <xf numFmtId="0" fontId="14" fillId="0" borderId="11" xfId="0" applyFont="1" applyBorder="1"/>
    <xf numFmtId="4" fontId="0" fillId="0" borderId="11" xfId="0" applyNumberFormat="1" applyBorder="1"/>
    <xf numFmtId="4" fontId="0" fillId="0" borderId="13" xfId="0" applyNumberFormat="1" applyBorder="1"/>
    <xf numFmtId="4" fontId="0" fillId="0" borderId="8" xfId="0" applyNumberFormat="1" applyBorder="1"/>
    <xf numFmtId="9" fontId="14" fillId="0" borderId="7" xfId="1" applyFont="1" applyBorder="1" applyAlignment="1"/>
    <xf numFmtId="0" fontId="14" fillId="0" borderId="7" xfId="0" applyFont="1" applyBorder="1"/>
    <xf numFmtId="0" fontId="14" fillId="0" borderId="1" xfId="0" applyFont="1" applyBorder="1"/>
    <xf numFmtId="4" fontId="0" fillId="0" borderId="10" xfId="0" applyNumberFormat="1" applyBorder="1"/>
    <xf numFmtId="164" fontId="14" fillId="0" borderId="0" xfId="0" applyNumberFormat="1" applyFont="1" applyAlignment="1">
      <alignment horizontal="right"/>
    </xf>
    <xf numFmtId="171" fontId="14" fillId="0" borderId="0" xfId="0" applyNumberFormat="1" applyFont="1" applyAlignment="1">
      <alignment horizontal="right"/>
    </xf>
    <xf numFmtId="2" fontId="14" fillId="0" borderId="0" xfId="0" applyNumberFormat="1" applyFont="1" applyAlignment="1">
      <alignment horizontal="right"/>
    </xf>
    <xf numFmtId="0" fontId="14" fillId="0" borderId="8" xfId="0" applyFont="1" applyBorder="1" applyAlignment="1">
      <alignment horizontal="right"/>
    </xf>
    <xf numFmtId="0" fontId="1" fillId="0" borderId="8" xfId="0" applyFont="1" applyBorder="1"/>
    <xf numFmtId="2" fontId="1" fillId="0" borderId="8" xfId="0" applyNumberFormat="1" applyFont="1" applyBorder="1"/>
    <xf numFmtId="4" fontId="1" fillId="0" borderId="8" xfId="0" applyNumberFormat="1" applyFont="1" applyBorder="1"/>
    <xf numFmtId="4" fontId="14" fillId="0" borderId="8" xfId="0" applyNumberFormat="1" applyFont="1" applyBorder="1" applyAlignment="1">
      <alignment horizontal="right"/>
    </xf>
    <xf numFmtId="4" fontId="14" fillId="0" borderId="0" xfId="0" applyNumberFormat="1" applyFont="1"/>
    <xf numFmtId="0" fontId="20" fillId="0" borderId="0" xfId="0" applyFont="1"/>
    <xf numFmtId="0" fontId="21" fillId="0" borderId="0" xfId="0" applyFont="1" applyAlignment="1">
      <alignment horizontal="center" vertical="center"/>
    </xf>
    <xf numFmtId="1" fontId="22" fillId="0" borderId="0" xfId="0" applyNumberFormat="1" applyFont="1"/>
    <xf numFmtId="9" fontId="14" fillId="0" borderId="6" xfId="1" applyFont="1" applyBorder="1" applyAlignment="1"/>
    <xf numFmtId="0" fontId="14" fillId="0" borderId="6" xfId="0" applyFont="1" applyBorder="1"/>
    <xf numFmtId="0" fontId="14" fillId="0" borderId="3" xfId="0" applyFont="1" applyBorder="1"/>
    <xf numFmtId="4" fontId="0" fillId="0" borderId="15" xfId="0" applyNumberFormat="1" applyBorder="1"/>
    <xf numFmtId="170" fontId="1" fillId="0" borderId="0" xfId="0" applyNumberFormat="1" applyFont="1"/>
    <xf numFmtId="0" fontId="1" fillId="0" borderId="48" xfId="0" applyFont="1" applyBorder="1"/>
    <xf numFmtId="2" fontId="1" fillId="0" borderId="0" xfId="0" applyNumberFormat="1" applyFont="1"/>
    <xf numFmtId="0" fontId="1" fillId="0" borderId="0" xfId="0" applyFont="1" applyAlignment="1">
      <alignment horizontal="center"/>
    </xf>
    <xf numFmtId="0" fontId="1" fillId="0" borderId="29" xfId="0" applyFont="1" applyBorder="1"/>
    <xf numFmtId="0" fontId="1" fillId="0" borderId="30" xfId="0" applyFont="1" applyBorder="1"/>
    <xf numFmtId="0" fontId="1" fillId="0" borderId="19" xfId="0" applyFont="1" applyBorder="1"/>
    <xf numFmtId="0" fontId="1" fillId="0" borderId="24" xfId="0" applyFont="1" applyBorder="1"/>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1" fillId="0" borderId="19" xfId="0" applyFont="1" applyBorder="1" applyAlignment="1">
      <alignment wrapText="1"/>
    </xf>
    <xf numFmtId="0" fontId="14" fillId="0" borderId="19" xfId="0" applyFont="1" applyBorder="1" applyAlignment="1">
      <alignment horizontal="center" vertical="center"/>
    </xf>
    <xf numFmtId="0" fontId="14" fillId="0" borderId="24" xfId="0" applyFont="1" applyBorder="1" applyAlignment="1">
      <alignment horizontal="center" vertical="center"/>
    </xf>
    <xf numFmtId="2" fontId="14" fillId="0" borderId="48" xfId="0" applyNumberFormat="1" applyFont="1" applyBorder="1" applyAlignment="1">
      <alignment horizontal="center" vertical="center"/>
    </xf>
    <xf numFmtId="0" fontId="17" fillId="0" borderId="0" xfId="0" applyFont="1" applyAlignment="1">
      <alignment horizontal="center"/>
    </xf>
    <xf numFmtId="170" fontId="1" fillId="0" borderId="0" xfId="0" applyNumberFormat="1" applyFont="1" applyAlignment="1">
      <alignment horizontal="center" vertical="center"/>
    </xf>
    <xf numFmtId="1" fontId="14" fillId="0" borderId="29" xfId="0" applyNumberFormat="1" applyFont="1" applyBorder="1" applyAlignment="1">
      <alignment horizontal="center" vertical="center"/>
    </xf>
    <xf numFmtId="0" fontId="1" fillId="0" borderId="19" xfId="0" applyFont="1" applyBorder="1" applyAlignment="1">
      <alignment horizontal="center" vertical="center" wrapText="1"/>
    </xf>
    <xf numFmtId="1" fontId="1" fillId="0" borderId="19" xfId="0" applyNumberFormat="1" applyFont="1" applyBorder="1" applyAlignment="1">
      <alignment horizontal="center" vertical="center"/>
    </xf>
    <xf numFmtId="0" fontId="1" fillId="0" borderId="19" xfId="0" applyFont="1" applyBorder="1" applyAlignment="1">
      <alignment horizontal="center" vertical="center"/>
    </xf>
    <xf numFmtId="1" fontId="14" fillId="0" borderId="24" xfId="0" applyNumberFormat="1" applyFont="1" applyBorder="1" applyAlignment="1">
      <alignment horizontal="center" vertical="center"/>
    </xf>
    <xf numFmtId="0" fontId="14" fillId="0" borderId="19" xfId="0" applyFont="1" applyBorder="1" applyAlignment="1">
      <alignment horizontal="center"/>
    </xf>
    <xf numFmtId="0" fontId="14" fillId="0" borderId="24" xfId="0" applyFont="1" applyBorder="1" applyAlignment="1">
      <alignment horizontal="center"/>
    </xf>
    <xf numFmtId="0" fontId="14" fillId="0" borderId="21" xfId="0" applyFont="1" applyBorder="1" applyAlignment="1">
      <alignment horizontal="center" vertical="center"/>
    </xf>
    <xf numFmtId="0" fontId="14" fillId="0" borderId="22" xfId="0" applyFont="1" applyBorder="1" applyAlignment="1">
      <alignment horizontal="center"/>
    </xf>
    <xf numFmtId="0" fontId="14" fillId="0" borderId="23" xfId="0" applyFont="1" applyBorder="1" applyAlignment="1">
      <alignment horizontal="center"/>
    </xf>
    <xf numFmtId="0" fontId="14" fillId="0" borderId="29" xfId="0" applyFont="1" applyBorder="1" applyAlignment="1">
      <alignment horizontal="center" vertical="center" wrapText="1"/>
    </xf>
    <xf numFmtId="2" fontId="14" fillId="0" borderId="30" xfId="0" applyNumberFormat="1" applyFont="1" applyBorder="1" applyAlignment="1">
      <alignment horizontal="center" vertical="center"/>
    </xf>
    <xf numFmtId="0" fontId="14" fillId="0" borderId="19" xfId="0" applyFont="1" applyBorder="1" applyAlignment="1">
      <alignment horizontal="center" vertical="center" wrapText="1"/>
    </xf>
    <xf numFmtId="0" fontId="14" fillId="0" borderId="24" xfId="0" applyFont="1" applyBorder="1" applyAlignment="1">
      <alignment horizontal="center" vertical="center" wrapText="1"/>
    </xf>
    <xf numFmtId="2" fontId="14" fillId="0" borderId="26" xfId="0" applyNumberFormat="1" applyFont="1" applyBorder="1"/>
    <xf numFmtId="0" fontId="21" fillId="0" borderId="20" xfId="0" applyFont="1" applyBorder="1" applyAlignment="1">
      <alignment horizontal="center" vertical="center"/>
    </xf>
    <xf numFmtId="1" fontId="22" fillId="0" borderId="20" xfId="0" applyNumberFormat="1" applyFont="1" applyBorder="1"/>
    <xf numFmtId="1" fontId="1" fillId="0" borderId="0" xfId="0" applyNumberFormat="1" applyFont="1"/>
    <xf numFmtId="0" fontId="24" fillId="3" borderId="20" xfId="0" applyFont="1" applyFill="1" applyBorder="1"/>
    <xf numFmtId="0" fontId="25" fillId="8" borderId="20" xfId="0" applyFont="1" applyFill="1" applyBorder="1"/>
    <xf numFmtId="1" fontId="22" fillId="0" borderId="8" xfId="0" applyNumberFormat="1" applyFont="1" applyBorder="1" applyAlignment="1">
      <alignment horizontal="center" vertical="center" wrapText="1"/>
    </xf>
    <xf numFmtId="0" fontId="22" fillId="0" borderId="8" xfId="0" applyFont="1" applyBorder="1"/>
    <xf numFmtId="2" fontId="22" fillId="0" borderId="8" xfId="0" applyNumberFormat="1" applyFont="1" applyBorder="1" applyAlignment="1">
      <alignment horizontal="center" vertical="center" wrapText="1"/>
    </xf>
    <xf numFmtId="0" fontId="26" fillId="12" borderId="0" xfId="0" applyFont="1" applyFill="1" applyAlignment="1">
      <alignment horizontal="left" vertical="center"/>
    </xf>
    <xf numFmtId="0" fontId="25" fillId="14" borderId="0" xfId="0" applyFont="1" applyFill="1" applyAlignment="1">
      <alignment vertical="center"/>
    </xf>
    <xf numFmtId="0" fontId="27" fillId="0" borderId="0" xfId="0" applyFont="1"/>
    <xf numFmtId="0" fontId="0" fillId="0" borderId="0" xfId="0" applyAlignment="1">
      <alignment wrapText="1"/>
    </xf>
    <xf numFmtId="0" fontId="0" fillId="0" borderId="8" xfId="0" applyBorder="1" applyAlignment="1">
      <alignment wrapText="1"/>
    </xf>
    <xf numFmtId="0" fontId="0" fillId="0" borderId="8" xfId="0" applyBorder="1" applyAlignment="1">
      <alignment horizontal="right" wrapText="1"/>
    </xf>
    <xf numFmtId="10" fontId="0" fillId="0" borderId="8" xfId="0" applyNumberFormat="1" applyBorder="1" applyAlignment="1">
      <alignment horizontal="right" wrapText="1"/>
    </xf>
    <xf numFmtId="0" fontId="26" fillId="13" borderId="0" xfId="0" applyFont="1" applyFill="1" applyAlignment="1">
      <alignment horizontal="left" vertical="center"/>
    </xf>
    <xf numFmtId="0" fontId="27" fillId="0" borderId="22" xfId="0" applyFont="1" applyBorder="1"/>
    <xf numFmtId="0" fontId="28" fillId="0" borderId="0" xfId="0" applyFont="1"/>
    <xf numFmtId="0" fontId="29" fillId="0" borderId="0" xfId="0" applyFont="1" applyAlignment="1">
      <alignment horizontal="center" vertical="center"/>
    </xf>
    <xf numFmtId="0" fontId="29" fillId="0" borderId="20" xfId="0" applyFont="1" applyBorder="1" applyAlignment="1">
      <alignment horizontal="center" vertical="center"/>
    </xf>
    <xf numFmtId="0" fontId="29" fillId="0" borderId="20" xfId="0" applyFont="1" applyBorder="1" applyAlignment="1">
      <alignment horizontal="center" vertical="center" wrapText="1"/>
    </xf>
    <xf numFmtId="0" fontId="1" fillId="0" borderId="0" xfId="0" applyFont="1" applyAlignment="1">
      <alignment vertical="center"/>
    </xf>
    <xf numFmtId="0" fontId="29" fillId="0" borderId="0" xfId="0" applyFont="1" applyAlignment="1">
      <alignment horizontal="center" vertical="center" wrapText="1"/>
    </xf>
    <xf numFmtId="0" fontId="27" fillId="0" borderId="0" xfId="0" applyFont="1" applyAlignment="1">
      <alignment horizontal="left" vertical="center"/>
    </xf>
    <xf numFmtId="0" fontId="27" fillId="0" borderId="20" xfId="0" applyFont="1" applyBorder="1" applyAlignment="1">
      <alignment horizontal="center" vertical="center" wrapText="1"/>
    </xf>
    <xf numFmtId="0" fontId="27" fillId="0" borderId="20" xfId="0" applyFont="1" applyBorder="1" applyAlignment="1">
      <alignment horizontal="center" vertical="center"/>
    </xf>
    <xf numFmtId="0" fontId="27" fillId="0" borderId="0" xfId="0" applyFont="1" applyAlignment="1">
      <alignment horizontal="center" vertical="center" wrapText="1"/>
    </xf>
    <xf numFmtId="0" fontId="27" fillId="0" borderId="0" xfId="0" applyFont="1" applyAlignment="1">
      <alignment horizontal="center" vertical="center"/>
    </xf>
    <xf numFmtId="0" fontId="30" fillId="0" borderId="0" xfId="0" applyFont="1"/>
    <xf numFmtId="0" fontId="24" fillId="15" borderId="25" xfId="0" applyFont="1" applyFill="1" applyBorder="1" applyAlignment="1">
      <alignment horizontal="center" vertical="center" wrapText="1"/>
    </xf>
    <xf numFmtId="0" fontId="31" fillId="13" borderId="0" xfId="0" applyFont="1" applyFill="1" applyAlignment="1">
      <alignment horizontal="center" vertical="center"/>
    </xf>
    <xf numFmtId="0" fontId="30" fillId="13" borderId="0" xfId="0" applyFont="1" applyFill="1"/>
    <xf numFmtId="0" fontId="32" fillId="15" borderId="20" xfId="0" applyFont="1" applyFill="1" applyBorder="1" applyAlignment="1">
      <alignment horizontal="center" vertical="center"/>
    </xf>
    <xf numFmtId="0" fontId="33" fillId="13" borderId="0" xfId="0" applyFont="1" applyFill="1" applyAlignment="1">
      <alignment horizontal="center" vertical="center"/>
    </xf>
    <xf numFmtId="0" fontId="1" fillId="13" borderId="0" xfId="0" applyFont="1" applyFill="1"/>
    <xf numFmtId="0" fontId="35" fillId="13" borderId="20" xfId="0" applyFont="1" applyFill="1" applyBorder="1" applyAlignment="1">
      <alignment horizontal="center" vertical="center" wrapText="1"/>
    </xf>
    <xf numFmtId="0" fontId="0" fillId="0" borderId="20" xfId="0" applyBorder="1" applyAlignment="1">
      <alignment vertical="center" wrapText="1"/>
    </xf>
    <xf numFmtId="0" fontId="31" fillId="13" borderId="20" xfId="0" applyFont="1" applyFill="1" applyBorder="1" applyAlignment="1">
      <alignment horizontal="center" vertical="center"/>
    </xf>
    <xf numFmtId="2" fontId="31" fillId="13" borderId="20" xfId="0" applyNumberFormat="1" applyFont="1" applyFill="1" applyBorder="1" applyAlignment="1">
      <alignment horizontal="center" vertical="center"/>
    </xf>
    <xf numFmtId="170" fontId="31" fillId="13" borderId="20" xfId="0" applyNumberFormat="1" applyFont="1" applyFill="1" applyBorder="1" applyAlignment="1">
      <alignment horizontal="center" vertical="center"/>
    </xf>
    <xf numFmtId="0" fontId="25" fillId="16" borderId="50" xfId="0" applyFont="1" applyFill="1" applyBorder="1" applyAlignment="1">
      <alignment horizontal="center" vertical="center" wrapText="1"/>
    </xf>
    <xf numFmtId="0" fontId="36" fillId="16" borderId="50" xfId="0" applyFont="1" applyFill="1" applyBorder="1"/>
    <xf numFmtId="0" fontId="25" fillId="16" borderId="50" xfId="0" applyFont="1" applyFill="1" applyBorder="1" applyAlignment="1">
      <alignment horizontal="center" wrapText="1"/>
    </xf>
    <xf numFmtId="0" fontId="24" fillId="18" borderId="20" xfId="0" applyFont="1" applyFill="1" applyBorder="1" applyAlignment="1">
      <alignment vertical="center" wrapText="1"/>
    </xf>
    <xf numFmtId="0" fontId="24" fillId="18" borderId="20" xfId="0" applyFont="1" applyFill="1" applyBorder="1" applyAlignment="1">
      <alignment horizontal="center" vertical="center"/>
    </xf>
    <xf numFmtId="0" fontId="24" fillId="18" borderId="20" xfId="0" applyFont="1" applyFill="1" applyBorder="1" applyAlignment="1">
      <alignment horizontal="center"/>
    </xf>
    <xf numFmtId="10" fontId="24" fillId="18" borderId="20" xfId="0" applyNumberFormat="1" applyFont="1" applyFill="1" applyBorder="1" applyAlignment="1">
      <alignment horizontal="center" vertical="center"/>
    </xf>
    <xf numFmtId="0" fontId="25" fillId="19" borderId="20" xfId="0" applyFont="1" applyFill="1" applyBorder="1" applyAlignment="1">
      <alignment vertical="center" wrapText="1"/>
    </xf>
    <xf numFmtId="0" fontId="24" fillId="18" borderId="0" xfId="0" applyFont="1" applyFill="1"/>
    <xf numFmtId="10" fontId="24" fillId="18" borderId="0" xfId="0" applyNumberFormat="1" applyFont="1" applyFill="1"/>
    <xf numFmtId="172" fontId="24" fillId="18" borderId="0" xfId="0" applyNumberFormat="1" applyFont="1" applyFill="1"/>
    <xf numFmtId="0" fontId="25" fillId="19" borderId="0" xfId="0" applyFont="1" applyFill="1"/>
    <xf numFmtId="0" fontId="24" fillId="20" borderId="0" xfId="0" applyFont="1" applyFill="1"/>
    <xf numFmtId="172" fontId="24" fillId="20" borderId="0" xfId="0" applyNumberFormat="1" applyFont="1" applyFill="1"/>
    <xf numFmtId="171" fontId="24" fillId="20" borderId="0" xfId="0" applyNumberFormat="1" applyFont="1" applyFill="1"/>
    <xf numFmtId="0" fontId="24" fillId="21" borderId="0" xfId="0" applyFont="1" applyFill="1"/>
    <xf numFmtId="172" fontId="24" fillId="21" borderId="0" xfId="0" applyNumberFormat="1" applyFont="1" applyFill="1"/>
    <xf numFmtId="0" fontId="25" fillId="19" borderId="0" xfId="0" applyFont="1" applyFill="1" applyAlignment="1">
      <alignment horizontal="center"/>
    </xf>
    <xf numFmtId="0" fontId="37" fillId="0" borderId="0" xfId="0" applyFont="1"/>
    <xf numFmtId="0" fontId="37" fillId="0" borderId="20" xfId="0" applyFont="1" applyBorder="1"/>
    <xf numFmtId="0" fontId="37" fillId="0" borderId="20" xfId="0" applyFont="1" applyBorder="1" applyAlignment="1">
      <alignment horizontal="right"/>
    </xf>
    <xf numFmtId="2" fontId="37" fillId="0" borderId="20" xfId="0" applyNumberFormat="1" applyFont="1" applyBorder="1" applyAlignment="1">
      <alignment horizontal="right"/>
    </xf>
    <xf numFmtId="9" fontId="37" fillId="0" borderId="20" xfId="0" applyNumberFormat="1" applyFont="1" applyBorder="1" applyAlignment="1">
      <alignment horizontal="right"/>
    </xf>
    <xf numFmtId="0" fontId="37" fillId="0" borderId="20" xfId="0" applyFont="1" applyBorder="1" applyAlignment="1">
      <alignment wrapText="1"/>
    </xf>
    <xf numFmtId="0" fontId="37" fillId="22" borderId="0" xfId="0" applyFont="1" applyFill="1"/>
    <xf numFmtId="0" fontId="37" fillId="22" borderId="0" xfId="0" applyFont="1" applyFill="1" applyAlignment="1">
      <alignment wrapText="1"/>
    </xf>
    <xf numFmtId="164" fontId="37" fillId="23" borderId="0" xfId="0" applyNumberFormat="1" applyFont="1" applyFill="1" applyAlignment="1">
      <alignment horizontal="right"/>
    </xf>
    <xf numFmtId="171" fontId="37" fillId="23" borderId="0" xfId="0" applyNumberFormat="1" applyFont="1" applyFill="1" applyAlignment="1">
      <alignment horizontal="right"/>
    </xf>
    <xf numFmtId="171" fontId="37" fillId="23" borderId="0" xfId="0" applyNumberFormat="1" applyFont="1" applyFill="1"/>
    <xf numFmtId="0" fontId="38" fillId="13" borderId="20" xfId="0" applyFont="1" applyFill="1" applyBorder="1" applyAlignment="1">
      <alignment horizontal="right"/>
    </xf>
    <xf numFmtId="171" fontId="37" fillId="0" borderId="20" xfId="0" applyNumberFormat="1" applyFont="1" applyBorder="1" applyAlignment="1">
      <alignment horizontal="right"/>
    </xf>
    <xf numFmtId="0" fontId="37" fillId="15" borderId="54" xfId="0" applyFont="1" applyFill="1" applyBorder="1"/>
    <xf numFmtId="0" fontId="37" fillId="15" borderId="55" xfId="0" applyFont="1" applyFill="1" applyBorder="1" applyAlignment="1">
      <alignment wrapText="1"/>
    </xf>
    <xf numFmtId="0" fontId="37" fillId="15" borderId="55" xfId="0" applyFont="1" applyFill="1" applyBorder="1"/>
    <xf numFmtId="0" fontId="37" fillId="15" borderId="56" xfId="0" applyFont="1" applyFill="1" applyBorder="1"/>
    <xf numFmtId="0" fontId="37" fillId="15" borderId="57" xfId="0" applyFont="1" applyFill="1" applyBorder="1"/>
    <xf numFmtId="0" fontId="37" fillId="15" borderId="0" xfId="0" applyFont="1" applyFill="1"/>
    <xf numFmtId="0" fontId="37" fillId="15" borderId="58" xfId="0" applyFont="1" applyFill="1" applyBorder="1"/>
    <xf numFmtId="173" fontId="37" fillId="23" borderId="57" xfId="0" applyNumberFormat="1" applyFont="1" applyFill="1" applyBorder="1"/>
    <xf numFmtId="10" fontId="37" fillId="23" borderId="0" xfId="0" applyNumberFormat="1" applyFont="1" applyFill="1" applyAlignment="1">
      <alignment horizontal="right"/>
    </xf>
    <xf numFmtId="10" fontId="37" fillId="23" borderId="0" xfId="0" applyNumberFormat="1" applyFont="1" applyFill="1"/>
    <xf numFmtId="171" fontId="37" fillId="23" borderId="58" xfId="0" applyNumberFormat="1" applyFont="1" applyFill="1" applyBorder="1"/>
    <xf numFmtId="173" fontId="37" fillId="23" borderId="57" xfId="0" applyNumberFormat="1" applyFont="1" applyFill="1" applyBorder="1" applyAlignment="1">
      <alignment horizontal="right"/>
    </xf>
    <xf numFmtId="173" fontId="38" fillId="23" borderId="57" xfId="0" applyNumberFormat="1" applyFont="1" applyFill="1" applyBorder="1"/>
    <xf numFmtId="173" fontId="38" fillId="23" borderId="59" xfId="0" applyNumberFormat="1" applyFont="1" applyFill="1" applyBorder="1"/>
    <xf numFmtId="171" fontId="37" fillId="23" borderId="60" xfId="0" applyNumberFormat="1" applyFont="1" applyFill="1" applyBorder="1" applyAlignment="1">
      <alignment horizontal="right"/>
    </xf>
    <xf numFmtId="10" fontId="37" fillId="23" borderId="60" xfId="0" applyNumberFormat="1" applyFont="1" applyFill="1" applyBorder="1" applyAlignment="1">
      <alignment horizontal="right"/>
    </xf>
    <xf numFmtId="10" fontId="37" fillId="23" borderId="60" xfId="0" applyNumberFormat="1" applyFont="1" applyFill="1" applyBorder="1"/>
    <xf numFmtId="171" fontId="37" fillId="23" borderId="61" xfId="0" applyNumberFormat="1" applyFont="1" applyFill="1" applyBorder="1"/>
    <xf numFmtId="0" fontId="37" fillId="15" borderId="0" xfId="0" applyFont="1" applyFill="1" applyAlignment="1">
      <alignment wrapText="1"/>
    </xf>
    <xf numFmtId="173" fontId="37" fillId="23" borderId="0" xfId="0" applyNumberFormat="1" applyFont="1" applyFill="1"/>
    <xf numFmtId="173" fontId="38" fillId="23" borderId="0" xfId="0" applyNumberFormat="1" applyFont="1" applyFill="1"/>
    <xf numFmtId="171" fontId="37" fillId="0" borderId="0" xfId="0" applyNumberFormat="1" applyFont="1"/>
    <xf numFmtId="10" fontId="37" fillId="0" borderId="0" xfId="0" applyNumberFormat="1" applyFont="1"/>
    <xf numFmtId="0" fontId="4" fillId="4" borderId="0" xfId="0" applyFont="1" applyFill="1" applyAlignment="1">
      <alignment horizontal="left"/>
    </xf>
    <xf numFmtId="0" fontId="0" fillId="0" borderId="0" xfId="0"/>
    <xf numFmtId="0" fontId="0" fillId="0" borderId="1" xfId="0" applyBorder="1"/>
    <xf numFmtId="14" fontId="0" fillId="0" borderId="1" xfId="0" applyNumberFormat="1" applyBorder="1"/>
    <xf numFmtId="0" fontId="8" fillId="0" borderId="8" xfId="0" applyFont="1" applyBorder="1" applyAlignment="1">
      <alignment horizontal="center"/>
    </xf>
    <xf numFmtId="0" fontId="6" fillId="7" borderId="8" xfId="0" applyFont="1" applyFill="1" applyBorder="1" applyAlignment="1">
      <alignment horizontal="center" vertical="center"/>
    </xf>
    <xf numFmtId="0" fontId="7" fillId="5" borderId="8" xfId="0" applyFont="1" applyFill="1" applyBorder="1" applyAlignment="1">
      <alignment horizontal="center" vertical="center"/>
    </xf>
    <xf numFmtId="0" fontId="7" fillId="6" borderId="8" xfId="0" applyFont="1" applyFill="1" applyBorder="1" applyAlignment="1">
      <alignment horizontal="center" vertical="center"/>
    </xf>
    <xf numFmtId="0" fontId="7" fillId="0" borderId="8" xfId="0" applyFont="1" applyBorder="1" applyAlignment="1">
      <alignment horizontal="center" vertical="center"/>
    </xf>
    <xf numFmtId="2" fontId="0" fillId="4" borderId="11" xfId="0" applyNumberFormat="1" applyFill="1" applyBorder="1" applyAlignment="1">
      <alignment horizontal="left"/>
    </xf>
    <xf numFmtId="2" fontId="0" fillId="4" borderId="12" xfId="0" applyNumberFormat="1" applyFill="1" applyBorder="1" applyAlignment="1">
      <alignment horizontal="left"/>
    </xf>
    <xf numFmtId="2" fontId="0" fillId="4" borderId="13" xfId="0" applyNumberFormat="1" applyFill="1" applyBorder="1" applyAlignment="1">
      <alignment horizontal="left"/>
    </xf>
    <xf numFmtId="0" fontId="3" fillId="3" borderId="0" xfId="0" applyFont="1" applyFill="1" applyAlignment="1">
      <alignment horizontal="center" vertical="center"/>
    </xf>
    <xf numFmtId="169" fontId="0" fillId="0" borderId="8" xfId="0" applyNumberFormat="1" applyBorder="1" applyAlignment="1">
      <alignment horizontal="center"/>
    </xf>
    <xf numFmtId="1" fontId="0" fillId="0" borderId="8" xfId="0" applyNumberFormat="1" applyBorder="1" applyAlignment="1">
      <alignment horizontal="center"/>
    </xf>
    <xf numFmtId="0" fontId="0" fillId="0" borderId="8" xfId="0" applyBorder="1" applyAlignment="1">
      <alignment horizontal="center"/>
    </xf>
    <xf numFmtId="0" fontId="0" fillId="0" borderId="11" xfId="0" applyBorder="1"/>
    <xf numFmtId="0" fontId="0" fillId="0" borderId="12" xfId="0" applyBorder="1"/>
    <xf numFmtId="0" fontId="0" fillId="0" borderId="13" xfId="0" applyBorder="1"/>
    <xf numFmtId="0" fontId="3" fillId="3" borderId="2" xfId="0" applyFont="1" applyFill="1" applyBorder="1" applyAlignment="1">
      <alignment horizontal="center" vertical="center"/>
    </xf>
    <xf numFmtId="0" fontId="14" fillId="0" borderId="21" xfId="0" applyFont="1" applyBorder="1"/>
    <xf numFmtId="0" fontId="13" fillId="0" borderId="22" xfId="0" applyFont="1" applyBorder="1"/>
    <xf numFmtId="0" fontId="13" fillId="0" borderId="23" xfId="0" applyFont="1" applyBorder="1"/>
    <xf numFmtId="0" fontId="15" fillId="0" borderId="32" xfId="0" applyFont="1" applyBorder="1" applyAlignment="1">
      <alignment horizontal="center"/>
    </xf>
    <xf numFmtId="0" fontId="13" fillId="0" borderId="33" xfId="0" applyFont="1" applyBorder="1"/>
    <xf numFmtId="0" fontId="13" fillId="0" borderId="34" xfId="0" applyFont="1" applyBorder="1"/>
    <xf numFmtId="0" fontId="15" fillId="0" borderId="16" xfId="0" applyFont="1" applyBorder="1" applyAlignment="1">
      <alignment horizontal="left"/>
    </xf>
    <xf numFmtId="0" fontId="13" fillId="0" borderId="17" xfId="0" applyFont="1" applyBorder="1"/>
    <xf numFmtId="0" fontId="14" fillId="0" borderId="21" xfId="0" applyFont="1" applyBorder="1" applyAlignment="1">
      <alignment horizontal="left"/>
    </xf>
    <xf numFmtId="0" fontId="12" fillId="8" borderId="0" xfId="0" applyFont="1" applyFill="1" applyAlignment="1">
      <alignment horizontal="center" vertical="center"/>
    </xf>
    <xf numFmtId="0" fontId="13" fillId="0" borderId="0" xfId="0" applyFont="1"/>
    <xf numFmtId="0" fontId="14" fillId="0" borderId="21" xfId="0" applyFont="1" applyBorder="1" applyAlignment="1">
      <alignment horizontal="center"/>
    </xf>
    <xf numFmtId="14" fontId="14" fillId="0" borderId="21" xfId="0" applyNumberFormat="1" applyFont="1" applyBorder="1"/>
    <xf numFmtId="165" fontId="14" fillId="0" borderId="21" xfId="0" applyNumberFormat="1" applyFont="1" applyBorder="1" applyAlignment="1">
      <alignment horizontal="center"/>
    </xf>
    <xf numFmtId="1" fontId="14" fillId="0" borderId="21" xfId="0" applyNumberFormat="1" applyFont="1" applyBorder="1" applyAlignment="1">
      <alignment horizontal="center"/>
    </xf>
    <xf numFmtId="0" fontId="12" fillId="8" borderId="19" xfId="0" applyFont="1" applyFill="1" applyBorder="1" applyAlignment="1">
      <alignment horizontal="center" vertical="center"/>
    </xf>
    <xf numFmtId="0" fontId="13" fillId="0" borderId="19" xfId="0" applyFont="1" applyBorder="1"/>
    <xf numFmtId="2" fontId="14" fillId="10" borderId="21" xfId="0" applyNumberFormat="1" applyFont="1" applyFill="1" applyBorder="1" applyAlignment="1">
      <alignment horizontal="left"/>
    </xf>
    <xf numFmtId="0" fontId="1" fillId="0" borderId="0" xfId="0" applyFont="1" applyAlignment="1">
      <alignment wrapText="1"/>
    </xf>
    <xf numFmtId="0" fontId="1" fillId="0" borderId="19" xfId="0" applyFont="1" applyBorder="1" applyAlignment="1">
      <alignment wrapText="1"/>
    </xf>
    <xf numFmtId="0" fontId="1" fillId="0" borderId="22" xfId="0" applyFont="1" applyBorder="1" applyAlignment="1">
      <alignment wrapText="1"/>
    </xf>
    <xf numFmtId="0" fontId="14" fillId="0" borderId="26" xfId="0" applyFont="1" applyBorder="1" applyAlignment="1">
      <alignment horizontal="center"/>
    </xf>
    <xf numFmtId="0" fontId="13" fillId="0" borderId="26" xfId="0" applyFont="1" applyBorder="1"/>
    <xf numFmtId="0" fontId="15" fillId="0" borderId="48" xfId="0" applyFont="1" applyBorder="1" applyAlignment="1">
      <alignment horizontal="center"/>
    </xf>
    <xf numFmtId="0" fontId="15" fillId="0" borderId="0" xfId="0" applyFont="1" applyAlignment="1">
      <alignment horizontal="center"/>
    </xf>
    <xf numFmtId="0" fontId="15" fillId="10" borderId="0" xfId="0" applyFont="1" applyFill="1" applyAlignment="1">
      <alignment horizontal="center"/>
    </xf>
    <xf numFmtId="0" fontId="16" fillId="8" borderId="0" xfId="0" applyFont="1" applyFill="1" applyAlignment="1">
      <alignment horizontal="center" vertical="center"/>
    </xf>
    <xf numFmtId="0" fontId="14" fillId="0" borderId="26" xfId="0" applyFont="1" applyBorder="1" applyAlignment="1">
      <alignment wrapText="1"/>
    </xf>
    <xf numFmtId="0" fontId="13" fillId="0" borderId="27" xfId="0" applyFont="1" applyBorder="1"/>
    <xf numFmtId="0" fontId="13" fillId="0" borderId="29" xfId="0" applyFont="1" applyBorder="1"/>
    <xf numFmtId="0" fontId="1" fillId="0" borderId="0" xfId="0" applyFont="1" applyAlignment="1">
      <alignment vertical="center" wrapText="1"/>
    </xf>
    <xf numFmtId="0" fontId="14" fillId="0" borderId="19" xfId="0" applyFont="1" applyBorder="1" applyAlignment="1">
      <alignment wrapText="1"/>
    </xf>
    <xf numFmtId="0" fontId="14" fillId="0" borderId="0" xfId="0" applyFont="1" applyAlignment="1">
      <alignment wrapText="1"/>
    </xf>
    <xf numFmtId="0" fontId="22" fillId="0" borderId="8" xfId="0" applyFont="1" applyBorder="1" applyAlignment="1">
      <alignment horizontal="center" vertical="center" wrapText="1"/>
    </xf>
    <xf numFmtId="0" fontId="18" fillId="8" borderId="0" xfId="0" applyFont="1" applyFill="1" applyAlignment="1">
      <alignment horizontal="center"/>
    </xf>
    <xf numFmtId="0" fontId="23" fillId="8" borderId="0" xfId="0" applyFont="1" applyFill="1" applyAlignment="1">
      <alignment horizontal="center"/>
    </xf>
    <xf numFmtId="0" fontId="0" fillId="0" borderId="0" xfId="0" applyAlignment="1">
      <alignment horizontal="center" wrapText="1"/>
    </xf>
    <xf numFmtId="0" fontId="0" fillId="0" borderId="8" xfId="0" applyBorder="1" applyAlignment="1">
      <alignment horizontal="center" wrapText="1"/>
    </xf>
    <xf numFmtId="0" fontId="11" fillId="3" borderId="0" xfId="0" applyFont="1" applyFill="1" applyAlignment="1">
      <alignment horizontal="center" wrapText="1"/>
    </xf>
    <xf numFmtId="0" fontId="24" fillId="18" borderId="0" xfId="0" applyFont="1" applyFill="1" applyAlignment="1">
      <alignment horizontal="center"/>
    </xf>
    <xf numFmtId="0" fontId="34" fillId="17" borderId="21" xfId="0" applyFont="1" applyFill="1" applyBorder="1" applyAlignment="1">
      <alignment horizontal="center" vertical="center"/>
    </xf>
    <xf numFmtId="171" fontId="36" fillId="16" borderId="51" xfId="0" applyNumberFormat="1" applyFont="1" applyFill="1" applyBorder="1" applyAlignment="1">
      <alignment horizontal="center" vertical="center"/>
    </xf>
    <xf numFmtId="0" fontId="13" fillId="0" borderId="52" xfId="0" applyFont="1" applyBorder="1"/>
    <xf numFmtId="0" fontId="13" fillId="0" borderId="53" xfId="0" applyFont="1" applyBorder="1"/>
    <xf numFmtId="0" fontId="26" fillId="12" borderId="0" xfId="0" applyFont="1" applyFill="1" applyAlignment="1">
      <alignment horizontal="left" vertical="center"/>
    </xf>
    <xf numFmtId="0" fontId="25" fillId="14" borderId="0" xfId="0" applyFont="1" applyFill="1" applyAlignment="1">
      <alignment vertical="center"/>
    </xf>
    <xf numFmtId="172" fontId="25" fillId="19" borderId="21" xfId="0" applyNumberFormat="1" applyFont="1" applyFill="1" applyBorder="1" applyAlignment="1">
      <alignment horizontal="center" vertical="center"/>
    </xf>
    <xf numFmtId="172" fontId="25" fillId="19" borderId="0" xfId="0" applyNumberFormat="1" applyFont="1" applyFill="1" applyAlignment="1">
      <alignment horizontal="center"/>
    </xf>
    <xf numFmtId="0" fontId="33" fillId="16" borderId="21" xfId="0" applyFont="1" applyFill="1" applyBorder="1" applyAlignment="1">
      <alignment horizontal="center" vertical="center"/>
    </xf>
    <xf numFmtId="0" fontId="27" fillId="0" borderId="21" xfId="0" applyFont="1" applyBorder="1"/>
    <xf numFmtId="0" fontId="27" fillId="0" borderId="0" xfId="0" applyFont="1"/>
    <xf numFmtId="0" fontId="29" fillId="0" borderId="21" xfId="0" applyFont="1" applyBorder="1" applyAlignment="1">
      <alignment horizontal="center" vertical="center"/>
    </xf>
    <xf numFmtId="0" fontId="27" fillId="0" borderId="25" xfId="0" applyFont="1" applyBorder="1" applyAlignment="1">
      <alignment horizontal="center" vertical="center"/>
    </xf>
    <xf numFmtId="0" fontId="13" fillId="0" borderId="49" xfId="0" applyFont="1" applyBorder="1"/>
    <xf numFmtId="0" fontId="13" fillId="0" borderId="28" xfId="0" applyFont="1" applyBorder="1"/>
    <xf numFmtId="0" fontId="24" fillId="15" borderId="31" xfId="0" applyFont="1" applyFill="1" applyBorder="1" applyAlignment="1">
      <alignment horizontal="center" vertical="center" wrapText="1"/>
    </xf>
    <xf numFmtId="0" fontId="32" fillId="15" borderId="21" xfId="0" applyFont="1" applyFill="1" applyBorder="1" applyAlignment="1">
      <alignment horizontal="center" vertical="center"/>
    </xf>
    <xf numFmtId="0" fontId="33" fillId="16" borderId="30" xfId="0" applyFont="1" applyFill="1" applyBorder="1" applyAlignment="1">
      <alignment horizontal="center" vertical="center"/>
    </xf>
    <xf numFmtId="0" fontId="13" fillId="0" borderId="24" xfId="0" applyFont="1" applyBorder="1"/>
    <xf numFmtId="0" fontId="37" fillId="0" borderId="21" xfId="0" applyFont="1" applyBorder="1" applyAlignment="1">
      <alignment horizontal="center"/>
    </xf>
    <xf numFmtId="0" fontId="37" fillId="0" borderId="0" xfId="0" applyFont="1" applyAlignment="1">
      <alignment horizontal="center"/>
    </xf>
    <xf numFmtId="0" fontId="18" fillId="3" borderId="0" xfId="0" applyFont="1" applyFill="1" applyAlignment="1">
      <alignment horizontal="center"/>
    </xf>
    <xf numFmtId="0" fontId="18" fillId="3" borderId="2" xfId="0" applyFont="1" applyFill="1" applyBorder="1" applyAlignment="1">
      <alignment horizontal="center"/>
    </xf>
    <xf numFmtId="0" fontId="14" fillId="0" borderId="0" xfId="0" applyFont="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642100"/>
      <color rgb="FF822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1"/>
        <c:ser>
          <c:idx val="0"/>
          <c:order val="0"/>
          <c:spPr>
            <a:ln cmpd="sng">
              <a:solidFill>
                <a:srgbClr val="5B9BD5"/>
              </a:solidFill>
            </a:ln>
          </c:spPr>
          <c:marker>
            <c:symbol val="circle"/>
            <c:size val="10"/>
            <c:spPr>
              <a:solidFill>
                <a:srgbClr val="5B9BD5"/>
              </a:solidFill>
              <a:ln cmpd="sng">
                <a:solidFill>
                  <a:srgbClr val="5B9BD5"/>
                </a:solidFill>
              </a:ln>
            </c:spPr>
          </c:marker>
          <c:cat>
            <c:numRef>
              <c:f>'Sensitivity Analysis'!$L$12:$L$32</c:f>
              <c:numCache>
                <c:formatCode>0.0%</c:formatCode>
                <c:ptCount val="21"/>
                <c:pt idx="0">
                  <c:v>0.13</c:v>
                </c:pt>
                <c:pt idx="1">
                  <c:v>0.129</c:v>
                </c:pt>
                <c:pt idx="2">
                  <c:v>0.128</c:v>
                </c:pt>
                <c:pt idx="3">
                  <c:v>0.127</c:v>
                </c:pt>
                <c:pt idx="4">
                  <c:v>0.126</c:v>
                </c:pt>
                <c:pt idx="5">
                  <c:v>0.125</c:v>
                </c:pt>
                <c:pt idx="6">
                  <c:v>0.124</c:v>
                </c:pt>
                <c:pt idx="7">
                  <c:v>0.123</c:v>
                </c:pt>
                <c:pt idx="8">
                  <c:v>0.122</c:v>
                </c:pt>
                <c:pt idx="9">
                  <c:v>0.121</c:v>
                </c:pt>
                <c:pt idx="10">
                  <c:v>0.12</c:v>
                </c:pt>
                <c:pt idx="11">
                  <c:v>0.11899999999999999</c:v>
                </c:pt>
                <c:pt idx="12">
                  <c:v>0.11799999999999999</c:v>
                </c:pt>
                <c:pt idx="13">
                  <c:v>0.11700000000000001</c:v>
                </c:pt>
                <c:pt idx="14">
                  <c:v>0.11600000000000001</c:v>
                </c:pt>
                <c:pt idx="15">
                  <c:v>0.115</c:v>
                </c:pt>
                <c:pt idx="16">
                  <c:v>0.114</c:v>
                </c:pt>
                <c:pt idx="17">
                  <c:v>0.113</c:v>
                </c:pt>
                <c:pt idx="18">
                  <c:v>0.112</c:v>
                </c:pt>
                <c:pt idx="19">
                  <c:v>0.111</c:v>
                </c:pt>
                <c:pt idx="20">
                  <c:v>0.11</c:v>
                </c:pt>
              </c:numCache>
            </c:numRef>
          </c:cat>
          <c:val>
            <c:numRef>
              <c:f>'Sensitivity Analysis'!$M$12:$M$32</c:f>
              <c:numCache>
                <c:formatCode>"$"#,##0.00</c:formatCode>
                <c:ptCount val="21"/>
                <c:pt idx="0">
                  <c:v>-603270191.09568882</c:v>
                </c:pt>
                <c:pt idx="1">
                  <c:v>-594113069.82706785</c:v>
                </c:pt>
                <c:pt idx="2">
                  <c:v>-584968422.93157959</c:v>
                </c:pt>
                <c:pt idx="3">
                  <c:v>-575836463.82339358</c:v>
                </c:pt>
                <c:pt idx="4">
                  <c:v>-566717408.79856753</c:v>
                </c:pt>
                <c:pt idx="5">
                  <c:v>-557611477.04795432</c:v>
                </c:pt>
                <c:pt idx="6">
                  <c:v>-548518890.6692009</c:v>
                </c:pt>
                <c:pt idx="7">
                  <c:v>-539439874.67779541</c:v>
                </c:pt>
                <c:pt idx="8">
                  <c:v>-530374657.01712799</c:v>
                </c:pt>
                <c:pt idx="9">
                  <c:v>-521323468.56752348</c:v>
                </c:pt>
                <c:pt idx="10">
                  <c:v>-512286543.15420794</c:v>
                </c:pt>
                <c:pt idx="11">
                  <c:v>-503264117.55416799</c:v>
                </c:pt>
                <c:pt idx="12">
                  <c:v>-494256431.50186133</c:v>
                </c:pt>
                <c:pt idx="13">
                  <c:v>-485263727.69373703</c:v>
                </c:pt>
                <c:pt idx="14">
                  <c:v>-476286251.79152799</c:v>
                </c:pt>
                <c:pt idx="15">
                  <c:v>-467324252.42426562</c:v>
                </c:pt>
                <c:pt idx="16">
                  <c:v>-458377981.18897986</c:v>
                </c:pt>
                <c:pt idx="17">
                  <c:v>-449447692.65004182</c:v>
                </c:pt>
                <c:pt idx="18">
                  <c:v>-440533644.33709979</c:v>
                </c:pt>
                <c:pt idx="19">
                  <c:v>-431636096.74157286</c:v>
                </c:pt>
                <c:pt idx="20">
                  <c:v>-422755313.31165051</c:v>
                </c:pt>
              </c:numCache>
            </c:numRef>
          </c:val>
          <c:smooth val="0"/>
          <c:extLst>
            <c:ext xmlns:c16="http://schemas.microsoft.com/office/drawing/2014/chart" uri="{C3380CC4-5D6E-409C-BE32-E72D297353CC}">
              <c16:uniqueId val="{00000000-7315-42FC-BDBA-334550C42E83}"/>
            </c:ext>
          </c:extLst>
        </c:ser>
        <c:ser>
          <c:idx val="1"/>
          <c:order val="1"/>
          <c:spPr>
            <a:ln cmpd="sng">
              <a:solidFill>
                <a:srgbClr val="ED7D31"/>
              </a:solidFill>
            </a:ln>
          </c:spPr>
          <c:marker>
            <c:symbol val="circle"/>
            <c:size val="10"/>
            <c:spPr>
              <a:solidFill>
                <a:srgbClr val="ED7D31"/>
              </a:solidFill>
              <a:ln cmpd="sng">
                <a:solidFill>
                  <a:srgbClr val="ED7D31"/>
                </a:solidFill>
              </a:ln>
            </c:spPr>
          </c:marker>
          <c:cat>
            <c:numRef>
              <c:f>'Sensitivity Analysis'!$L$12:$L$32</c:f>
              <c:numCache>
                <c:formatCode>0.0%</c:formatCode>
                <c:ptCount val="21"/>
                <c:pt idx="0">
                  <c:v>0.13</c:v>
                </c:pt>
                <c:pt idx="1">
                  <c:v>0.129</c:v>
                </c:pt>
                <c:pt idx="2">
                  <c:v>0.128</c:v>
                </c:pt>
                <c:pt idx="3">
                  <c:v>0.127</c:v>
                </c:pt>
                <c:pt idx="4">
                  <c:v>0.126</c:v>
                </c:pt>
                <c:pt idx="5">
                  <c:v>0.125</c:v>
                </c:pt>
                <c:pt idx="6">
                  <c:v>0.124</c:v>
                </c:pt>
                <c:pt idx="7">
                  <c:v>0.123</c:v>
                </c:pt>
                <c:pt idx="8">
                  <c:v>0.122</c:v>
                </c:pt>
                <c:pt idx="9">
                  <c:v>0.121</c:v>
                </c:pt>
                <c:pt idx="10">
                  <c:v>0.12</c:v>
                </c:pt>
                <c:pt idx="11">
                  <c:v>0.11899999999999999</c:v>
                </c:pt>
                <c:pt idx="12">
                  <c:v>0.11799999999999999</c:v>
                </c:pt>
                <c:pt idx="13">
                  <c:v>0.11700000000000001</c:v>
                </c:pt>
                <c:pt idx="14">
                  <c:v>0.11600000000000001</c:v>
                </c:pt>
                <c:pt idx="15">
                  <c:v>0.115</c:v>
                </c:pt>
                <c:pt idx="16">
                  <c:v>0.114</c:v>
                </c:pt>
                <c:pt idx="17">
                  <c:v>0.113</c:v>
                </c:pt>
                <c:pt idx="18">
                  <c:v>0.112</c:v>
                </c:pt>
                <c:pt idx="19">
                  <c:v>0.111</c:v>
                </c:pt>
                <c:pt idx="20">
                  <c:v>0.11</c:v>
                </c:pt>
              </c:numCache>
            </c:numRef>
          </c:cat>
          <c:val>
            <c:numRef>
              <c:f>'Sensitivity Analysis'!$N$12:$N$32</c:f>
              <c:numCache>
                <c:formatCode>"$"#,##0.00</c:formatCode>
                <c:ptCount val="21"/>
                <c:pt idx="0">
                  <c:v>-224961487.78523588</c:v>
                </c:pt>
                <c:pt idx="1">
                  <c:v>-219538087.35405612</c:v>
                </c:pt>
                <c:pt idx="2">
                  <c:v>-214124748.24649012</c:v>
                </c:pt>
                <c:pt idx="3">
                  <c:v>-208721562.03731489</c:v>
                </c:pt>
                <c:pt idx="4">
                  <c:v>-203328620.74415612</c:v>
                </c:pt>
                <c:pt idx="5">
                  <c:v>-197946016.82130754</c:v>
                </c:pt>
                <c:pt idx="6">
                  <c:v>-192573843.1533463</c:v>
                </c:pt>
                <c:pt idx="7">
                  <c:v>-187212193.04854441</c:v>
                </c:pt>
                <c:pt idx="8">
                  <c:v>-181861160.2320714</c:v>
                </c:pt>
                <c:pt idx="9">
                  <c:v>-176520838.8389895</c:v>
                </c:pt>
                <c:pt idx="10">
                  <c:v>-171191323.4070375</c:v>
                </c:pt>
                <c:pt idx="11">
                  <c:v>-165872708.86920202</c:v>
                </c:pt>
                <c:pt idx="12">
                  <c:v>-160565090.54607475</c:v>
                </c:pt>
                <c:pt idx="13">
                  <c:v>-155268564.13799369</c:v>
                </c:pt>
                <c:pt idx="14">
                  <c:v>-149983225.71696794</c:v>
                </c:pt>
                <c:pt idx="15">
                  <c:v>-144709171.71838176</c:v>
                </c:pt>
                <c:pt idx="16">
                  <c:v>-139446498.93248081</c:v>
                </c:pt>
                <c:pt idx="17">
                  <c:v>-134195304.49563444</c:v>
                </c:pt>
                <c:pt idx="18">
                  <c:v>-128955685.8813765</c:v>
                </c:pt>
                <c:pt idx="19">
                  <c:v>-123727740.89122117</c:v>
                </c:pt>
                <c:pt idx="20">
                  <c:v>-118511567.64525402</c:v>
                </c:pt>
              </c:numCache>
            </c:numRef>
          </c:val>
          <c:smooth val="0"/>
          <c:extLst>
            <c:ext xmlns:c16="http://schemas.microsoft.com/office/drawing/2014/chart" uri="{C3380CC4-5D6E-409C-BE32-E72D297353CC}">
              <c16:uniqueId val="{00000001-7315-42FC-BDBA-334550C42E83}"/>
            </c:ext>
          </c:extLst>
        </c:ser>
        <c:dLbls>
          <c:showLegendKey val="0"/>
          <c:showVal val="0"/>
          <c:showCatName val="0"/>
          <c:showSerName val="0"/>
          <c:showPercent val="0"/>
          <c:showBubbleSize val="0"/>
        </c:dLbls>
        <c:marker val="1"/>
        <c:smooth val="0"/>
        <c:axId val="623018894"/>
        <c:axId val="1540742906"/>
      </c:lineChart>
      <c:catAx>
        <c:axId val="623018894"/>
        <c:scaling>
          <c:orientation val="minMax"/>
        </c:scaling>
        <c:delete val="0"/>
        <c:axPos val="b"/>
        <c:title>
          <c:tx>
            <c:rich>
              <a:bodyPr/>
              <a:lstStyle/>
              <a:p>
                <a:pPr lvl="0">
                  <a:defRPr b="0">
                    <a:solidFill>
                      <a:srgbClr val="000000"/>
                    </a:solidFill>
                    <a:latin typeface="+mn-lt"/>
                  </a:defRPr>
                </a:pPr>
                <a:r>
                  <a:rPr lang="en-IN" b="0">
                    <a:solidFill>
                      <a:srgbClr val="000000"/>
                    </a:solidFill>
                    <a:latin typeface="+mn-lt"/>
                  </a:rPr>
                  <a:t>MARR</a:t>
                </a:r>
              </a:p>
            </c:rich>
          </c:tx>
          <c:overlay val="0"/>
        </c:title>
        <c:numFmt formatCode="0.0%" sourceLinked="1"/>
        <c:majorTickMark val="none"/>
        <c:minorTickMark val="none"/>
        <c:tickLblPos val="nextTo"/>
        <c:txPr>
          <a:bodyPr/>
          <a:lstStyle/>
          <a:p>
            <a:pPr lvl="0">
              <a:defRPr b="0">
                <a:solidFill>
                  <a:srgbClr val="000000"/>
                </a:solidFill>
                <a:latin typeface="+mn-lt"/>
              </a:defRPr>
            </a:pPr>
            <a:endParaRPr lang="en-US"/>
          </a:p>
        </c:txPr>
        <c:crossAx val="1540742906"/>
        <c:crosses val="autoZero"/>
        <c:auto val="1"/>
        <c:lblAlgn val="ctr"/>
        <c:lblOffset val="100"/>
        <c:noMultiLvlLbl val="1"/>
      </c:catAx>
      <c:valAx>
        <c:axId val="1540742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Annual Worth</a:t>
                </a:r>
              </a:p>
            </c:rich>
          </c:tx>
          <c:overlay val="0"/>
        </c:title>
        <c:numFmt formatCode="&quot;$&quot;#,##0.00" sourceLinked="1"/>
        <c:majorTickMark val="none"/>
        <c:minorTickMark val="none"/>
        <c:tickLblPos val="nextTo"/>
        <c:spPr>
          <a:ln/>
        </c:spPr>
        <c:txPr>
          <a:bodyPr/>
          <a:lstStyle/>
          <a:p>
            <a:pPr lvl="0">
              <a:defRPr b="0">
                <a:solidFill>
                  <a:srgbClr val="000000"/>
                </a:solidFill>
                <a:latin typeface="+mn-lt"/>
              </a:defRPr>
            </a:pPr>
            <a:endParaRPr lang="en-US"/>
          </a:p>
        </c:txPr>
        <c:crossAx val="623018894"/>
        <c:crosses val="autoZero"/>
        <c:crossBetween val="between"/>
      </c:valAx>
    </c:plotArea>
    <c:legend>
      <c:legendPos val="b"/>
      <c:overlay val="0"/>
      <c:txPr>
        <a:bodyPr/>
        <a:lstStyle/>
        <a:p>
          <a:pPr lvl="0">
            <a:defRPr sz="1600" b="0">
              <a:solidFill>
                <a:srgbClr val="1A1A1A"/>
              </a:solidFill>
              <a:latin typeface="Arial Narrow"/>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Analysis'!$C$23:$C$24</c:f>
              <c:strCache>
                <c:ptCount val="2"/>
                <c:pt idx="0">
                  <c:v>%change in Annual Worth of Rigid Pavement cost</c:v>
                </c:pt>
              </c:strCache>
            </c:strRef>
          </c:tx>
          <c:spPr>
            <a:ln cmpd="sng">
              <a:solidFill>
                <a:srgbClr val="5B9BD5"/>
              </a:solidFill>
            </a:ln>
          </c:spPr>
          <c:marker>
            <c:symbol val="none"/>
          </c:marker>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'Sensitivity Analysis'!$D$25:$D$45</c:f>
              <c:numCache>
                <c:formatCode>0.00%</c:formatCode>
                <c:ptCount val="21"/>
                <c:pt idx="0">
                  <c:v>0.2000000000000007</c:v>
                </c:pt>
                <c:pt idx="1">
                  <c:v>0.18000000000000063</c:v>
                </c:pt>
                <c:pt idx="2">
                  <c:v>0.16000000000000056</c:v>
                </c:pt>
                <c:pt idx="3">
                  <c:v>0.14000000000000049</c:v>
                </c:pt>
                <c:pt idx="4">
                  <c:v>0.12000000000000043</c:v>
                </c:pt>
                <c:pt idx="5">
                  <c:v>0.10000000000000035</c:v>
                </c:pt>
                <c:pt idx="6">
                  <c:v>8.0000000000000279E-2</c:v>
                </c:pt>
                <c:pt idx="7">
                  <c:v>6.0000000000000213E-2</c:v>
                </c:pt>
                <c:pt idx="8">
                  <c:v>4.000000000000014E-2</c:v>
                </c:pt>
                <c:pt idx="9">
                  <c:v>2.000000000000007E-2</c:v>
                </c:pt>
                <c:pt idx="10">
                  <c:v>0</c:v>
                </c:pt>
                <c:pt idx="11">
                  <c:v>-2.000000000000007E-2</c:v>
                </c:pt>
                <c:pt idx="12">
                  <c:v>-4.000000000000014E-2</c:v>
                </c:pt>
                <c:pt idx="13">
                  <c:v>-6.0000000000000213E-2</c:v>
                </c:pt>
                <c:pt idx="14">
                  <c:v>-8.0000000000000279E-2</c:v>
                </c:pt>
                <c:pt idx="15">
                  <c:v>-0.10000000000000035</c:v>
                </c:pt>
                <c:pt idx="16">
                  <c:v>-0.12000000000000043</c:v>
                </c:pt>
                <c:pt idx="17">
                  <c:v>-0.1400000000000004</c:v>
                </c:pt>
                <c:pt idx="18">
                  <c:v>-0.16000000000000036</c:v>
                </c:pt>
                <c:pt idx="19">
                  <c:v>-0.18000000000000033</c:v>
                </c:pt>
                <c:pt idx="20">
                  <c:v>-0.20000000000000032</c:v>
                </c:pt>
              </c:numCache>
            </c:numRef>
          </c:cat>
          <c:val>
            <c:numRef>
              <c:f>'Sensitivity Analysis'!$C$25:$C$45</c:f>
              <c:numCache>
                <c:formatCode>0.00%</c:formatCode>
                <c:ptCount val="21"/>
                <c:pt idx="0">
                  <c:v>0.47584565198594975</c:v>
                </c:pt>
                <c:pt idx="1">
                  <c:v>0.42826108678735519</c:v>
                </c:pt>
                <c:pt idx="2">
                  <c:v>0.38067652158876014</c:v>
                </c:pt>
                <c:pt idx="3">
                  <c:v>0.33309195639016465</c:v>
                </c:pt>
                <c:pt idx="4">
                  <c:v>0.28550739119157009</c:v>
                </c:pt>
                <c:pt idx="5">
                  <c:v>0.2379228259929751</c:v>
                </c:pt>
                <c:pt idx="6">
                  <c:v>0.19033826079438007</c:v>
                </c:pt>
                <c:pt idx="7">
                  <c:v>0.14275369559578505</c:v>
                </c:pt>
                <c:pt idx="8">
                  <c:v>9.5169130397190035E-2</c:v>
                </c:pt>
                <c:pt idx="9">
                  <c:v>4.7584565198595483E-2</c:v>
                </c:pt>
                <c:pt idx="10">
                  <c:v>0</c:v>
                </c:pt>
                <c:pt idx="11">
                  <c:v>-4.7584565198595018E-2</c:v>
                </c:pt>
                <c:pt idx="12">
                  <c:v>-9.5169130397189577E-2</c:v>
                </c:pt>
                <c:pt idx="13">
                  <c:v>-0.14275369559578505</c:v>
                </c:pt>
                <c:pt idx="14">
                  <c:v>-0.1903382607943796</c:v>
                </c:pt>
                <c:pt idx="15">
                  <c:v>-0.23792282599297462</c:v>
                </c:pt>
                <c:pt idx="16">
                  <c:v>-0.28550739119156965</c:v>
                </c:pt>
                <c:pt idx="17">
                  <c:v>-0.3330919563901642</c:v>
                </c:pt>
                <c:pt idx="18">
                  <c:v>-0.3806765215887592</c:v>
                </c:pt>
                <c:pt idx="19">
                  <c:v>-0.42826108678735403</c:v>
                </c:pt>
                <c:pt idx="20">
                  <c:v>-0.47584565198594858</c:v>
                </c:pt>
              </c:numCache>
            </c:numRef>
          </c:val>
          <c:smooth val="0"/>
          <c:extLst>
            <c:ext xmlns:c16="http://schemas.microsoft.com/office/drawing/2014/chart" uri="{C3380CC4-5D6E-409C-BE32-E72D297353CC}">
              <c16:uniqueId val="{00000000-5F33-4F3C-A260-DFC4A191568F}"/>
            </c:ext>
          </c:extLst>
        </c:ser>
        <c:dLbls>
          <c:showLegendKey val="0"/>
          <c:showVal val="0"/>
          <c:showCatName val="0"/>
          <c:showSerName val="0"/>
          <c:showPercent val="0"/>
          <c:showBubbleSize val="0"/>
        </c:dLbls>
        <c:smooth val="0"/>
        <c:axId val="399343861"/>
        <c:axId val="842269712"/>
      </c:lineChart>
      <c:catAx>
        <c:axId val="399343861"/>
        <c:scaling>
          <c:orientation val="minMax"/>
        </c:scaling>
        <c:delete val="0"/>
        <c:axPos val="b"/>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txPr>
          <a:bodyPr/>
          <a:lstStyle/>
          <a:p>
            <a:pPr lvl="0">
              <a:defRPr b="0">
                <a:solidFill>
                  <a:srgbClr val="000000"/>
                </a:solidFill>
                <a:latin typeface="+mn-lt"/>
              </a:defRPr>
            </a:pPr>
            <a:endParaRPr lang="en-US"/>
          </a:p>
        </c:txPr>
        <c:crossAx val="842269712"/>
        <c:crosses val="autoZero"/>
        <c:auto val="1"/>
        <c:lblAlgn val="ctr"/>
        <c:lblOffset val="100"/>
        <c:noMultiLvlLbl val="1"/>
      </c:catAx>
      <c:valAx>
        <c:axId val="8422697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399343861"/>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'Sensitivity Analysis'!$I$23:$I$24</c:f>
              <c:strCache>
                <c:ptCount val="2"/>
                <c:pt idx="0">
                  <c:v>%change in Annual Worth of flexible Pavement cost</c:v>
                </c:pt>
              </c:strCache>
            </c:strRef>
          </c:tx>
          <c:spPr>
            <a:ln cmpd="sng">
              <a:solidFill>
                <a:srgbClr val="5B9BD5"/>
              </a:solidFill>
            </a:ln>
          </c:spPr>
          <c:marker>
            <c:symbol val="none"/>
          </c:marker>
          <c:cat>
            <c:numRef>
              <c:f>'Sensitivity Analysis'!$H$25:$H$45</c:f>
              <c:numCache>
                <c:formatCode>0.00%</c:formatCode>
                <c:ptCount val="21"/>
                <c:pt idx="0">
                  <c:v>0.19999999999999951</c:v>
                </c:pt>
                <c:pt idx="1">
                  <c:v>0.17999999999999958</c:v>
                </c:pt>
                <c:pt idx="2">
                  <c:v>0.15999999999999961</c:v>
                </c:pt>
                <c:pt idx="3">
                  <c:v>0.13999999999999965</c:v>
                </c:pt>
                <c:pt idx="4">
                  <c:v>0.11999999999999972</c:v>
                </c:pt>
                <c:pt idx="5">
                  <c:v>9.9999999999999756E-2</c:v>
                </c:pt>
                <c:pt idx="6">
                  <c:v>7.9999999999999807E-2</c:v>
                </c:pt>
                <c:pt idx="7">
                  <c:v>5.9999999999999859E-2</c:v>
                </c:pt>
                <c:pt idx="8">
                  <c:v>3.9999999999999904E-2</c:v>
                </c:pt>
                <c:pt idx="9">
                  <c:v>1.9999999999999952E-2</c:v>
                </c:pt>
                <c:pt idx="10">
                  <c:v>0</c:v>
                </c:pt>
                <c:pt idx="11">
                  <c:v>-1.9999999999999952E-2</c:v>
                </c:pt>
                <c:pt idx="12">
                  <c:v>-3.9999999999999904E-2</c:v>
                </c:pt>
                <c:pt idx="13">
                  <c:v>-5.9999999999999859E-2</c:v>
                </c:pt>
                <c:pt idx="14">
                  <c:v>-7.9999999999999807E-2</c:v>
                </c:pt>
                <c:pt idx="15">
                  <c:v>-9.9999999999999756E-2</c:v>
                </c:pt>
                <c:pt idx="16">
                  <c:v>-0.11999999999999972</c:v>
                </c:pt>
                <c:pt idx="17">
                  <c:v>-0.13999999999999965</c:v>
                </c:pt>
                <c:pt idx="18">
                  <c:v>-0.15999999999999961</c:v>
                </c:pt>
                <c:pt idx="19">
                  <c:v>-0.17999999999999958</c:v>
                </c:pt>
                <c:pt idx="20">
                  <c:v>-0.19999999999999951</c:v>
                </c:pt>
              </c:numCache>
            </c:numRef>
          </c:cat>
          <c:val>
            <c:numRef>
              <c:f>'Sensitivity Analysis'!$I$25:$I$45</c:f>
              <c:numCache>
                <c:formatCode>0.00%</c:formatCode>
                <c:ptCount val="21"/>
                <c:pt idx="0">
                  <c:v>0.99234164910032829</c:v>
                </c:pt>
                <c:pt idx="1">
                  <c:v>0.89310748419029495</c:v>
                </c:pt>
                <c:pt idx="2">
                  <c:v>0.7938733192802625</c:v>
                </c:pt>
                <c:pt idx="3">
                  <c:v>0.69463915437022994</c:v>
                </c:pt>
                <c:pt idx="4">
                  <c:v>0.59540498946019671</c:v>
                </c:pt>
                <c:pt idx="5">
                  <c:v>0.49617082455016415</c:v>
                </c:pt>
                <c:pt idx="6">
                  <c:v>0.39693665964013158</c:v>
                </c:pt>
                <c:pt idx="7">
                  <c:v>0.29770249473009835</c:v>
                </c:pt>
                <c:pt idx="8">
                  <c:v>0.19846832982006579</c:v>
                </c:pt>
                <c:pt idx="9">
                  <c:v>9.9234164910032549E-2</c:v>
                </c:pt>
                <c:pt idx="10">
                  <c:v>0</c:v>
                </c:pt>
                <c:pt idx="11">
                  <c:v>-9.9234164910032549E-2</c:v>
                </c:pt>
                <c:pt idx="12">
                  <c:v>-0.19846832982006579</c:v>
                </c:pt>
                <c:pt idx="13">
                  <c:v>-0.29770249473009835</c:v>
                </c:pt>
                <c:pt idx="14">
                  <c:v>-0.3969366596401302</c:v>
                </c:pt>
                <c:pt idx="15">
                  <c:v>-0.49617082455016343</c:v>
                </c:pt>
                <c:pt idx="16">
                  <c:v>-0.59540498946019593</c:v>
                </c:pt>
                <c:pt idx="17">
                  <c:v>-0.6946391543702285</c:v>
                </c:pt>
                <c:pt idx="18">
                  <c:v>-0.79387331928026172</c:v>
                </c:pt>
                <c:pt idx="19">
                  <c:v>-0.89310748419029429</c:v>
                </c:pt>
                <c:pt idx="20">
                  <c:v>-0.99234164910032685</c:v>
                </c:pt>
              </c:numCache>
            </c:numRef>
          </c:val>
          <c:smooth val="0"/>
          <c:extLst>
            <c:ext xmlns:c16="http://schemas.microsoft.com/office/drawing/2014/chart" uri="{C3380CC4-5D6E-409C-BE32-E72D297353CC}">
              <c16:uniqueId val="{00000000-C21C-4FD0-9DC1-6C91E8DCEDA9}"/>
            </c:ext>
          </c:extLst>
        </c:ser>
        <c:dLbls>
          <c:showLegendKey val="0"/>
          <c:showVal val="0"/>
          <c:showCatName val="0"/>
          <c:showSerName val="0"/>
          <c:showPercent val="0"/>
          <c:showBubbleSize val="0"/>
        </c:dLbls>
        <c:smooth val="0"/>
        <c:axId val="1902381972"/>
        <c:axId val="1751630359"/>
      </c:lineChart>
      <c:catAx>
        <c:axId val="1902381972"/>
        <c:scaling>
          <c:orientation val="minMax"/>
        </c:scaling>
        <c:delete val="0"/>
        <c:axPos val="b"/>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txPr>
          <a:bodyPr/>
          <a:lstStyle/>
          <a:p>
            <a:pPr lvl="0">
              <a:defRPr b="0">
                <a:solidFill>
                  <a:srgbClr val="000000"/>
                </a:solidFill>
                <a:latin typeface="+mn-lt"/>
              </a:defRPr>
            </a:pPr>
            <a:endParaRPr lang="en-US"/>
          </a:p>
        </c:txPr>
        <c:crossAx val="1751630359"/>
        <c:crosses val="autoZero"/>
        <c:auto val="1"/>
        <c:lblAlgn val="ctr"/>
        <c:lblOffset val="100"/>
        <c:noMultiLvlLbl val="1"/>
      </c:catAx>
      <c:valAx>
        <c:axId val="17516303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1902381972"/>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cmpd="sng">
              <a:solidFill>
                <a:srgbClr val="5B9BD5"/>
              </a:solidFill>
            </a:ln>
          </c:spPr>
          <c:marker>
            <c:symbol val="none"/>
          </c:marker>
          <c:cat>
            <c:numRef>
              <c:f>'Sensitivity Analysis'!$A$50:$A$70</c:f>
              <c:numCache>
                <c:formatCode>_("$"* #,##0.00_);_("$"* \(#,##0.00\);_("$"* "-"??_);_(@_)</c:formatCode>
                <c:ptCount val="21"/>
                <c:pt idx="0">
                  <c:v>68040000</c:v>
                </c:pt>
                <c:pt idx="1">
                  <c:v>66906000</c:v>
                </c:pt>
                <c:pt idx="2">
                  <c:v>65772000</c:v>
                </c:pt>
                <c:pt idx="3">
                  <c:v>64638000</c:v>
                </c:pt>
                <c:pt idx="4">
                  <c:v>63504000</c:v>
                </c:pt>
                <c:pt idx="5">
                  <c:v>62370000</c:v>
                </c:pt>
                <c:pt idx="6">
                  <c:v>61236000</c:v>
                </c:pt>
                <c:pt idx="7">
                  <c:v>60102000</c:v>
                </c:pt>
                <c:pt idx="8">
                  <c:v>58968000</c:v>
                </c:pt>
                <c:pt idx="9">
                  <c:v>57834000</c:v>
                </c:pt>
                <c:pt idx="10">
                  <c:v>56700000</c:v>
                </c:pt>
                <c:pt idx="11">
                  <c:v>55566000</c:v>
                </c:pt>
                <c:pt idx="12">
                  <c:v>54432000</c:v>
                </c:pt>
                <c:pt idx="13">
                  <c:v>53298000</c:v>
                </c:pt>
                <c:pt idx="14">
                  <c:v>52164000</c:v>
                </c:pt>
                <c:pt idx="15">
                  <c:v>51030000</c:v>
                </c:pt>
                <c:pt idx="16">
                  <c:v>49896000</c:v>
                </c:pt>
                <c:pt idx="17">
                  <c:v>48762000</c:v>
                </c:pt>
                <c:pt idx="18">
                  <c:v>47628000</c:v>
                </c:pt>
                <c:pt idx="19">
                  <c:v>46494000</c:v>
                </c:pt>
                <c:pt idx="20">
                  <c:v>45360000</c:v>
                </c:pt>
              </c:numCache>
            </c:numRef>
          </c:cat>
          <c:val>
            <c:numRef>
              <c:f>'Sensitivity Analysis'!$B$50:$B$70</c:f>
              <c:numCache>
                <c:formatCode>"$"#,##0.00</c:formatCode>
                <c:ptCount val="21"/>
                <c:pt idx="0">
                  <c:v>-523626543.15420794</c:v>
                </c:pt>
                <c:pt idx="1">
                  <c:v>-522492543.15420794</c:v>
                </c:pt>
                <c:pt idx="2">
                  <c:v>-521358543.15420794</c:v>
                </c:pt>
                <c:pt idx="3">
                  <c:v>-520224543.15420794</c:v>
                </c:pt>
                <c:pt idx="4">
                  <c:v>-519090543.15420794</c:v>
                </c:pt>
                <c:pt idx="5">
                  <c:v>-517956543.15420794</c:v>
                </c:pt>
                <c:pt idx="6">
                  <c:v>-516822543.15420794</c:v>
                </c:pt>
                <c:pt idx="7">
                  <c:v>-515688543.15420794</c:v>
                </c:pt>
                <c:pt idx="8">
                  <c:v>-514554543.15420794</c:v>
                </c:pt>
                <c:pt idx="9">
                  <c:v>-513420543.15420794</c:v>
                </c:pt>
                <c:pt idx="10">
                  <c:v>-512286543.15420794</c:v>
                </c:pt>
                <c:pt idx="11">
                  <c:v>-511152543.15420794</c:v>
                </c:pt>
                <c:pt idx="12">
                  <c:v>-510018543.15420794</c:v>
                </c:pt>
                <c:pt idx="13">
                  <c:v>-508884543.15420794</c:v>
                </c:pt>
                <c:pt idx="14">
                  <c:v>-507750543.15420794</c:v>
                </c:pt>
                <c:pt idx="15">
                  <c:v>-506616543.15420794</c:v>
                </c:pt>
                <c:pt idx="16">
                  <c:v>-505482543.15420794</c:v>
                </c:pt>
                <c:pt idx="17">
                  <c:v>-504348543.15420794</c:v>
                </c:pt>
                <c:pt idx="18">
                  <c:v>-503214543.15420794</c:v>
                </c:pt>
                <c:pt idx="19">
                  <c:v>-502080543.15420794</c:v>
                </c:pt>
                <c:pt idx="20">
                  <c:v>-500946543.15420794</c:v>
                </c:pt>
              </c:numCache>
            </c:numRef>
          </c:val>
          <c:smooth val="0"/>
          <c:extLst>
            <c:ext xmlns:c16="http://schemas.microsoft.com/office/drawing/2014/chart" uri="{C3380CC4-5D6E-409C-BE32-E72D297353CC}">
              <c16:uniqueId val="{00000000-F41A-4E75-A655-10C53DEC188F}"/>
            </c:ext>
          </c:extLst>
        </c:ser>
        <c:dLbls>
          <c:showLegendKey val="0"/>
          <c:showVal val="0"/>
          <c:showCatName val="0"/>
          <c:showSerName val="0"/>
          <c:showPercent val="0"/>
          <c:showBubbleSize val="0"/>
        </c:dLbls>
        <c:smooth val="0"/>
        <c:axId val="127966969"/>
        <c:axId val="347161917"/>
      </c:lineChart>
      <c:catAx>
        <c:axId val="127966969"/>
        <c:scaling>
          <c:orientation val="minMax"/>
        </c:scaling>
        <c:delete val="0"/>
        <c:axPos val="b"/>
        <c:title>
          <c:tx>
            <c:rich>
              <a:bodyPr/>
              <a:lstStyle/>
              <a:p>
                <a:pPr lvl="0">
                  <a:defRPr b="0">
                    <a:solidFill>
                      <a:srgbClr val="000000"/>
                    </a:solidFill>
                    <a:latin typeface="+mn-lt"/>
                  </a:defRPr>
                </a:pPr>
                <a:endParaRPr lang="en-IN"/>
              </a:p>
            </c:rich>
          </c:tx>
          <c:overlay val="0"/>
        </c:title>
        <c:numFmt formatCode="_(&quot;$&quot;* #,##0.00_);_(&quot;$&quot;* \(#,##0.00\);_(&quot;$&quot;* &quot;-&quot;??_);_(@_)" sourceLinked="1"/>
        <c:majorTickMark val="none"/>
        <c:minorTickMark val="none"/>
        <c:tickLblPos val="nextTo"/>
        <c:txPr>
          <a:bodyPr/>
          <a:lstStyle/>
          <a:p>
            <a:pPr lvl="0">
              <a:defRPr b="0">
                <a:solidFill>
                  <a:srgbClr val="000000"/>
                </a:solidFill>
                <a:latin typeface="+mn-lt"/>
              </a:defRPr>
            </a:pPr>
            <a:endParaRPr lang="en-US"/>
          </a:p>
        </c:txPr>
        <c:crossAx val="347161917"/>
        <c:crosses val="autoZero"/>
        <c:auto val="1"/>
        <c:lblAlgn val="ctr"/>
        <c:lblOffset val="100"/>
        <c:noMultiLvlLbl val="1"/>
      </c:catAx>
      <c:valAx>
        <c:axId val="347161917"/>
        <c:scaling>
          <c:orientation val="minMax"/>
          <c:min val="-523626543.1499999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quot;$&quot;#,##0.00" sourceLinked="1"/>
        <c:majorTickMark val="none"/>
        <c:minorTickMark val="none"/>
        <c:tickLblPos val="nextTo"/>
        <c:spPr>
          <a:ln/>
        </c:spPr>
        <c:txPr>
          <a:bodyPr/>
          <a:lstStyle/>
          <a:p>
            <a:pPr lvl="0">
              <a:defRPr b="0">
                <a:solidFill>
                  <a:srgbClr val="000000"/>
                </a:solidFill>
                <a:latin typeface="Arial"/>
              </a:defRPr>
            </a:pPr>
            <a:endParaRPr lang="en-US"/>
          </a:p>
        </c:txPr>
        <c:crossAx val="12796696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cmpd="sng">
              <a:solidFill>
                <a:srgbClr val="5B9BD5"/>
              </a:solidFill>
            </a:ln>
          </c:spPr>
          <c:marker>
            <c:symbol val="none"/>
          </c:marker>
          <c:cat>
            <c:numRef>
              <c:f>'Sensitivity Analysis'!$F$50:$F$70</c:f>
              <c:numCache>
                <c:formatCode>_("$"* #,##0.00_);_("$"* \(#,##0.00\);_("$"* "-"??_);_(@_)</c:formatCode>
                <c:ptCount val="21"/>
                <c:pt idx="0">
                  <c:v>102060000</c:v>
                </c:pt>
                <c:pt idx="1">
                  <c:v>100359000</c:v>
                </c:pt>
                <c:pt idx="2">
                  <c:v>98658000</c:v>
                </c:pt>
                <c:pt idx="3">
                  <c:v>96957000</c:v>
                </c:pt>
                <c:pt idx="4">
                  <c:v>95256000</c:v>
                </c:pt>
                <c:pt idx="5">
                  <c:v>93555000</c:v>
                </c:pt>
                <c:pt idx="6">
                  <c:v>91854000</c:v>
                </c:pt>
                <c:pt idx="7">
                  <c:v>90153000</c:v>
                </c:pt>
                <c:pt idx="8">
                  <c:v>88452000</c:v>
                </c:pt>
                <c:pt idx="9">
                  <c:v>86751000</c:v>
                </c:pt>
                <c:pt idx="10">
                  <c:v>85050000</c:v>
                </c:pt>
                <c:pt idx="11">
                  <c:v>83349000</c:v>
                </c:pt>
                <c:pt idx="12">
                  <c:v>81648000</c:v>
                </c:pt>
                <c:pt idx="13">
                  <c:v>79947000</c:v>
                </c:pt>
                <c:pt idx="14">
                  <c:v>78246000</c:v>
                </c:pt>
                <c:pt idx="15">
                  <c:v>76545000</c:v>
                </c:pt>
                <c:pt idx="16">
                  <c:v>74844000</c:v>
                </c:pt>
                <c:pt idx="17">
                  <c:v>73143000</c:v>
                </c:pt>
                <c:pt idx="18">
                  <c:v>71442000</c:v>
                </c:pt>
                <c:pt idx="19">
                  <c:v>69741000</c:v>
                </c:pt>
                <c:pt idx="20">
                  <c:v>68040000</c:v>
                </c:pt>
              </c:numCache>
            </c:numRef>
          </c:cat>
          <c:val>
            <c:numRef>
              <c:f>'Sensitivity Analysis'!$G$50:$G$70</c:f>
              <c:numCache>
                <c:formatCode>"$"#,##0.00</c:formatCode>
                <c:ptCount val="21"/>
                <c:pt idx="0">
                  <c:v>-188201323.4070375</c:v>
                </c:pt>
                <c:pt idx="1">
                  <c:v>-186500323.4070375</c:v>
                </c:pt>
                <c:pt idx="2">
                  <c:v>-184799323.4070375</c:v>
                </c:pt>
                <c:pt idx="3">
                  <c:v>-183098323.4070375</c:v>
                </c:pt>
                <c:pt idx="4">
                  <c:v>-181397323.4070375</c:v>
                </c:pt>
                <c:pt idx="5">
                  <c:v>-179696323.4070375</c:v>
                </c:pt>
                <c:pt idx="6">
                  <c:v>-177995323.4070375</c:v>
                </c:pt>
                <c:pt idx="7">
                  <c:v>-176294323.4070375</c:v>
                </c:pt>
                <c:pt idx="8">
                  <c:v>-174593323.4070375</c:v>
                </c:pt>
                <c:pt idx="9">
                  <c:v>-172892323.4070375</c:v>
                </c:pt>
                <c:pt idx="10">
                  <c:v>-171191323.4070375</c:v>
                </c:pt>
                <c:pt idx="11">
                  <c:v>-169490323.4070375</c:v>
                </c:pt>
                <c:pt idx="12">
                  <c:v>-167789323.4070375</c:v>
                </c:pt>
                <c:pt idx="13">
                  <c:v>-166088323.4070375</c:v>
                </c:pt>
                <c:pt idx="14">
                  <c:v>-164387323.4070375</c:v>
                </c:pt>
                <c:pt idx="15">
                  <c:v>-162686323.4070375</c:v>
                </c:pt>
                <c:pt idx="16">
                  <c:v>-160985323.4070375</c:v>
                </c:pt>
                <c:pt idx="17">
                  <c:v>-159284323.4070375</c:v>
                </c:pt>
                <c:pt idx="18">
                  <c:v>-157583323.4070375</c:v>
                </c:pt>
                <c:pt idx="19">
                  <c:v>-155882323.4070375</c:v>
                </c:pt>
                <c:pt idx="20">
                  <c:v>-154181323.4070375</c:v>
                </c:pt>
              </c:numCache>
            </c:numRef>
          </c:val>
          <c:smooth val="0"/>
          <c:extLst>
            <c:ext xmlns:c16="http://schemas.microsoft.com/office/drawing/2014/chart" uri="{C3380CC4-5D6E-409C-BE32-E72D297353CC}">
              <c16:uniqueId val="{00000000-BF05-4F39-8AD0-D787FC282ABF}"/>
            </c:ext>
          </c:extLst>
        </c:ser>
        <c:dLbls>
          <c:showLegendKey val="0"/>
          <c:showVal val="0"/>
          <c:showCatName val="0"/>
          <c:showSerName val="0"/>
          <c:showPercent val="0"/>
          <c:showBubbleSize val="0"/>
        </c:dLbls>
        <c:smooth val="0"/>
        <c:axId val="1818960980"/>
        <c:axId val="106629060"/>
      </c:lineChart>
      <c:catAx>
        <c:axId val="1818960980"/>
        <c:scaling>
          <c:orientation val="minMax"/>
        </c:scaling>
        <c:delete val="0"/>
        <c:axPos val="b"/>
        <c:title>
          <c:tx>
            <c:rich>
              <a:bodyPr/>
              <a:lstStyle/>
              <a:p>
                <a:pPr lvl="0">
                  <a:defRPr b="0">
                    <a:solidFill>
                      <a:srgbClr val="000000"/>
                    </a:solidFill>
                    <a:latin typeface="+mn-lt"/>
                  </a:defRPr>
                </a:pPr>
                <a:endParaRPr lang="en-IN"/>
              </a:p>
            </c:rich>
          </c:tx>
          <c:overlay val="0"/>
        </c:title>
        <c:numFmt formatCode="_(&quot;$&quot;* #,##0.00_);_(&quot;$&quot;* \(#,##0.00\);_(&quot;$&quot;* &quot;-&quot;??_);_(@_)" sourceLinked="1"/>
        <c:majorTickMark val="none"/>
        <c:minorTickMark val="none"/>
        <c:tickLblPos val="nextTo"/>
        <c:txPr>
          <a:bodyPr/>
          <a:lstStyle/>
          <a:p>
            <a:pPr lvl="0">
              <a:defRPr b="0">
                <a:solidFill>
                  <a:srgbClr val="000000"/>
                </a:solidFill>
                <a:latin typeface="+mn-lt"/>
              </a:defRPr>
            </a:pPr>
            <a:endParaRPr lang="en-US"/>
          </a:p>
        </c:txPr>
        <c:crossAx val="106629060"/>
        <c:crosses val="autoZero"/>
        <c:auto val="1"/>
        <c:lblAlgn val="ctr"/>
        <c:lblOffset val="100"/>
        <c:noMultiLvlLbl val="1"/>
      </c:catAx>
      <c:valAx>
        <c:axId val="106629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quot;$&quot;#,##0.00" sourceLinked="1"/>
        <c:majorTickMark val="none"/>
        <c:minorTickMark val="none"/>
        <c:tickLblPos val="nextTo"/>
        <c:spPr>
          <a:ln/>
        </c:spPr>
        <c:txPr>
          <a:bodyPr/>
          <a:lstStyle/>
          <a:p>
            <a:pPr lvl="0">
              <a:defRPr b="0">
                <a:solidFill>
                  <a:srgbClr val="000000"/>
                </a:solidFill>
                <a:latin typeface="+mn-lt"/>
              </a:defRPr>
            </a:pPr>
            <a:endParaRPr lang="en-US"/>
          </a:p>
        </c:txPr>
        <c:crossAx val="181896098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Total of RP vs. Toll Tax Revenue</a:t>
            </a:r>
          </a:p>
        </c:rich>
      </c:tx>
      <c:overlay val="0"/>
    </c:title>
    <c:autoTitleDeleted val="0"/>
    <c:plotArea>
      <c:layout/>
      <c:lineChart>
        <c:grouping val="standard"/>
        <c:varyColors val="0"/>
        <c:ser>
          <c:idx val="0"/>
          <c:order val="0"/>
          <c:tx>
            <c:strRef>
              <c:f>'Sensitivity Analysis'!$B$73</c:f>
              <c:strCache>
                <c:ptCount val="1"/>
                <c:pt idx="0">
                  <c:v>Total of RP</c:v>
                </c:pt>
              </c:strCache>
            </c:strRef>
          </c:tx>
          <c:spPr>
            <a:ln cmpd="sng">
              <a:solidFill>
                <a:srgbClr val="5B9BD5"/>
              </a:solidFill>
            </a:ln>
          </c:spPr>
          <c:marker>
            <c:symbol val="none"/>
          </c:marker>
          <c:cat>
            <c:numRef>
              <c:f>'Sensitivity Analysis'!$A$74:$A$95</c:f>
              <c:numCache>
                <c:formatCode>_("$"* #,##0.00_);_("$"* \(#,##0.00\);_("$"* "-"??_);_(@_)</c:formatCode>
                <c:ptCount val="22"/>
                <c:pt idx="1">
                  <c:v>915912092.99999952</c:v>
                </c:pt>
                <c:pt idx="2">
                  <c:v>900646891.44999957</c:v>
                </c:pt>
                <c:pt idx="3">
                  <c:v>885381689.89999962</c:v>
                </c:pt>
                <c:pt idx="4">
                  <c:v>870116488.34999967</c:v>
                </c:pt>
                <c:pt idx="5">
                  <c:v>854851286.79999971</c:v>
                </c:pt>
                <c:pt idx="6">
                  <c:v>839586085.24999976</c:v>
                </c:pt>
                <c:pt idx="7">
                  <c:v>824320883.69999981</c:v>
                </c:pt>
                <c:pt idx="8">
                  <c:v>809055682.14999986</c:v>
                </c:pt>
                <c:pt idx="9">
                  <c:v>793790480.5999999</c:v>
                </c:pt>
                <c:pt idx="10">
                  <c:v>778525279.04999995</c:v>
                </c:pt>
                <c:pt idx="11">
                  <c:v>763260077.5</c:v>
                </c:pt>
                <c:pt idx="12">
                  <c:v>747994875.95000005</c:v>
                </c:pt>
                <c:pt idx="13">
                  <c:v>732729674.4000001</c:v>
                </c:pt>
                <c:pt idx="14">
                  <c:v>717464472.85000014</c:v>
                </c:pt>
                <c:pt idx="15">
                  <c:v>702199271.30000019</c:v>
                </c:pt>
                <c:pt idx="16">
                  <c:v>686934069.75000024</c:v>
                </c:pt>
                <c:pt idx="17">
                  <c:v>671668868.20000029</c:v>
                </c:pt>
                <c:pt idx="18">
                  <c:v>656403666.65000033</c:v>
                </c:pt>
                <c:pt idx="19">
                  <c:v>641138465.10000038</c:v>
                </c:pt>
                <c:pt idx="20">
                  <c:v>625873263.55000043</c:v>
                </c:pt>
                <c:pt idx="21">
                  <c:v>610608062.00000048</c:v>
                </c:pt>
              </c:numCache>
            </c:numRef>
          </c:cat>
          <c:val>
            <c:numRef>
              <c:f>'Sensitivity Analysis'!$B$74:$B$95</c:f>
              <c:numCache>
                <c:formatCode>"$"#,##0.00</c:formatCode>
                <c:ptCount val="22"/>
                <c:pt idx="1">
                  <c:v>-359634527.65420842</c:v>
                </c:pt>
                <c:pt idx="2">
                  <c:v>-374899729.20420837</c:v>
                </c:pt>
                <c:pt idx="3">
                  <c:v>-390164930.75420833</c:v>
                </c:pt>
                <c:pt idx="4">
                  <c:v>-405430132.30420828</c:v>
                </c:pt>
                <c:pt idx="5">
                  <c:v>-420695333.85420823</c:v>
                </c:pt>
                <c:pt idx="6">
                  <c:v>-435960535.40420818</c:v>
                </c:pt>
                <c:pt idx="7">
                  <c:v>-451225736.95420814</c:v>
                </c:pt>
                <c:pt idx="8">
                  <c:v>-466490938.50420809</c:v>
                </c:pt>
                <c:pt idx="9">
                  <c:v>-481756140.05420804</c:v>
                </c:pt>
                <c:pt idx="10">
                  <c:v>-497021341.60420799</c:v>
                </c:pt>
                <c:pt idx="11">
                  <c:v>-512286543.15420794</c:v>
                </c:pt>
                <c:pt idx="12">
                  <c:v>-527551744.7042079</c:v>
                </c:pt>
                <c:pt idx="13">
                  <c:v>-542816946.25420785</c:v>
                </c:pt>
                <c:pt idx="14">
                  <c:v>-558082147.8042078</c:v>
                </c:pt>
                <c:pt idx="15">
                  <c:v>-573347349.35420775</c:v>
                </c:pt>
                <c:pt idx="16">
                  <c:v>-588612550.90420771</c:v>
                </c:pt>
                <c:pt idx="17">
                  <c:v>-603877752.45420766</c:v>
                </c:pt>
                <c:pt idx="18">
                  <c:v>-619142954.00420761</c:v>
                </c:pt>
                <c:pt idx="19">
                  <c:v>-634408155.55420756</c:v>
                </c:pt>
                <c:pt idx="20">
                  <c:v>-649673357.10420752</c:v>
                </c:pt>
                <c:pt idx="21">
                  <c:v>-664938558.65420747</c:v>
                </c:pt>
              </c:numCache>
            </c:numRef>
          </c:val>
          <c:smooth val="0"/>
          <c:extLst>
            <c:ext xmlns:c16="http://schemas.microsoft.com/office/drawing/2014/chart" uri="{C3380CC4-5D6E-409C-BE32-E72D297353CC}">
              <c16:uniqueId val="{00000000-76ED-4883-B5E8-2327DD5E971B}"/>
            </c:ext>
          </c:extLst>
        </c:ser>
        <c:dLbls>
          <c:showLegendKey val="0"/>
          <c:showVal val="0"/>
          <c:showCatName val="0"/>
          <c:showSerName val="0"/>
          <c:showPercent val="0"/>
          <c:showBubbleSize val="0"/>
        </c:dLbls>
        <c:smooth val="0"/>
        <c:axId val="317967894"/>
        <c:axId val="412041698"/>
      </c:lineChart>
      <c:catAx>
        <c:axId val="317967894"/>
        <c:scaling>
          <c:orientation val="minMax"/>
        </c:scaling>
        <c:delete val="0"/>
        <c:axPos val="b"/>
        <c:title>
          <c:tx>
            <c:rich>
              <a:bodyPr/>
              <a:lstStyle/>
              <a:p>
                <a:pPr lvl="0">
                  <a:defRPr b="0">
                    <a:solidFill>
                      <a:srgbClr val="000000"/>
                    </a:solidFill>
                    <a:latin typeface="+mn-lt"/>
                  </a:defRPr>
                </a:pPr>
                <a:r>
                  <a:rPr lang="en-IN" b="0">
                    <a:solidFill>
                      <a:srgbClr val="000000"/>
                    </a:solidFill>
                    <a:latin typeface="+mn-lt"/>
                  </a:rPr>
                  <a:t>Toll Tax Revenue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12041698"/>
        <c:crosses val="autoZero"/>
        <c:auto val="1"/>
        <c:lblAlgn val="ctr"/>
        <c:lblOffset val="100"/>
        <c:noMultiLvlLbl val="1"/>
      </c:catAx>
      <c:valAx>
        <c:axId val="412041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Total of RP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17967894"/>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Total of FP vs. Toll Tax Revenue</a:t>
            </a:r>
          </a:p>
        </c:rich>
      </c:tx>
      <c:overlay val="0"/>
    </c:title>
    <c:autoTitleDeleted val="0"/>
    <c:plotArea>
      <c:layout/>
      <c:lineChart>
        <c:grouping val="standard"/>
        <c:varyColors val="0"/>
        <c:ser>
          <c:idx val="0"/>
          <c:order val="0"/>
          <c:spPr>
            <a:ln cmpd="sng">
              <a:solidFill>
                <a:srgbClr val="5B9BD5"/>
              </a:solidFill>
            </a:ln>
          </c:spPr>
          <c:marker>
            <c:symbol val="none"/>
          </c:marker>
          <c:cat>
            <c:numRef>
              <c:f>'Sensitivity Analysis'!$A$99:$A$119</c:f>
              <c:numCache>
                <c:formatCode>_("$"* #,##0.00_);_("$"* \(#,##0.00\);_("$"* "-"??_);_(@_)</c:formatCode>
                <c:ptCount val="21"/>
                <c:pt idx="0">
                  <c:v>915912092.99999952</c:v>
                </c:pt>
                <c:pt idx="1">
                  <c:v>900646891.44999957</c:v>
                </c:pt>
                <c:pt idx="2">
                  <c:v>885381689.89999962</c:v>
                </c:pt>
                <c:pt idx="3">
                  <c:v>870116488.34999967</c:v>
                </c:pt>
                <c:pt idx="4">
                  <c:v>854851286.79999971</c:v>
                </c:pt>
                <c:pt idx="5">
                  <c:v>839586085.24999976</c:v>
                </c:pt>
                <c:pt idx="6">
                  <c:v>824320883.69999981</c:v>
                </c:pt>
                <c:pt idx="7">
                  <c:v>809055682.14999986</c:v>
                </c:pt>
                <c:pt idx="8">
                  <c:v>793790480.5999999</c:v>
                </c:pt>
                <c:pt idx="9">
                  <c:v>778525279.04999995</c:v>
                </c:pt>
                <c:pt idx="10">
                  <c:v>763260077.5</c:v>
                </c:pt>
                <c:pt idx="11">
                  <c:v>747994875.95000005</c:v>
                </c:pt>
                <c:pt idx="12">
                  <c:v>732729674.4000001</c:v>
                </c:pt>
                <c:pt idx="13">
                  <c:v>717464472.85000014</c:v>
                </c:pt>
                <c:pt idx="14">
                  <c:v>702199271.30000019</c:v>
                </c:pt>
                <c:pt idx="15">
                  <c:v>686934069.75000024</c:v>
                </c:pt>
                <c:pt idx="16">
                  <c:v>671668868.20000029</c:v>
                </c:pt>
                <c:pt idx="17">
                  <c:v>656403666.65000033</c:v>
                </c:pt>
                <c:pt idx="18">
                  <c:v>641138465.10000038</c:v>
                </c:pt>
                <c:pt idx="19">
                  <c:v>625873263.55000043</c:v>
                </c:pt>
                <c:pt idx="20">
                  <c:v>610608062.00000048</c:v>
                </c:pt>
              </c:numCache>
            </c:numRef>
          </c:cat>
          <c:val>
            <c:numRef>
              <c:f>'Sensitivity Analysis'!$B$99:$B$119</c:f>
              <c:numCache>
                <c:formatCode>"$"#,##0.00</c:formatCode>
                <c:ptCount val="21"/>
                <c:pt idx="0">
                  <c:v>-18539307.907037735</c:v>
                </c:pt>
                <c:pt idx="1">
                  <c:v>-33804509.457037687</c:v>
                </c:pt>
                <c:pt idx="2">
                  <c:v>-49069711.00703764</c:v>
                </c:pt>
                <c:pt idx="3">
                  <c:v>-64334912.557037592</c:v>
                </c:pt>
                <c:pt idx="4">
                  <c:v>-79600114.107037544</c:v>
                </c:pt>
                <c:pt idx="5">
                  <c:v>-94865315.657037497</c:v>
                </c:pt>
                <c:pt idx="6">
                  <c:v>-110130517.20703745</c:v>
                </c:pt>
                <c:pt idx="7">
                  <c:v>-125395718.7570374</c:v>
                </c:pt>
                <c:pt idx="8">
                  <c:v>-140660920.30703735</c:v>
                </c:pt>
                <c:pt idx="9">
                  <c:v>-155926121.85703731</c:v>
                </c:pt>
                <c:pt idx="10">
                  <c:v>-171191323.40703726</c:v>
                </c:pt>
                <c:pt idx="11">
                  <c:v>-186456524.95703721</c:v>
                </c:pt>
                <c:pt idx="12">
                  <c:v>-201721726.50703716</c:v>
                </c:pt>
                <c:pt idx="13">
                  <c:v>-216986928.05703712</c:v>
                </c:pt>
                <c:pt idx="14">
                  <c:v>-232252129.60703707</c:v>
                </c:pt>
                <c:pt idx="15">
                  <c:v>-247517331.15703702</c:v>
                </c:pt>
                <c:pt idx="16">
                  <c:v>-262782532.70703697</c:v>
                </c:pt>
                <c:pt idx="17">
                  <c:v>-278047734.25703692</c:v>
                </c:pt>
                <c:pt idx="18">
                  <c:v>-293312935.80703688</c:v>
                </c:pt>
                <c:pt idx="19">
                  <c:v>-308578137.35703683</c:v>
                </c:pt>
                <c:pt idx="20">
                  <c:v>-323843338.90703678</c:v>
                </c:pt>
              </c:numCache>
            </c:numRef>
          </c:val>
          <c:smooth val="0"/>
          <c:extLst>
            <c:ext xmlns:c16="http://schemas.microsoft.com/office/drawing/2014/chart" uri="{C3380CC4-5D6E-409C-BE32-E72D297353CC}">
              <c16:uniqueId val="{00000000-2202-4676-A432-CEFA85254199}"/>
            </c:ext>
          </c:extLst>
        </c:ser>
        <c:dLbls>
          <c:showLegendKey val="0"/>
          <c:showVal val="0"/>
          <c:showCatName val="0"/>
          <c:showSerName val="0"/>
          <c:showPercent val="0"/>
          <c:showBubbleSize val="0"/>
        </c:dLbls>
        <c:smooth val="0"/>
        <c:axId val="1237385817"/>
        <c:axId val="1356664569"/>
      </c:lineChart>
      <c:catAx>
        <c:axId val="1237385817"/>
        <c:scaling>
          <c:orientation val="minMax"/>
        </c:scaling>
        <c:delete val="0"/>
        <c:axPos val="b"/>
        <c:title>
          <c:tx>
            <c:rich>
              <a:bodyPr/>
              <a:lstStyle/>
              <a:p>
                <a:pPr lvl="0">
                  <a:defRPr b="0">
                    <a:solidFill>
                      <a:srgbClr val="000000"/>
                    </a:solidFill>
                    <a:latin typeface="+mn-lt"/>
                  </a:defRPr>
                </a:pPr>
                <a:endParaRPr lang="en-IN"/>
              </a:p>
            </c:rich>
          </c:tx>
          <c:overlay val="0"/>
        </c:title>
        <c:numFmt formatCode="_(&quot;$&quot;* #,##0.00_);_(&quot;$&quot;* \(#,##0.00\);_(&quot;$&quot;* &quot;-&quot;??_);_(@_)" sourceLinked="1"/>
        <c:majorTickMark val="none"/>
        <c:minorTickMark val="none"/>
        <c:tickLblPos val="nextTo"/>
        <c:txPr>
          <a:bodyPr/>
          <a:lstStyle/>
          <a:p>
            <a:pPr lvl="0">
              <a:defRPr b="0">
                <a:solidFill>
                  <a:srgbClr val="000000"/>
                </a:solidFill>
                <a:latin typeface="+mn-lt"/>
              </a:defRPr>
            </a:pPr>
            <a:endParaRPr lang="en-US"/>
          </a:p>
        </c:txPr>
        <c:crossAx val="1356664569"/>
        <c:crosses val="autoZero"/>
        <c:auto val="1"/>
        <c:lblAlgn val="ctr"/>
        <c:lblOffset val="100"/>
        <c:noMultiLvlLbl val="1"/>
      </c:catAx>
      <c:valAx>
        <c:axId val="13566645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quot;$&quot;#,##0.00" sourceLinked="1"/>
        <c:majorTickMark val="none"/>
        <c:minorTickMark val="none"/>
        <c:tickLblPos val="nextTo"/>
        <c:spPr>
          <a:ln/>
        </c:spPr>
        <c:txPr>
          <a:bodyPr/>
          <a:lstStyle/>
          <a:p>
            <a:pPr lvl="0">
              <a:defRPr b="0">
                <a:solidFill>
                  <a:srgbClr val="000000"/>
                </a:solidFill>
                <a:latin typeface="+mn-lt"/>
              </a:defRPr>
            </a:pPr>
            <a:endParaRPr lang="en-US"/>
          </a:p>
        </c:txPr>
        <c:crossAx val="1237385817"/>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Breakeven analysis of MARR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'Breakeven Analysis'!$X$10</c:f>
              <c:strCache>
                <c:ptCount val="1"/>
                <c:pt idx="0">
                  <c:v>AW (flexible)</c:v>
                </c:pt>
              </c:strCache>
            </c:strRef>
          </c:tx>
          <c:spPr>
            <a:ln w="19050" cap="rnd">
              <a:solidFill>
                <a:schemeClr val="accent1"/>
              </a:solidFill>
              <a:round/>
            </a:ln>
            <a:effectLst/>
          </c:spPr>
          <c:marker>
            <c:symbol val="x"/>
            <c:size val="3"/>
            <c:spPr>
              <a:noFill/>
              <a:ln w="9525">
                <a:solidFill>
                  <a:schemeClr val="accent1"/>
                </a:solidFill>
              </a:ln>
              <a:effectLst/>
            </c:spPr>
          </c:marker>
          <c:xVal>
            <c:numRef>
              <c:f>'Breakeven Analysis'!$W$12:$W$41</c:f>
              <c:numCache>
                <c:formatCode>0%</c:formatCode>
                <c:ptCount val="3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numCache>
            </c:numRef>
          </c:xVal>
          <c:yVal>
            <c:numRef>
              <c:f>'Breakeven Analysis'!$X$12:$X$41</c:f>
              <c:numCache>
                <c:formatCode>General</c:formatCode>
                <c:ptCount val="30"/>
                <c:pt idx="0">
                  <c:v>-25.86084026033657</c:v>
                </c:pt>
                <c:pt idx="1">
                  <c:v>-22.225134340259871</c:v>
                </c:pt>
                <c:pt idx="2">
                  <c:v>-18.392342703462347</c:v>
                </c:pt>
                <c:pt idx="3">
                  <c:v>-14.368929751837634</c:v>
                </c:pt>
                <c:pt idx="4">
                  <c:v>-10.162433445664746</c:v>
                </c:pt>
                <c:pt idx="5">
                  <c:v>-5.7812650250333624</c:v>
                </c:pt>
                <c:pt idx="6">
                  <c:v>-1.2345053156034069</c:v>
                </c:pt>
                <c:pt idx="7">
                  <c:v>3.4682945783194414</c:v>
                </c:pt>
                <c:pt idx="8">
                  <c:v>8.3173016702533538</c:v>
                </c:pt>
                <c:pt idx="9">
                  <c:v>13.302573527764388</c:v>
                </c:pt>
                <c:pt idx="10">
                  <c:v>18.414211221232001</c:v>
                </c:pt>
                <c:pt idx="11">
                  <c:v>23.642490710251693</c:v>
                </c:pt>
                <c:pt idx="12">
                  <c:v>28.977971886901816</c:v>
                </c:pt>
                <c:pt idx="13">
                  <c:v>34.411585576123677</c:v>
                </c:pt>
                <c:pt idx="14">
                  <c:v>39.934699636643437</c:v>
                </c:pt>
                <c:pt idx="15">
                  <c:v>45.539165911251594</c:v>
                </c:pt>
                <c:pt idx="16">
                  <c:v>51.217350161089499</c:v>
                </c:pt>
                <c:pt idx="17">
                  <c:v>56.962147314682547</c:v>
                </c:pt>
                <c:pt idx="18">
                  <c:v>62.766984404357999</c:v>
                </c:pt>
                <c:pt idx="19">
                  <c:v>68.625813487046727</c:v>
                </c:pt>
                <c:pt idx="20">
                  <c:v>74.533096687763503</c:v>
                </c:pt>
                <c:pt idx="21">
                  <c:v>80.483785292502901</c:v>
                </c:pt>
                <c:pt idx="22">
                  <c:v>86.47329457785051</c:v>
                </c:pt>
                <c:pt idx="23">
                  <c:v>92.4974758167658</c:v>
                </c:pt>
                <c:pt idx="24">
                  <c:v>98.552586658063518</c:v>
                </c:pt>
                <c:pt idx="25">
                  <c:v>104.63526085087516</c:v>
                </c:pt>
                <c:pt idx="26">
                  <c:v>110.74247808082815</c:v>
                </c:pt>
                <c:pt idx="27">
                  <c:v>116.87153450489126</c:v>
                </c:pt>
                <c:pt idx="28">
                  <c:v>123.0200144176567</c:v>
                </c:pt>
                <c:pt idx="29">
                  <c:v>129.1857633525573</c:v>
                </c:pt>
              </c:numCache>
            </c:numRef>
          </c:yVal>
          <c:smooth val="1"/>
          <c:extLst>
            <c:ext xmlns:c16="http://schemas.microsoft.com/office/drawing/2014/chart" uri="{C3380CC4-5D6E-409C-BE32-E72D297353CC}">
              <c16:uniqueId val="{00000002-A6E1-4F1D-AE03-1B9620478557}"/>
            </c:ext>
          </c:extLst>
        </c:ser>
        <c:ser>
          <c:idx val="1"/>
          <c:order val="1"/>
          <c:tx>
            <c:strRef>
              <c:f>'Breakeven Analysis'!$Y$10</c:f>
              <c:strCache>
                <c:ptCount val="1"/>
                <c:pt idx="0">
                  <c:v>AW (rigid)</c:v>
                </c:pt>
              </c:strCache>
            </c:strRef>
          </c:tx>
          <c:spPr>
            <a:ln w="19050" cap="rnd">
              <a:solidFill>
                <a:schemeClr val="accent2"/>
              </a:solidFill>
              <a:round/>
            </a:ln>
            <a:effectLst/>
          </c:spPr>
          <c:marker>
            <c:symbol val="x"/>
            <c:size val="3"/>
            <c:spPr>
              <a:noFill/>
              <a:ln w="9525">
                <a:solidFill>
                  <a:schemeClr val="accent2"/>
                </a:solidFill>
              </a:ln>
              <a:effectLst/>
            </c:spPr>
          </c:marker>
          <c:xVal>
            <c:numRef>
              <c:f>'Breakeven Analysis'!$W$12:$W$41</c:f>
              <c:numCache>
                <c:formatCode>0%</c:formatCode>
                <c:ptCount val="3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numCache>
            </c:numRef>
          </c:xVal>
          <c:yVal>
            <c:numRef>
              <c:f>'Breakeven Analysis'!$Y$12:$Y$41</c:f>
              <c:numCache>
                <c:formatCode>General</c:formatCode>
                <c:ptCount val="30"/>
                <c:pt idx="0">
                  <c:v>-30.390018867037199</c:v>
                </c:pt>
                <c:pt idx="1">
                  <c:v>-24.639637853193964</c:v>
                </c:pt>
                <c:pt idx="2">
                  <c:v>-18.429358109693503</c:v>
                </c:pt>
                <c:pt idx="3">
                  <c:v>-11.784744953560301</c:v>
                </c:pt>
                <c:pt idx="4">
                  <c:v>-4.7362545774098983</c:v>
                </c:pt>
                <c:pt idx="5">
                  <c:v>2.6823687318180527</c:v>
                </c:pt>
                <c:pt idx="6">
                  <c:v>10.435643692174162</c:v>
                </c:pt>
                <c:pt idx="7">
                  <c:v>18.487742544411844</c:v>
                </c:pt>
                <c:pt idx="8">
                  <c:v>26.803650507465079</c:v>
                </c:pt>
                <c:pt idx="9">
                  <c:v>35.350061616648389</c:v>
                </c:pt>
                <c:pt idx="10">
                  <c:v>44.096010344021089</c:v>
                </c:pt>
                <c:pt idx="11">
                  <c:v>53.013261594709327</c:v>
                </c:pt>
                <c:pt idx="12">
                  <c:v>62.076495667020723</c:v>
                </c:pt>
                <c:pt idx="13">
                  <c:v>71.263330722526234</c:v>
                </c:pt>
                <c:pt idx="14">
                  <c:v>80.55422520054023</c:v>
                </c:pt>
                <c:pt idx="15">
                  <c:v>89.932298548998318</c:v>
                </c:pt>
                <c:pt idx="16">
                  <c:v>99.383102493449684</c:v>
                </c:pt>
                <c:pt idx="17">
                  <c:v>108.89436824539177</c:v>
                </c:pt>
                <c:pt idx="18">
                  <c:v>118.45574850491691</c:v>
                </c:pt>
                <c:pt idx="19">
                  <c:v>128.05856737611046</c:v>
                </c:pt>
                <c:pt idx="20">
                  <c:v>137.6955866146919</c:v>
                </c:pt>
                <c:pt idx="21">
                  <c:v>147.36079298891002</c:v>
                </c:pt>
                <c:pt idx="22">
                  <c:v>157.04920886049703</c:v>
                </c:pt>
                <c:pt idx="23">
                  <c:v>166.75672623039932</c:v>
                </c:pt>
                <c:pt idx="24">
                  <c:v>176.47996327750855</c:v>
                </c:pt>
                <c:pt idx="25">
                  <c:v>186.2161416910773</c:v>
                </c:pt>
                <c:pt idx="26">
                  <c:v>195.96298272404778</c:v>
                </c:pt>
                <c:pt idx="27">
                  <c:v>205.71861976595119</c:v>
                </c:pt>
                <c:pt idx="28">
                  <c:v>215.48152526605159</c:v>
                </c:pt>
                <c:pt idx="29">
                  <c:v>225.25044996755182</c:v>
                </c:pt>
              </c:numCache>
            </c:numRef>
          </c:yVal>
          <c:smooth val="1"/>
          <c:extLst>
            <c:ext xmlns:c16="http://schemas.microsoft.com/office/drawing/2014/chart" uri="{C3380CC4-5D6E-409C-BE32-E72D297353CC}">
              <c16:uniqueId val="{00000003-A6E1-4F1D-AE03-1B9620478557}"/>
            </c:ext>
          </c:extLst>
        </c:ser>
        <c:dLbls>
          <c:showLegendKey val="0"/>
          <c:showVal val="0"/>
          <c:showCatName val="0"/>
          <c:showSerName val="0"/>
          <c:showPercent val="0"/>
          <c:showBubbleSize val="0"/>
        </c:dLbls>
        <c:axId val="609467631"/>
        <c:axId val="609465967"/>
      </c:scatterChart>
      <c:valAx>
        <c:axId val="609467631"/>
        <c:scaling>
          <c:orientation val="minMax"/>
          <c:min val="-2.0000000000000004E-2"/>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465967"/>
        <c:crosses val="autoZero"/>
        <c:crossBetween val="midCat"/>
      </c:valAx>
      <c:valAx>
        <c:axId val="60946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467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cmpd="sng">
              <a:solidFill>
                <a:srgbClr val="5B9BD5"/>
              </a:solidFill>
            </a:ln>
          </c:spPr>
          <c:marker>
            <c:symbol val="none"/>
          </c:marker>
          <c:cat>
            <c:numLit>
              <c:formatCode>General</c:formatCode>
              <c:ptCount val="21"/>
              <c:pt idx="0">
                <c:v>68040000</c:v>
              </c:pt>
              <c:pt idx="1">
                <c:v>66906000</c:v>
              </c:pt>
              <c:pt idx="2">
                <c:v>65772000</c:v>
              </c:pt>
              <c:pt idx="3">
                <c:v>64638000</c:v>
              </c:pt>
              <c:pt idx="4">
                <c:v>63504000</c:v>
              </c:pt>
              <c:pt idx="5">
                <c:v>62370000</c:v>
              </c:pt>
              <c:pt idx="6">
                <c:v>61236000</c:v>
              </c:pt>
              <c:pt idx="7">
                <c:v>60102000</c:v>
              </c:pt>
              <c:pt idx="8">
                <c:v>58968000</c:v>
              </c:pt>
              <c:pt idx="9">
                <c:v>57834000</c:v>
              </c:pt>
              <c:pt idx="10">
                <c:v>56700000</c:v>
              </c:pt>
              <c:pt idx="11">
                <c:v>55566000</c:v>
              </c:pt>
              <c:pt idx="12">
                <c:v>54432000</c:v>
              </c:pt>
              <c:pt idx="13">
                <c:v>53298000</c:v>
              </c:pt>
              <c:pt idx="14">
                <c:v>52164000</c:v>
              </c:pt>
              <c:pt idx="15">
                <c:v>51030000</c:v>
              </c:pt>
              <c:pt idx="16">
                <c:v>49896000</c:v>
              </c:pt>
              <c:pt idx="17">
                <c:v>48762000</c:v>
              </c:pt>
              <c:pt idx="18">
                <c:v>47628000</c:v>
              </c:pt>
              <c:pt idx="19">
                <c:v>46494000</c:v>
              </c:pt>
              <c:pt idx="20">
                <c:v>45360000</c:v>
              </c:pt>
            </c:numLit>
          </c:cat>
          <c:val>
            <c:numLit>
              <c:formatCode>General</c:formatCode>
              <c:ptCount val="21"/>
              <c:pt idx="0">
                <c:v>-523626543.15420794</c:v>
              </c:pt>
              <c:pt idx="1">
                <c:v>-522492543.15420794</c:v>
              </c:pt>
              <c:pt idx="2">
                <c:v>-521358543.15420794</c:v>
              </c:pt>
              <c:pt idx="3">
                <c:v>-520224543.15420794</c:v>
              </c:pt>
              <c:pt idx="4">
                <c:v>-519090543.15420794</c:v>
              </c:pt>
              <c:pt idx="5">
                <c:v>-517956543.15420794</c:v>
              </c:pt>
              <c:pt idx="6">
                <c:v>-516822543.15420794</c:v>
              </c:pt>
              <c:pt idx="7">
                <c:v>-515688543.15420794</c:v>
              </c:pt>
              <c:pt idx="8">
                <c:v>-514554543.15420794</c:v>
              </c:pt>
              <c:pt idx="9">
                <c:v>-513420543.15420794</c:v>
              </c:pt>
              <c:pt idx="10">
                <c:v>-512286543.15420794</c:v>
              </c:pt>
              <c:pt idx="11">
                <c:v>-511152543.15420794</c:v>
              </c:pt>
              <c:pt idx="12">
                <c:v>-510018543.15420794</c:v>
              </c:pt>
              <c:pt idx="13">
                <c:v>-508884543.15420794</c:v>
              </c:pt>
              <c:pt idx="14">
                <c:v>-507750543.15420794</c:v>
              </c:pt>
              <c:pt idx="15">
                <c:v>-506616543.15420794</c:v>
              </c:pt>
              <c:pt idx="16">
                <c:v>-505482543.15420794</c:v>
              </c:pt>
              <c:pt idx="17">
                <c:v>-504348543.15420794</c:v>
              </c:pt>
              <c:pt idx="18">
                <c:v>-503214543.15420794</c:v>
              </c:pt>
              <c:pt idx="19">
                <c:v>-502080543.15420794</c:v>
              </c:pt>
              <c:pt idx="20">
                <c:v>-500946543.15420794</c:v>
              </c:pt>
            </c:numLit>
          </c:val>
          <c:smooth val="0"/>
          <c:extLst>
            <c:ext xmlns:c16="http://schemas.microsoft.com/office/drawing/2014/chart" uri="{C3380CC4-5D6E-409C-BE32-E72D297353CC}">
              <c16:uniqueId val="{00000000-2C58-4D0A-AB5D-A15CB79735FC}"/>
            </c:ext>
          </c:extLst>
        </c:ser>
        <c:dLbls>
          <c:showLegendKey val="0"/>
          <c:showVal val="0"/>
          <c:showCatName val="0"/>
          <c:showSerName val="0"/>
          <c:showPercent val="0"/>
          <c:showBubbleSize val="0"/>
        </c:dLbls>
        <c:smooth val="0"/>
        <c:axId val="127966969"/>
        <c:axId val="347161917"/>
      </c:lineChart>
      <c:catAx>
        <c:axId val="127966969"/>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347161917"/>
        <c:crosses val="autoZero"/>
        <c:auto val="1"/>
        <c:lblAlgn val="ctr"/>
        <c:lblOffset val="100"/>
        <c:noMultiLvlLbl val="1"/>
      </c:catAx>
      <c:valAx>
        <c:axId val="347161917"/>
        <c:scaling>
          <c:orientation val="minMax"/>
          <c:min val="-523626543.1499999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b="0">
                <a:solidFill>
                  <a:srgbClr val="000000"/>
                </a:solidFill>
                <a:latin typeface="Arial"/>
              </a:defRPr>
            </a:pPr>
            <a:endParaRPr lang="en-US"/>
          </a:p>
        </c:txPr>
        <c:crossAx val="12796696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cmpd="sng">
              <a:solidFill>
                <a:srgbClr val="5B9BD5"/>
              </a:solidFill>
            </a:ln>
          </c:spPr>
          <c:marker>
            <c:symbol val="none"/>
          </c:marker>
          <c:cat>
            <c:numLit>
              <c:formatCode>General</c:formatCode>
              <c:ptCount val="21"/>
              <c:pt idx="0">
                <c:v>102060000</c:v>
              </c:pt>
              <c:pt idx="1">
                <c:v>100359000</c:v>
              </c:pt>
              <c:pt idx="2">
                <c:v>98658000</c:v>
              </c:pt>
              <c:pt idx="3">
                <c:v>96957000</c:v>
              </c:pt>
              <c:pt idx="4">
                <c:v>95256000</c:v>
              </c:pt>
              <c:pt idx="5">
                <c:v>93555000</c:v>
              </c:pt>
              <c:pt idx="6">
                <c:v>91854000</c:v>
              </c:pt>
              <c:pt idx="7">
                <c:v>90153000</c:v>
              </c:pt>
              <c:pt idx="8">
                <c:v>88452000</c:v>
              </c:pt>
              <c:pt idx="9">
                <c:v>86751000</c:v>
              </c:pt>
              <c:pt idx="10">
                <c:v>85050000</c:v>
              </c:pt>
              <c:pt idx="11">
                <c:v>83349000</c:v>
              </c:pt>
              <c:pt idx="12">
                <c:v>81648000</c:v>
              </c:pt>
              <c:pt idx="13">
                <c:v>79947000</c:v>
              </c:pt>
              <c:pt idx="14">
                <c:v>78246000</c:v>
              </c:pt>
              <c:pt idx="15">
                <c:v>76545000</c:v>
              </c:pt>
              <c:pt idx="16">
                <c:v>74844000</c:v>
              </c:pt>
              <c:pt idx="17">
                <c:v>73143000</c:v>
              </c:pt>
              <c:pt idx="18">
                <c:v>71442000</c:v>
              </c:pt>
              <c:pt idx="19">
                <c:v>69741000</c:v>
              </c:pt>
              <c:pt idx="20">
                <c:v>68040000</c:v>
              </c:pt>
            </c:numLit>
          </c:cat>
          <c:val>
            <c:numLit>
              <c:formatCode>General</c:formatCode>
              <c:ptCount val="21"/>
              <c:pt idx="0">
                <c:v>-188201323.4070375</c:v>
              </c:pt>
              <c:pt idx="1">
                <c:v>-186500323.4070375</c:v>
              </c:pt>
              <c:pt idx="2">
                <c:v>-184799323.4070375</c:v>
              </c:pt>
              <c:pt idx="3">
                <c:v>-183098323.4070375</c:v>
              </c:pt>
              <c:pt idx="4">
                <c:v>-181397323.4070375</c:v>
              </c:pt>
              <c:pt idx="5">
                <c:v>-179696323.4070375</c:v>
              </c:pt>
              <c:pt idx="6">
                <c:v>-177995323.4070375</c:v>
              </c:pt>
              <c:pt idx="7">
                <c:v>-176294323.4070375</c:v>
              </c:pt>
              <c:pt idx="8">
                <c:v>-174593323.4070375</c:v>
              </c:pt>
              <c:pt idx="9">
                <c:v>-172892323.4070375</c:v>
              </c:pt>
              <c:pt idx="10">
                <c:v>-171191323.4070375</c:v>
              </c:pt>
              <c:pt idx="11">
                <c:v>-169490323.4070375</c:v>
              </c:pt>
              <c:pt idx="12">
                <c:v>-167789323.4070375</c:v>
              </c:pt>
              <c:pt idx="13">
                <c:v>-166088323.4070375</c:v>
              </c:pt>
              <c:pt idx="14">
                <c:v>-164387323.4070375</c:v>
              </c:pt>
              <c:pt idx="15">
                <c:v>-162686323.4070375</c:v>
              </c:pt>
              <c:pt idx="16">
                <c:v>-160985323.4070375</c:v>
              </c:pt>
              <c:pt idx="17">
                <c:v>-159284323.4070375</c:v>
              </c:pt>
              <c:pt idx="18">
                <c:v>-157583323.4070375</c:v>
              </c:pt>
              <c:pt idx="19">
                <c:v>-155882323.4070375</c:v>
              </c:pt>
              <c:pt idx="20">
                <c:v>-154181323.4070375</c:v>
              </c:pt>
            </c:numLit>
          </c:val>
          <c:smooth val="0"/>
          <c:extLst>
            <c:ext xmlns:c16="http://schemas.microsoft.com/office/drawing/2014/chart" uri="{C3380CC4-5D6E-409C-BE32-E72D297353CC}">
              <c16:uniqueId val="{00000000-DB61-4183-B19A-BE3F67E6A71B}"/>
            </c:ext>
          </c:extLst>
        </c:ser>
        <c:dLbls>
          <c:showLegendKey val="0"/>
          <c:showVal val="0"/>
          <c:showCatName val="0"/>
          <c:showSerName val="0"/>
          <c:showPercent val="0"/>
          <c:showBubbleSize val="0"/>
        </c:dLbls>
        <c:smooth val="0"/>
        <c:axId val="1818960980"/>
        <c:axId val="106629060"/>
      </c:lineChart>
      <c:catAx>
        <c:axId val="1818960980"/>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6629060"/>
        <c:crosses val="autoZero"/>
        <c:auto val="1"/>
        <c:lblAlgn val="ctr"/>
        <c:lblOffset val="100"/>
        <c:noMultiLvlLbl val="1"/>
      </c:catAx>
      <c:valAx>
        <c:axId val="1066290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1896098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Total of RP vs. Toll Tax Revenue</a:t>
            </a:r>
          </a:p>
        </c:rich>
      </c:tx>
      <c:overlay val="0"/>
    </c:title>
    <c:autoTitleDeleted val="0"/>
    <c:plotArea>
      <c:layout/>
      <c:lineChart>
        <c:grouping val="standard"/>
        <c:varyColors val="0"/>
        <c:ser>
          <c:idx val="0"/>
          <c:order val="0"/>
          <c:tx>
            <c:v>Total of RP</c:v>
          </c:tx>
          <c:spPr>
            <a:ln cmpd="sng">
              <a:solidFill>
                <a:srgbClr val="5B9BD5"/>
              </a:solidFill>
            </a:ln>
          </c:spPr>
          <c:marker>
            <c:symbol val="none"/>
          </c:marker>
          <c:cat>
            <c:numLit>
              <c:formatCode>General</c:formatCode>
              <c:ptCount val="22"/>
              <c:pt idx="1">
                <c:v>915912092.99999952</c:v>
              </c:pt>
              <c:pt idx="2">
                <c:v>900646891.44999957</c:v>
              </c:pt>
              <c:pt idx="3">
                <c:v>885381689.89999962</c:v>
              </c:pt>
              <c:pt idx="4">
                <c:v>870116488.34999967</c:v>
              </c:pt>
              <c:pt idx="5">
                <c:v>854851286.79999971</c:v>
              </c:pt>
              <c:pt idx="6">
                <c:v>839586085.24999976</c:v>
              </c:pt>
              <c:pt idx="7">
                <c:v>824320883.69999981</c:v>
              </c:pt>
              <c:pt idx="8">
                <c:v>809055682.14999986</c:v>
              </c:pt>
              <c:pt idx="9">
                <c:v>793790480.5999999</c:v>
              </c:pt>
              <c:pt idx="10">
                <c:v>778525279.04999995</c:v>
              </c:pt>
              <c:pt idx="11">
                <c:v>763260077.5</c:v>
              </c:pt>
              <c:pt idx="12">
                <c:v>747994875.95000005</c:v>
              </c:pt>
              <c:pt idx="13">
                <c:v>732729674.4000001</c:v>
              </c:pt>
              <c:pt idx="14">
                <c:v>717464472.85000014</c:v>
              </c:pt>
              <c:pt idx="15">
                <c:v>702199271.30000019</c:v>
              </c:pt>
              <c:pt idx="16">
                <c:v>686934069.75000024</c:v>
              </c:pt>
              <c:pt idx="17">
                <c:v>671668868.20000029</c:v>
              </c:pt>
              <c:pt idx="18">
                <c:v>656403666.65000033</c:v>
              </c:pt>
              <c:pt idx="19">
                <c:v>641138465.10000038</c:v>
              </c:pt>
              <c:pt idx="20">
                <c:v>625873263.55000043</c:v>
              </c:pt>
              <c:pt idx="21">
                <c:v>610608062.00000048</c:v>
              </c:pt>
            </c:numLit>
          </c:cat>
          <c:val>
            <c:numLit>
              <c:formatCode>General</c:formatCode>
              <c:ptCount val="22"/>
              <c:pt idx="1">
                <c:v>-359634527.65420842</c:v>
              </c:pt>
              <c:pt idx="2">
                <c:v>-374899729.20420837</c:v>
              </c:pt>
              <c:pt idx="3">
                <c:v>-390164930.75420833</c:v>
              </c:pt>
              <c:pt idx="4">
                <c:v>-405430132.30420828</c:v>
              </c:pt>
              <c:pt idx="5">
                <c:v>-420695333.85420823</c:v>
              </c:pt>
              <c:pt idx="6">
                <c:v>-435960535.40420818</c:v>
              </c:pt>
              <c:pt idx="7">
                <c:v>-451225736.95420814</c:v>
              </c:pt>
              <c:pt idx="8">
                <c:v>-466490938.50420809</c:v>
              </c:pt>
              <c:pt idx="9">
                <c:v>-481756140.05420804</c:v>
              </c:pt>
              <c:pt idx="10">
                <c:v>-497021341.60420799</c:v>
              </c:pt>
              <c:pt idx="11">
                <c:v>-512286543.15420794</c:v>
              </c:pt>
              <c:pt idx="12">
                <c:v>-527551744.7042079</c:v>
              </c:pt>
              <c:pt idx="13">
                <c:v>-542816946.25420785</c:v>
              </c:pt>
              <c:pt idx="14">
                <c:v>-558082147.8042078</c:v>
              </c:pt>
              <c:pt idx="15">
                <c:v>-573347349.35420775</c:v>
              </c:pt>
              <c:pt idx="16">
                <c:v>-588612550.90420771</c:v>
              </c:pt>
              <c:pt idx="17">
                <c:v>-603877752.45420766</c:v>
              </c:pt>
              <c:pt idx="18">
                <c:v>-619142954.00420761</c:v>
              </c:pt>
              <c:pt idx="19">
                <c:v>-634408155.55420756</c:v>
              </c:pt>
              <c:pt idx="20">
                <c:v>-649673357.10420752</c:v>
              </c:pt>
              <c:pt idx="21">
                <c:v>-664938558.65420747</c:v>
              </c:pt>
            </c:numLit>
          </c:val>
          <c:smooth val="0"/>
          <c:extLst>
            <c:ext xmlns:c16="http://schemas.microsoft.com/office/drawing/2014/chart" uri="{C3380CC4-5D6E-409C-BE32-E72D297353CC}">
              <c16:uniqueId val="{00000000-22A4-4B39-B34C-FB390F7E32B9}"/>
            </c:ext>
          </c:extLst>
        </c:ser>
        <c:dLbls>
          <c:showLegendKey val="0"/>
          <c:showVal val="0"/>
          <c:showCatName val="0"/>
          <c:showSerName val="0"/>
          <c:showPercent val="0"/>
          <c:showBubbleSize val="0"/>
        </c:dLbls>
        <c:smooth val="0"/>
        <c:axId val="317967894"/>
        <c:axId val="412041698"/>
      </c:lineChart>
      <c:catAx>
        <c:axId val="317967894"/>
        <c:scaling>
          <c:orientation val="minMax"/>
        </c:scaling>
        <c:delete val="0"/>
        <c:axPos val="b"/>
        <c:title>
          <c:tx>
            <c:rich>
              <a:bodyPr/>
              <a:lstStyle/>
              <a:p>
                <a:pPr lvl="0">
                  <a:defRPr b="0">
                    <a:solidFill>
                      <a:srgbClr val="000000"/>
                    </a:solidFill>
                    <a:latin typeface="+mn-lt"/>
                  </a:defRPr>
                </a:pPr>
                <a:r>
                  <a:rPr lang="en-IN" b="0">
                    <a:solidFill>
                      <a:srgbClr val="000000"/>
                    </a:solidFill>
                    <a:latin typeface="+mn-lt"/>
                  </a:rPr>
                  <a:t>Toll Tax Revenue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12041698"/>
        <c:crosses val="autoZero"/>
        <c:auto val="1"/>
        <c:lblAlgn val="ctr"/>
        <c:lblOffset val="100"/>
        <c:noMultiLvlLbl val="1"/>
      </c:catAx>
      <c:valAx>
        <c:axId val="412041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IN" b="0">
                    <a:solidFill>
                      <a:srgbClr val="000000"/>
                    </a:solidFill>
                    <a:latin typeface="+mn-lt"/>
                  </a:rPr>
                  <a:t>Total of RP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17967894"/>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0">
                <a:solidFill>
                  <a:srgbClr val="757575"/>
                </a:solidFill>
                <a:latin typeface="+mn-lt"/>
              </a:defRPr>
            </a:pPr>
            <a:r>
              <a:rPr lang="en-IN" b="0">
                <a:solidFill>
                  <a:srgbClr val="757575"/>
                </a:solidFill>
                <a:latin typeface="+mn-lt"/>
              </a:rPr>
              <a:t>Total of FP vs. Toll Tax Revenue</a:t>
            </a:r>
          </a:p>
        </c:rich>
      </c:tx>
      <c:overlay val="0"/>
    </c:title>
    <c:autoTitleDeleted val="0"/>
    <c:plotArea>
      <c:layout/>
      <c:lineChart>
        <c:grouping val="standard"/>
        <c:varyColors val="0"/>
        <c:ser>
          <c:idx val="0"/>
          <c:order val="0"/>
          <c:spPr>
            <a:ln cmpd="sng">
              <a:solidFill>
                <a:srgbClr val="5B9BD5"/>
              </a:solidFill>
            </a:ln>
          </c:spPr>
          <c:marker>
            <c:symbol val="none"/>
          </c:marker>
          <c:cat>
            <c:numLit>
              <c:formatCode>General</c:formatCode>
              <c:ptCount val="21"/>
              <c:pt idx="0">
                <c:v>915912092.99999952</c:v>
              </c:pt>
              <c:pt idx="1">
                <c:v>900646891.44999957</c:v>
              </c:pt>
              <c:pt idx="2">
                <c:v>885381689.89999962</c:v>
              </c:pt>
              <c:pt idx="3">
                <c:v>870116488.34999967</c:v>
              </c:pt>
              <c:pt idx="4">
                <c:v>854851286.79999971</c:v>
              </c:pt>
              <c:pt idx="5">
                <c:v>839586085.24999976</c:v>
              </c:pt>
              <c:pt idx="6">
                <c:v>824320883.69999981</c:v>
              </c:pt>
              <c:pt idx="7">
                <c:v>809055682.14999986</c:v>
              </c:pt>
              <c:pt idx="8">
                <c:v>793790480.5999999</c:v>
              </c:pt>
              <c:pt idx="9">
                <c:v>778525279.04999995</c:v>
              </c:pt>
              <c:pt idx="10">
                <c:v>763260077.5</c:v>
              </c:pt>
              <c:pt idx="11">
                <c:v>747994875.95000005</c:v>
              </c:pt>
              <c:pt idx="12">
                <c:v>732729674.4000001</c:v>
              </c:pt>
              <c:pt idx="13">
                <c:v>717464472.85000014</c:v>
              </c:pt>
              <c:pt idx="14">
                <c:v>702199271.30000019</c:v>
              </c:pt>
              <c:pt idx="15">
                <c:v>686934069.75000024</c:v>
              </c:pt>
              <c:pt idx="16">
                <c:v>671668868.20000029</c:v>
              </c:pt>
              <c:pt idx="17">
                <c:v>656403666.65000033</c:v>
              </c:pt>
              <c:pt idx="18">
                <c:v>641138465.10000038</c:v>
              </c:pt>
              <c:pt idx="19">
                <c:v>625873263.55000043</c:v>
              </c:pt>
              <c:pt idx="20">
                <c:v>610608062.00000048</c:v>
              </c:pt>
            </c:numLit>
          </c:cat>
          <c:val>
            <c:numLit>
              <c:formatCode>General</c:formatCode>
              <c:ptCount val="21"/>
              <c:pt idx="0">
                <c:v>-18539307.907037735</c:v>
              </c:pt>
              <c:pt idx="1">
                <c:v>-33804509.457037687</c:v>
              </c:pt>
              <c:pt idx="2">
                <c:v>-49069711.00703764</c:v>
              </c:pt>
              <c:pt idx="3">
                <c:v>-64334912.557037592</c:v>
              </c:pt>
              <c:pt idx="4">
                <c:v>-79600114.107037544</c:v>
              </c:pt>
              <c:pt idx="5">
                <c:v>-94865315.657037497</c:v>
              </c:pt>
              <c:pt idx="6">
                <c:v>-110130517.20703745</c:v>
              </c:pt>
              <c:pt idx="7">
                <c:v>-125395718.7570374</c:v>
              </c:pt>
              <c:pt idx="8">
                <c:v>-140660920.30703735</c:v>
              </c:pt>
              <c:pt idx="9">
                <c:v>-155926121.85703731</c:v>
              </c:pt>
              <c:pt idx="10">
                <c:v>-171191323.40703726</c:v>
              </c:pt>
              <c:pt idx="11">
                <c:v>-186456524.95703721</c:v>
              </c:pt>
              <c:pt idx="12">
                <c:v>-201721726.50703716</c:v>
              </c:pt>
              <c:pt idx="13">
                <c:v>-216986928.05703712</c:v>
              </c:pt>
              <c:pt idx="14">
                <c:v>-232252129.60703707</c:v>
              </c:pt>
              <c:pt idx="15">
                <c:v>-247517331.15703702</c:v>
              </c:pt>
              <c:pt idx="16">
                <c:v>-262782532.70703697</c:v>
              </c:pt>
              <c:pt idx="17">
                <c:v>-278047734.25703692</c:v>
              </c:pt>
              <c:pt idx="18">
                <c:v>-293312935.80703688</c:v>
              </c:pt>
              <c:pt idx="19">
                <c:v>-308578137.35703683</c:v>
              </c:pt>
              <c:pt idx="20">
                <c:v>-323843338.90703678</c:v>
              </c:pt>
            </c:numLit>
          </c:val>
          <c:smooth val="0"/>
          <c:extLst>
            <c:ext xmlns:c16="http://schemas.microsoft.com/office/drawing/2014/chart" uri="{C3380CC4-5D6E-409C-BE32-E72D297353CC}">
              <c16:uniqueId val="{00000000-5469-47FB-84C6-F1B0CE27938A}"/>
            </c:ext>
          </c:extLst>
        </c:ser>
        <c:dLbls>
          <c:showLegendKey val="0"/>
          <c:showVal val="0"/>
          <c:showCatName val="0"/>
          <c:showSerName val="0"/>
          <c:showPercent val="0"/>
          <c:showBubbleSize val="0"/>
        </c:dLbls>
        <c:smooth val="0"/>
        <c:axId val="1237385817"/>
        <c:axId val="1356664569"/>
      </c:lineChart>
      <c:catAx>
        <c:axId val="1237385817"/>
        <c:scaling>
          <c:orientation val="minMax"/>
        </c:scaling>
        <c:delete val="0"/>
        <c:axPos val="b"/>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356664569"/>
        <c:crosses val="autoZero"/>
        <c:auto val="1"/>
        <c:lblAlgn val="ctr"/>
        <c:lblOffset val="100"/>
        <c:noMultiLvlLbl val="1"/>
      </c:catAx>
      <c:valAx>
        <c:axId val="13566645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237385817"/>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8.png"/><Relationship Id="rId1" Type="http://schemas.openxmlformats.org/officeDocument/2006/relationships/image" Target="../media/image12.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0</xdr:colOff>
      <xdr:row>3</xdr:row>
      <xdr:rowOff>18000</xdr:rowOff>
    </xdr:to>
    <xdr:sp macro="" textlink="">
      <xdr:nvSpPr>
        <xdr:cNvPr id="3" name="Rectangle 2">
          <a:extLst>
            <a:ext uri="{FF2B5EF4-FFF2-40B4-BE49-F238E27FC236}">
              <a16:creationId xmlns:a16="http://schemas.microsoft.com/office/drawing/2014/main" id="{9D1761D5-0FA9-4523-9089-B3E2106772A3}"/>
            </a:ext>
          </a:extLst>
        </xdr:cNvPr>
        <xdr:cNvSpPr/>
      </xdr:nvSpPr>
      <xdr:spPr>
        <a:xfrm>
          <a:off x="0" y="0"/>
          <a:ext cx="17442264" cy="570659"/>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b="1"/>
            <a:t>Design</a:t>
          </a:r>
          <a:r>
            <a:rPr lang="en-IN" sz="2000" b="1" baseline="0"/>
            <a:t> of Flexible Pavement</a:t>
          </a:r>
          <a:endParaRPr lang="en-IN" sz="2000" b="1"/>
        </a:p>
      </xdr:txBody>
    </xdr:sp>
    <xdr:clientData/>
  </xdr:twoCellAnchor>
  <xdr:twoCellAnchor editAs="oneCell">
    <xdr:from>
      <xdr:col>1</xdr:col>
      <xdr:colOff>25976</xdr:colOff>
      <xdr:row>66</xdr:row>
      <xdr:rowOff>0</xdr:rowOff>
    </xdr:from>
    <xdr:to>
      <xdr:col>3</xdr:col>
      <xdr:colOff>419708</xdr:colOff>
      <xdr:row>78</xdr:row>
      <xdr:rowOff>77932</xdr:rowOff>
    </xdr:to>
    <xdr:pic>
      <xdr:nvPicPr>
        <xdr:cNvPr id="5" name="Picture 4">
          <a:extLst>
            <a:ext uri="{FF2B5EF4-FFF2-40B4-BE49-F238E27FC236}">
              <a16:creationId xmlns:a16="http://schemas.microsoft.com/office/drawing/2014/main" id="{D7A1BD80-0870-4EED-B12F-9B53BFB138A8}"/>
            </a:ext>
          </a:extLst>
        </xdr:cNvPr>
        <xdr:cNvPicPr>
          <a:picLocks noChangeAspect="1"/>
        </xdr:cNvPicPr>
      </xdr:nvPicPr>
      <xdr:blipFill rotWithShape="1">
        <a:blip xmlns:r="http://schemas.openxmlformats.org/officeDocument/2006/relationships" r:embed="rId1"/>
        <a:srcRect l="5918"/>
        <a:stretch/>
      </xdr:blipFill>
      <xdr:spPr>
        <a:xfrm>
          <a:off x="639293" y="12312805"/>
          <a:ext cx="2884171" cy="2354639"/>
        </a:xfrm>
        <a:prstGeom prst="rect">
          <a:avLst/>
        </a:prstGeom>
      </xdr:spPr>
    </xdr:pic>
    <xdr:clientData/>
  </xdr:twoCellAnchor>
  <xdr:twoCellAnchor editAs="oneCell">
    <xdr:from>
      <xdr:col>8</xdr:col>
      <xdr:colOff>29536</xdr:colOff>
      <xdr:row>86</xdr:row>
      <xdr:rowOff>23628</xdr:rowOff>
    </xdr:from>
    <xdr:to>
      <xdr:col>12</xdr:col>
      <xdr:colOff>349351</xdr:colOff>
      <xdr:row>89</xdr:row>
      <xdr:rowOff>56267</xdr:rowOff>
    </xdr:to>
    <xdr:pic>
      <xdr:nvPicPr>
        <xdr:cNvPr id="10" name="Picture 9">
          <a:extLst>
            <a:ext uri="{FF2B5EF4-FFF2-40B4-BE49-F238E27FC236}">
              <a16:creationId xmlns:a16="http://schemas.microsoft.com/office/drawing/2014/main" id="{F0A9D744-53D1-42D2-9AF0-673D9354E53D}"/>
            </a:ext>
          </a:extLst>
        </xdr:cNvPr>
        <xdr:cNvPicPr>
          <a:picLocks noChangeAspect="1"/>
        </xdr:cNvPicPr>
      </xdr:nvPicPr>
      <xdr:blipFill>
        <a:blip xmlns:r="http://schemas.openxmlformats.org/officeDocument/2006/relationships" r:embed="rId2"/>
        <a:stretch>
          <a:fillRect/>
        </a:stretch>
      </xdr:blipFill>
      <xdr:spPr>
        <a:xfrm>
          <a:off x="7334226" y="15946800"/>
          <a:ext cx="2742568" cy="584433"/>
        </a:xfrm>
        <a:prstGeom prst="rect">
          <a:avLst/>
        </a:prstGeom>
      </xdr:spPr>
    </xdr:pic>
    <xdr:clientData/>
  </xdr:twoCellAnchor>
  <xdr:twoCellAnchor editAs="oneCell">
    <xdr:from>
      <xdr:col>8</xdr:col>
      <xdr:colOff>1</xdr:colOff>
      <xdr:row>89</xdr:row>
      <xdr:rowOff>1</xdr:rowOff>
    </xdr:from>
    <xdr:to>
      <xdr:col>13</xdr:col>
      <xdr:colOff>2239</xdr:colOff>
      <xdr:row>94</xdr:row>
      <xdr:rowOff>52552</xdr:rowOff>
    </xdr:to>
    <xdr:pic>
      <xdr:nvPicPr>
        <xdr:cNvPr id="11" name="Picture 10">
          <a:extLst>
            <a:ext uri="{FF2B5EF4-FFF2-40B4-BE49-F238E27FC236}">
              <a16:creationId xmlns:a16="http://schemas.microsoft.com/office/drawing/2014/main" id="{97FB90D3-236F-82B4-27C9-11B0EFB48EE9}"/>
            </a:ext>
          </a:extLst>
        </xdr:cNvPr>
        <xdr:cNvPicPr>
          <a:picLocks noChangeAspect="1"/>
        </xdr:cNvPicPr>
      </xdr:nvPicPr>
      <xdr:blipFill>
        <a:blip xmlns:r="http://schemas.openxmlformats.org/officeDocument/2006/relationships" r:embed="rId3"/>
        <a:stretch>
          <a:fillRect/>
        </a:stretch>
      </xdr:blipFill>
      <xdr:spPr>
        <a:xfrm>
          <a:off x="7304691" y="16474967"/>
          <a:ext cx="3048446" cy="972206"/>
        </a:xfrm>
        <a:prstGeom prst="rect">
          <a:avLst/>
        </a:prstGeom>
      </xdr:spPr>
    </xdr:pic>
    <xdr:clientData/>
  </xdr:twoCellAnchor>
  <xdr:twoCellAnchor editAs="oneCell">
    <xdr:from>
      <xdr:col>9</xdr:col>
      <xdr:colOff>0</xdr:colOff>
      <xdr:row>6</xdr:row>
      <xdr:rowOff>0</xdr:rowOff>
    </xdr:from>
    <xdr:to>
      <xdr:col>17</xdr:col>
      <xdr:colOff>121875</xdr:colOff>
      <xdr:row>19</xdr:row>
      <xdr:rowOff>17517</xdr:rowOff>
    </xdr:to>
    <xdr:pic>
      <xdr:nvPicPr>
        <xdr:cNvPr id="12" name="Picture 11">
          <a:extLst>
            <a:ext uri="{FF2B5EF4-FFF2-40B4-BE49-F238E27FC236}">
              <a16:creationId xmlns:a16="http://schemas.microsoft.com/office/drawing/2014/main" id="{7B136BBB-E727-4A27-88E1-B77411B15B5B}"/>
            </a:ext>
          </a:extLst>
        </xdr:cNvPr>
        <xdr:cNvPicPr>
          <a:picLocks noChangeAspect="1"/>
        </xdr:cNvPicPr>
      </xdr:nvPicPr>
      <xdr:blipFill>
        <a:blip xmlns:r="http://schemas.openxmlformats.org/officeDocument/2006/relationships" r:embed="rId4"/>
        <a:stretch>
          <a:fillRect/>
        </a:stretch>
      </xdr:blipFill>
      <xdr:spPr>
        <a:xfrm>
          <a:off x="7917793" y="1121103"/>
          <a:ext cx="5001621" cy="2426138"/>
        </a:xfrm>
        <a:prstGeom prst="rect">
          <a:avLst/>
        </a:prstGeom>
      </xdr:spPr>
    </xdr:pic>
    <xdr:clientData/>
  </xdr:twoCellAnchor>
  <xdr:twoCellAnchor editAs="oneCell">
    <xdr:from>
      <xdr:col>1</xdr:col>
      <xdr:colOff>0</xdr:colOff>
      <xdr:row>95</xdr:row>
      <xdr:rowOff>0</xdr:rowOff>
    </xdr:from>
    <xdr:to>
      <xdr:col>6</xdr:col>
      <xdr:colOff>589454</xdr:colOff>
      <xdr:row>121</xdr:row>
      <xdr:rowOff>91440</xdr:rowOff>
    </xdr:to>
    <xdr:pic>
      <xdr:nvPicPr>
        <xdr:cNvPr id="2" name="Picture 1">
          <a:extLst>
            <a:ext uri="{FF2B5EF4-FFF2-40B4-BE49-F238E27FC236}">
              <a16:creationId xmlns:a16="http://schemas.microsoft.com/office/drawing/2014/main" id="{570FC658-F38C-BDEA-23F9-1BDEC22976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7495520"/>
          <a:ext cx="6149340" cy="484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580159</xdr:colOff>
      <xdr:row>96</xdr:row>
      <xdr:rowOff>0</xdr:rowOff>
    </xdr:from>
    <xdr:to>
      <xdr:col>18</xdr:col>
      <xdr:colOff>402821</xdr:colOff>
      <xdr:row>118</xdr:row>
      <xdr:rowOff>22860</xdr:rowOff>
    </xdr:to>
    <xdr:grpSp>
      <xdr:nvGrpSpPr>
        <xdr:cNvPr id="8" name="Group 7">
          <a:extLst>
            <a:ext uri="{FF2B5EF4-FFF2-40B4-BE49-F238E27FC236}">
              <a16:creationId xmlns:a16="http://schemas.microsoft.com/office/drawing/2014/main" id="{12B12C1D-4443-CB7C-EEC8-D17663991E64}"/>
            </a:ext>
          </a:extLst>
        </xdr:cNvPr>
        <xdr:cNvGrpSpPr/>
      </xdr:nvGrpSpPr>
      <xdr:grpSpPr>
        <a:xfrm>
          <a:off x="7586842" y="17934878"/>
          <a:ext cx="6485516" cy="4111641"/>
          <a:chOff x="7581506" y="17503366"/>
          <a:chExt cx="6499592" cy="4006385"/>
        </a:xfrm>
      </xdr:grpSpPr>
      <xdr:pic>
        <xdr:nvPicPr>
          <xdr:cNvPr id="4" name="Picture 3">
            <a:extLst>
              <a:ext uri="{FF2B5EF4-FFF2-40B4-BE49-F238E27FC236}">
                <a16:creationId xmlns:a16="http://schemas.microsoft.com/office/drawing/2014/main" id="{DCF9A741-3A02-1173-CF65-D24D6FD000C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81506" y="17503366"/>
            <a:ext cx="6499592" cy="40063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Rectangle 5">
            <a:extLst>
              <a:ext uri="{FF2B5EF4-FFF2-40B4-BE49-F238E27FC236}">
                <a16:creationId xmlns:a16="http://schemas.microsoft.com/office/drawing/2014/main" id="{4829498F-FE85-8874-8156-BCD1C7B7E3FF}"/>
              </a:ext>
            </a:extLst>
          </xdr:cNvPr>
          <xdr:cNvSpPr/>
        </xdr:nvSpPr>
        <xdr:spPr>
          <a:xfrm>
            <a:off x="12622040" y="19585663"/>
            <a:ext cx="694099" cy="54320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6">
            <a:extLst>
              <a:ext uri="{FF2B5EF4-FFF2-40B4-BE49-F238E27FC236}">
                <a16:creationId xmlns:a16="http://schemas.microsoft.com/office/drawing/2014/main" id="{59E3C4CF-2FF2-F5D8-C04E-0D423659233E}"/>
              </a:ext>
            </a:extLst>
          </xdr:cNvPr>
          <xdr:cNvSpPr/>
        </xdr:nvSpPr>
        <xdr:spPr>
          <a:xfrm>
            <a:off x="11944539" y="20115291"/>
            <a:ext cx="694099" cy="54320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364761</xdr:colOff>
      <xdr:row>3</xdr:row>
      <xdr:rowOff>31491</xdr:rowOff>
    </xdr:to>
    <xdr:sp macro="" textlink="">
      <xdr:nvSpPr>
        <xdr:cNvPr id="2" name="Rectangle 1">
          <a:extLst>
            <a:ext uri="{FF2B5EF4-FFF2-40B4-BE49-F238E27FC236}">
              <a16:creationId xmlns:a16="http://schemas.microsoft.com/office/drawing/2014/main" id="{739802D3-0187-41F6-B3A6-DDE40C404CC1}"/>
            </a:ext>
          </a:extLst>
        </xdr:cNvPr>
        <xdr:cNvSpPr/>
      </xdr:nvSpPr>
      <xdr:spPr>
        <a:xfrm>
          <a:off x="0" y="0"/>
          <a:ext cx="16214361" cy="580131"/>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b="1"/>
            <a:t>Design</a:t>
          </a:r>
          <a:r>
            <a:rPr lang="en-IN" sz="2000" b="1" baseline="0"/>
            <a:t> of Rigid Pavement</a:t>
          </a:r>
          <a:endParaRPr lang="en-IN" sz="2000" b="1"/>
        </a:p>
      </xdr:txBody>
    </xdr:sp>
    <xdr:clientData/>
  </xdr:twoCellAnchor>
  <xdr:oneCellAnchor>
    <xdr:from>
      <xdr:col>0</xdr:col>
      <xdr:colOff>0</xdr:colOff>
      <xdr:row>0</xdr:row>
      <xdr:rowOff>0</xdr:rowOff>
    </xdr:from>
    <xdr:ext cx="20850225" cy="581025"/>
    <xdr:sp macro="" textlink="">
      <xdr:nvSpPr>
        <xdr:cNvPr id="3" name="Shape 4">
          <a:extLst>
            <a:ext uri="{FF2B5EF4-FFF2-40B4-BE49-F238E27FC236}">
              <a16:creationId xmlns:a16="http://schemas.microsoft.com/office/drawing/2014/main" id="{6FE0C918-8592-47D8-BC04-9D496777E3B8}"/>
            </a:ext>
          </a:extLst>
        </xdr:cNvPr>
        <xdr:cNvSpPr/>
      </xdr:nvSpPr>
      <xdr:spPr>
        <a:xfrm>
          <a:off x="0" y="0"/>
          <a:ext cx="20850225"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Design of Rigid Pavement</a:t>
          </a:r>
          <a:endParaRPr sz="2000" b="1"/>
        </a:p>
      </xdr:txBody>
    </xdr:sp>
    <xdr:clientData fLocksWithSheet="0"/>
  </xdr:oneCellAnchor>
  <xdr:oneCellAnchor>
    <xdr:from>
      <xdr:col>9</xdr:col>
      <xdr:colOff>0</xdr:colOff>
      <xdr:row>5</xdr:row>
      <xdr:rowOff>0</xdr:rowOff>
    </xdr:from>
    <xdr:ext cx="7696200" cy="2743200"/>
    <xdr:pic>
      <xdr:nvPicPr>
        <xdr:cNvPr id="4" name="image5.png">
          <a:extLst>
            <a:ext uri="{FF2B5EF4-FFF2-40B4-BE49-F238E27FC236}">
              <a16:creationId xmlns:a16="http://schemas.microsoft.com/office/drawing/2014/main" id="{73CF007F-0EA0-455C-A55E-5F65BE75B34B}"/>
            </a:ext>
          </a:extLst>
        </xdr:cNvPr>
        <xdr:cNvPicPr preferRelativeResize="0"/>
      </xdr:nvPicPr>
      <xdr:blipFill>
        <a:blip xmlns:r="http://schemas.openxmlformats.org/officeDocument/2006/relationships" r:embed="rId1" cstate="print"/>
        <a:stretch>
          <a:fillRect/>
        </a:stretch>
      </xdr:blipFill>
      <xdr:spPr>
        <a:xfrm>
          <a:off x="9258300" y="876300"/>
          <a:ext cx="7696200" cy="27432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6792575" cy="581025"/>
    <xdr:sp macro="" textlink="">
      <xdr:nvSpPr>
        <xdr:cNvPr id="5" name="Shape 5">
          <a:extLst>
            <a:ext uri="{FF2B5EF4-FFF2-40B4-BE49-F238E27FC236}">
              <a16:creationId xmlns:a16="http://schemas.microsoft.com/office/drawing/2014/main" id="{88C1B560-188E-4DC4-B0B3-8A1C488C9F37}"/>
            </a:ext>
          </a:extLst>
        </xdr:cNvPr>
        <xdr:cNvSpPr/>
      </xdr:nvSpPr>
      <xdr:spPr>
        <a:xfrm>
          <a:off x="0" y="0"/>
          <a:ext cx="16792575"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Cost Estimation</a:t>
          </a:r>
          <a:endParaRPr sz="2000" b="1"/>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6792575" cy="581025"/>
    <xdr:sp macro="" textlink="">
      <xdr:nvSpPr>
        <xdr:cNvPr id="2" name="Shape 5">
          <a:extLst>
            <a:ext uri="{FF2B5EF4-FFF2-40B4-BE49-F238E27FC236}">
              <a16:creationId xmlns:a16="http://schemas.microsoft.com/office/drawing/2014/main" id="{55616A48-D987-4EA4-BD13-BC84CA4F188E}"/>
            </a:ext>
          </a:extLst>
        </xdr:cNvPr>
        <xdr:cNvSpPr/>
      </xdr:nvSpPr>
      <xdr:spPr>
        <a:xfrm>
          <a:off x="0" y="0"/>
          <a:ext cx="16792575"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Revenue Estimation</a:t>
          </a:r>
          <a:endParaRPr sz="2000" b="1"/>
        </a:p>
      </xdr:txBody>
    </xdr:sp>
    <xdr:clientData fLocksWithSheet="0"/>
  </xdr:one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364761</xdr:colOff>
      <xdr:row>3</xdr:row>
      <xdr:rowOff>31491</xdr:rowOff>
    </xdr:to>
    <xdr:sp macro="" textlink="">
      <xdr:nvSpPr>
        <xdr:cNvPr id="2" name="Rectangle 1">
          <a:extLst>
            <a:ext uri="{FF2B5EF4-FFF2-40B4-BE49-F238E27FC236}">
              <a16:creationId xmlns:a16="http://schemas.microsoft.com/office/drawing/2014/main" id="{A45E5B1D-5A60-4545-9F9A-7087F40FE9A8}"/>
            </a:ext>
          </a:extLst>
        </xdr:cNvPr>
        <xdr:cNvSpPr/>
      </xdr:nvSpPr>
      <xdr:spPr>
        <a:xfrm>
          <a:off x="0" y="0"/>
          <a:ext cx="16214361" cy="580131"/>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b="1"/>
            <a:t>Cash flow</a:t>
          </a:r>
        </a:p>
      </xdr:txBody>
    </xdr:sp>
    <xdr:clientData/>
  </xdr:twoCellAnchor>
  <xdr:oneCellAnchor>
    <xdr:from>
      <xdr:col>11</xdr:col>
      <xdr:colOff>64102</xdr:colOff>
      <xdr:row>16</xdr:row>
      <xdr:rowOff>131806</xdr:rowOff>
    </xdr:from>
    <xdr:ext cx="7162800" cy="1704975"/>
    <xdr:pic>
      <xdr:nvPicPr>
        <xdr:cNvPr id="5" name="image7.png" title="Image">
          <a:extLst>
            <a:ext uri="{FF2B5EF4-FFF2-40B4-BE49-F238E27FC236}">
              <a16:creationId xmlns:a16="http://schemas.microsoft.com/office/drawing/2014/main" id="{EA737E8E-0CE0-45A1-BA37-85F32559A403}"/>
            </a:ext>
          </a:extLst>
        </xdr:cNvPr>
        <xdr:cNvPicPr preferRelativeResize="0"/>
      </xdr:nvPicPr>
      <xdr:blipFill>
        <a:blip xmlns:r="http://schemas.openxmlformats.org/officeDocument/2006/relationships" r:embed="rId1" cstate="print"/>
        <a:stretch>
          <a:fillRect/>
        </a:stretch>
      </xdr:blipFill>
      <xdr:spPr>
        <a:xfrm>
          <a:off x="8395302" y="2976606"/>
          <a:ext cx="7162800" cy="1704975"/>
        </a:xfrm>
        <a:prstGeom prst="rect">
          <a:avLst/>
        </a:prstGeom>
        <a:noFill/>
      </xdr:spPr>
    </xdr:pic>
    <xdr:clientData fLocksWithSheet="0"/>
  </xdr:oneCellAnchor>
  <xdr:oneCellAnchor>
    <xdr:from>
      <xdr:col>0</xdr:col>
      <xdr:colOff>428625</xdr:colOff>
      <xdr:row>16</xdr:row>
      <xdr:rowOff>152400</xdr:rowOff>
    </xdr:from>
    <xdr:ext cx="6619875" cy="1943100"/>
    <xdr:pic>
      <xdr:nvPicPr>
        <xdr:cNvPr id="6" name="image6.png" title="Image">
          <a:extLst>
            <a:ext uri="{FF2B5EF4-FFF2-40B4-BE49-F238E27FC236}">
              <a16:creationId xmlns:a16="http://schemas.microsoft.com/office/drawing/2014/main" id="{ED0B8EDE-3AFC-461B-AA4A-240492ECDDC9}"/>
            </a:ext>
          </a:extLst>
        </xdr:cNvPr>
        <xdr:cNvPicPr preferRelativeResize="0"/>
      </xdr:nvPicPr>
      <xdr:blipFill>
        <a:blip xmlns:r="http://schemas.openxmlformats.org/officeDocument/2006/relationships" r:embed="rId2" cstate="print"/>
        <a:stretch>
          <a:fillRect/>
        </a:stretch>
      </xdr:blipFill>
      <xdr:spPr>
        <a:xfrm>
          <a:off x="428625" y="2956560"/>
          <a:ext cx="6619875" cy="19431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15478125" cy="581025"/>
    <xdr:sp macro="" textlink="">
      <xdr:nvSpPr>
        <xdr:cNvPr id="6" name="Shape 8">
          <a:extLst>
            <a:ext uri="{FF2B5EF4-FFF2-40B4-BE49-F238E27FC236}">
              <a16:creationId xmlns:a16="http://schemas.microsoft.com/office/drawing/2014/main" id="{78F2D4D2-4BE2-4276-A4BC-516ED0EF0357}"/>
            </a:ext>
          </a:extLst>
        </xdr:cNvPr>
        <xdr:cNvSpPr/>
      </xdr:nvSpPr>
      <xdr:spPr>
        <a:xfrm>
          <a:off x="0" y="0"/>
          <a:ext cx="15478125"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Financial</a:t>
          </a:r>
          <a:r>
            <a:rPr lang="en-US" sz="2000" b="1" baseline="0">
              <a:solidFill>
                <a:schemeClr val="lt1"/>
              </a:solidFill>
              <a:latin typeface="Calibri"/>
              <a:ea typeface="Calibri"/>
              <a:cs typeface="Calibri"/>
              <a:sym typeface="Calibri"/>
            </a:rPr>
            <a:t> </a:t>
          </a:r>
          <a:r>
            <a:rPr lang="en-US" sz="2000" b="1">
              <a:solidFill>
                <a:schemeClr val="lt1"/>
              </a:solidFill>
              <a:latin typeface="Calibri"/>
              <a:ea typeface="Calibri"/>
              <a:cs typeface="Calibri"/>
              <a:sym typeface="Calibri"/>
            </a:rPr>
            <a:t>Analysis</a:t>
          </a:r>
          <a:endParaRPr sz="1400"/>
        </a:p>
      </xdr:txBody>
    </xdr:sp>
    <xdr:clientData fLocksWithSheet="0"/>
  </xdr:oneCellAnchor>
  <xdr:twoCellAnchor editAs="oneCell">
    <xdr:from>
      <xdr:col>1</xdr:col>
      <xdr:colOff>95249</xdr:colOff>
      <xdr:row>6</xdr:row>
      <xdr:rowOff>84667</xdr:rowOff>
    </xdr:from>
    <xdr:to>
      <xdr:col>21</xdr:col>
      <xdr:colOff>312419</xdr:colOff>
      <xdr:row>13</xdr:row>
      <xdr:rowOff>89324</xdr:rowOff>
    </xdr:to>
    <xdr:pic>
      <xdr:nvPicPr>
        <xdr:cNvPr id="7" name="Picture 6">
          <a:extLst>
            <a:ext uri="{FF2B5EF4-FFF2-40B4-BE49-F238E27FC236}">
              <a16:creationId xmlns:a16="http://schemas.microsoft.com/office/drawing/2014/main" id="{A4DFCC93-A8D5-F6D1-00FB-7D3091533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7916" y="1164167"/>
          <a:ext cx="6694170" cy="2015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254001</xdr:colOff>
      <xdr:row>6</xdr:row>
      <xdr:rowOff>74083</xdr:rowOff>
    </xdr:from>
    <xdr:to>
      <xdr:col>26</xdr:col>
      <xdr:colOff>41910</xdr:colOff>
      <xdr:row>11</xdr:row>
      <xdr:rowOff>147320</xdr:rowOff>
    </xdr:to>
    <xdr:pic>
      <xdr:nvPicPr>
        <xdr:cNvPr id="8" name="Picture 7">
          <a:extLst>
            <a:ext uri="{FF2B5EF4-FFF2-40B4-BE49-F238E27FC236}">
              <a16:creationId xmlns:a16="http://schemas.microsoft.com/office/drawing/2014/main" id="{DA8DC323-BFE2-1133-2311-D54035B9DD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58251" y="1153583"/>
          <a:ext cx="7143326" cy="1724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5478125" cy="581025"/>
    <xdr:sp macro="" textlink="">
      <xdr:nvSpPr>
        <xdr:cNvPr id="4" name="Shape 8">
          <a:extLst>
            <a:ext uri="{FF2B5EF4-FFF2-40B4-BE49-F238E27FC236}">
              <a16:creationId xmlns:a16="http://schemas.microsoft.com/office/drawing/2014/main" id="{664775EE-5640-401F-9B2A-F74ACEC6E213}"/>
            </a:ext>
          </a:extLst>
        </xdr:cNvPr>
        <xdr:cNvSpPr/>
      </xdr:nvSpPr>
      <xdr:spPr>
        <a:xfrm>
          <a:off x="0" y="0"/>
          <a:ext cx="15478125"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Economic Analysis</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10</xdr:col>
      <xdr:colOff>447675</xdr:colOff>
      <xdr:row>10</xdr:row>
      <xdr:rowOff>142875</xdr:rowOff>
    </xdr:from>
    <xdr:ext cx="5715000" cy="3533775"/>
    <xdr:graphicFrame macro="">
      <xdr:nvGraphicFramePr>
        <xdr:cNvPr id="2" name="Chart 1" title="Chart">
          <a:extLst>
            <a:ext uri="{FF2B5EF4-FFF2-40B4-BE49-F238E27FC236}">
              <a16:creationId xmlns:a16="http://schemas.microsoft.com/office/drawing/2014/main" id="{E8E7A039-5674-4719-895F-90A62326A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419100</xdr:colOff>
      <xdr:row>23</xdr:row>
      <xdr:rowOff>152400</xdr:rowOff>
    </xdr:from>
    <xdr:ext cx="5715000" cy="3533775"/>
    <xdr:graphicFrame macro="">
      <xdr:nvGraphicFramePr>
        <xdr:cNvPr id="3" name="Chart 2" title="Chart">
          <a:extLst>
            <a:ext uri="{FF2B5EF4-FFF2-40B4-BE49-F238E27FC236}">
              <a16:creationId xmlns:a16="http://schemas.microsoft.com/office/drawing/2014/main" id="{2AB87091-3680-4A7C-BF0A-E7B1AFA35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638175</xdr:colOff>
      <xdr:row>23</xdr:row>
      <xdr:rowOff>152400</xdr:rowOff>
    </xdr:from>
    <xdr:ext cx="5715000" cy="3533775"/>
    <xdr:graphicFrame macro="">
      <xdr:nvGraphicFramePr>
        <xdr:cNvPr id="4" name="Chart 3" title="Chart">
          <a:extLst>
            <a:ext uri="{FF2B5EF4-FFF2-40B4-BE49-F238E27FC236}">
              <a16:creationId xmlns:a16="http://schemas.microsoft.com/office/drawing/2014/main" id="{F267AE55-99D7-4428-B11E-563F09C31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295275</xdr:colOff>
      <xdr:row>47</xdr:row>
      <xdr:rowOff>238125</xdr:rowOff>
    </xdr:from>
    <xdr:ext cx="5715000" cy="3533775"/>
    <xdr:graphicFrame macro="">
      <xdr:nvGraphicFramePr>
        <xdr:cNvPr id="5" name="Chart 4" title="Chart">
          <a:extLst>
            <a:ext uri="{FF2B5EF4-FFF2-40B4-BE49-F238E27FC236}">
              <a16:creationId xmlns:a16="http://schemas.microsoft.com/office/drawing/2014/main" id="{2F26DEC0-3064-4412-8FCE-1971B5301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4</xdr:col>
      <xdr:colOff>1838325</xdr:colOff>
      <xdr:row>47</xdr:row>
      <xdr:rowOff>9525</xdr:rowOff>
    </xdr:from>
    <xdr:ext cx="5715000" cy="3533775"/>
    <xdr:graphicFrame macro="">
      <xdr:nvGraphicFramePr>
        <xdr:cNvPr id="6" name="Chart 5" title="Chart">
          <a:extLst>
            <a:ext uri="{FF2B5EF4-FFF2-40B4-BE49-F238E27FC236}">
              <a16:creationId xmlns:a16="http://schemas.microsoft.com/office/drawing/2014/main" id="{0AF84453-28D6-4FF5-AE79-A47A3EA1A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xdr:col>
      <xdr:colOff>419100</xdr:colOff>
      <xdr:row>72</xdr:row>
      <xdr:rowOff>28575</xdr:rowOff>
    </xdr:from>
    <xdr:ext cx="5715000" cy="3533775"/>
    <xdr:graphicFrame macro="">
      <xdr:nvGraphicFramePr>
        <xdr:cNvPr id="7" name="Chart 6" title="Chart">
          <a:extLst>
            <a:ext uri="{FF2B5EF4-FFF2-40B4-BE49-F238E27FC236}">
              <a16:creationId xmlns:a16="http://schemas.microsoft.com/office/drawing/2014/main" id="{C2344F67-7BF6-4208-AF77-094336415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419100</xdr:colOff>
      <xdr:row>95</xdr:row>
      <xdr:rowOff>19050</xdr:rowOff>
    </xdr:from>
    <xdr:ext cx="5715000" cy="3533775"/>
    <xdr:graphicFrame macro="">
      <xdr:nvGraphicFramePr>
        <xdr:cNvPr id="8" name="Chart 7" title="Chart">
          <a:extLst>
            <a:ext uri="{FF2B5EF4-FFF2-40B4-BE49-F238E27FC236}">
              <a16:creationId xmlns:a16="http://schemas.microsoft.com/office/drawing/2014/main" id="{5EDAFA08-EFF5-49A1-BE55-5A971A85C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0</xdr:colOff>
      <xdr:row>0</xdr:row>
      <xdr:rowOff>0</xdr:rowOff>
    </xdr:from>
    <xdr:ext cx="15478125" cy="581025"/>
    <xdr:sp macro="" textlink="">
      <xdr:nvSpPr>
        <xdr:cNvPr id="9" name="Shape 9">
          <a:extLst>
            <a:ext uri="{FF2B5EF4-FFF2-40B4-BE49-F238E27FC236}">
              <a16:creationId xmlns:a16="http://schemas.microsoft.com/office/drawing/2014/main" id="{F5070B0A-5167-49BE-8A74-1441ECAD01C8}"/>
            </a:ext>
          </a:extLst>
        </xdr:cNvPr>
        <xdr:cNvSpPr/>
      </xdr:nvSpPr>
      <xdr:spPr>
        <a:xfrm>
          <a:off x="0" y="0"/>
          <a:ext cx="15478125"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Sensitivity Analysis</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552450</xdr:colOff>
      <xdr:row>7</xdr:row>
      <xdr:rowOff>161925</xdr:rowOff>
    </xdr:from>
    <xdr:ext cx="6696075" cy="1990725"/>
    <xdr:pic>
      <xdr:nvPicPr>
        <xdr:cNvPr id="4" name="image8.png" title="Image">
          <a:extLst>
            <a:ext uri="{FF2B5EF4-FFF2-40B4-BE49-F238E27FC236}">
              <a16:creationId xmlns:a16="http://schemas.microsoft.com/office/drawing/2014/main" id="{CBDB7626-0223-4853-91F8-BD0C46352FEC}"/>
            </a:ext>
          </a:extLst>
        </xdr:cNvPr>
        <xdr:cNvPicPr preferRelativeResize="0"/>
      </xdr:nvPicPr>
      <xdr:blipFill>
        <a:blip xmlns:r="http://schemas.openxmlformats.org/officeDocument/2006/relationships" r:embed="rId1" cstate="print"/>
        <a:stretch>
          <a:fillRect/>
        </a:stretch>
      </xdr:blipFill>
      <xdr:spPr>
        <a:xfrm>
          <a:off x="552450" y="1221105"/>
          <a:ext cx="6696075" cy="1990725"/>
        </a:xfrm>
        <a:prstGeom prst="rect">
          <a:avLst/>
        </a:prstGeom>
        <a:noFill/>
      </xdr:spPr>
    </xdr:pic>
    <xdr:clientData fLocksWithSheet="0"/>
  </xdr:oneCellAnchor>
  <xdr:oneCellAnchor>
    <xdr:from>
      <xdr:col>9</xdr:col>
      <xdr:colOff>695325</xdr:colOff>
      <xdr:row>7</xdr:row>
      <xdr:rowOff>161925</xdr:rowOff>
    </xdr:from>
    <xdr:ext cx="7162800" cy="1704975"/>
    <xdr:pic>
      <xdr:nvPicPr>
        <xdr:cNvPr id="5" name="image7.png" title="Image">
          <a:extLst>
            <a:ext uri="{FF2B5EF4-FFF2-40B4-BE49-F238E27FC236}">
              <a16:creationId xmlns:a16="http://schemas.microsoft.com/office/drawing/2014/main" id="{95C6C5D5-D8AE-4523-A279-F913F02F0EA8}"/>
            </a:ext>
          </a:extLst>
        </xdr:cNvPr>
        <xdr:cNvPicPr preferRelativeResize="0"/>
      </xdr:nvPicPr>
      <xdr:blipFill>
        <a:blip xmlns:r="http://schemas.openxmlformats.org/officeDocument/2006/relationships" r:embed="rId2" cstate="print"/>
        <a:stretch>
          <a:fillRect/>
        </a:stretch>
      </xdr:blipFill>
      <xdr:spPr>
        <a:xfrm>
          <a:off x="9298305" y="1221105"/>
          <a:ext cx="7162800" cy="1704975"/>
        </a:xfrm>
        <a:prstGeom prst="rect">
          <a:avLst/>
        </a:prstGeom>
        <a:noFill/>
      </xdr:spPr>
    </xdr:pic>
    <xdr:clientData fLocksWithSheet="0"/>
  </xdr:oneCellAnchor>
  <xdr:twoCellAnchor>
    <xdr:from>
      <xdr:col>13</xdr:col>
      <xdr:colOff>17369</xdr:colOff>
      <xdr:row>20</xdr:row>
      <xdr:rowOff>132079</xdr:rowOff>
    </xdr:from>
    <xdr:to>
      <xdr:col>20</xdr:col>
      <xdr:colOff>561721</xdr:colOff>
      <xdr:row>38</xdr:row>
      <xdr:rowOff>31697</xdr:rowOff>
    </xdr:to>
    <xdr:graphicFrame macro="">
      <xdr:nvGraphicFramePr>
        <xdr:cNvPr id="6" name="Chart 5">
          <a:extLst>
            <a:ext uri="{FF2B5EF4-FFF2-40B4-BE49-F238E27FC236}">
              <a16:creationId xmlns:a16="http://schemas.microsoft.com/office/drawing/2014/main" id="{A2CBF70F-619D-402E-99C9-03C005F6F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0</xdr:row>
      <xdr:rowOff>0</xdr:rowOff>
    </xdr:from>
    <xdr:ext cx="23957797" cy="581025"/>
    <xdr:sp macro="" textlink="">
      <xdr:nvSpPr>
        <xdr:cNvPr id="7" name="Shape 9">
          <a:extLst>
            <a:ext uri="{FF2B5EF4-FFF2-40B4-BE49-F238E27FC236}">
              <a16:creationId xmlns:a16="http://schemas.microsoft.com/office/drawing/2014/main" id="{2DFFD11F-C806-46E4-97A3-1B71BD199E05}"/>
            </a:ext>
          </a:extLst>
        </xdr:cNvPr>
        <xdr:cNvSpPr/>
      </xdr:nvSpPr>
      <xdr:spPr>
        <a:xfrm>
          <a:off x="0" y="0"/>
          <a:ext cx="23957797" cy="581025"/>
        </a:xfrm>
        <a:prstGeom prst="rect">
          <a:avLst/>
        </a:prstGeom>
        <a:solidFill>
          <a:srgbClr val="002060"/>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000" b="1">
              <a:solidFill>
                <a:schemeClr val="lt1"/>
              </a:solidFill>
              <a:latin typeface="Calibri"/>
              <a:ea typeface="Calibri"/>
              <a:cs typeface="Calibri"/>
              <a:sym typeface="Calibri"/>
            </a:rPr>
            <a:t>Breakeven</a:t>
          </a:r>
          <a:r>
            <a:rPr lang="en-US" sz="2000" b="1" baseline="0">
              <a:solidFill>
                <a:schemeClr val="lt1"/>
              </a:solidFill>
              <a:latin typeface="Calibri"/>
              <a:ea typeface="Calibri"/>
              <a:cs typeface="Calibri"/>
              <a:sym typeface="Calibri"/>
            </a:rPr>
            <a:t> </a:t>
          </a:r>
          <a:r>
            <a:rPr lang="en-US" sz="2000" b="1">
              <a:solidFill>
                <a:schemeClr val="lt1"/>
              </a:solidFill>
              <a:latin typeface="Calibri"/>
              <a:ea typeface="Calibri"/>
              <a:cs typeface="Calibri"/>
              <a:sym typeface="Calibri"/>
            </a:rPr>
            <a:t>Analysis</a:t>
          </a:r>
          <a:endParaRPr sz="1400"/>
        </a:p>
      </xdr:txBody>
    </xdr:sp>
    <xdr:clientData fLocksWithSheet="0"/>
  </xdr:oneCellAnchor>
  <xdr:oneCellAnchor>
    <xdr:from>
      <xdr:col>1</xdr:col>
      <xdr:colOff>295275</xdr:colOff>
      <xdr:row>87</xdr:row>
      <xdr:rowOff>238125</xdr:rowOff>
    </xdr:from>
    <xdr:ext cx="5715000" cy="3533775"/>
    <xdr:graphicFrame macro="">
      <xdr:nvGraphicFramePr>
        <xdr:cNvPr id="12" name="Chart 4" title="Chart">
          <a:extLst>
            <a:ext uri="{FF2B5EF4-FFF2-40B4-BE49-F238E27FC236}">
              <a16:creationId xmlns:a16="http://schemas.microsoft.com/office/drawing/2014/main" id="{8D792F5F-D14B-456E-BE0A-2105E088B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1838325</xdr:colOff>
      <xdr:row>87</xdr:row>
      <xdr:rowOff>9525</xdr:rowOff>
    </xdr:from>
    <xdr:ext cx="5715000" cy="3533775"/>
    <xdr:graphicFrame macro="">
      <xdr:nvGraphicFramePr>
        <xdr:cNvPr id="13" name="Chart 5" title="Chart">
          <a:extLst>
            <a:ext uri="{FF2B5EF4-FFF2-40B4-BE49-F238E27FC236}">
              <a16:creationId xmlns:a16="http://schemas.microsoft.com/office/drawing/2014/main" id="{2D859966-E815-44E0-8ADD-96FDB5D4D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419100</xdr:colOff>
      <xdr:row>112</xdr:row>
      <xdr:rowOff>28575</xdr:rowOff>
    </xdr:from>
    <xdr:ext cx="5715000" cy="3533775"/>
    <xdr:graphicFrame macro="">
      <xdr:nvGraphicFramePr>
        <xdr:cNvPr id="14" name="Chart 6" title="Chart">
          <a:extLst>
            <a:ext uri="{FF2B5EF4-FFF2-40B4-BE49-F238E27FC236}">
              <a16:creationId xmlns:a16="http://schemas.microsoft.com/office/drawing/2014/main" id="{516A74A5-B366-4AFE-89D9-5A98F3F84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419100</xdr:colOff>
      <xdr:row>135</xdr:row>
      <xdr:rowOff>19050</xdr:rowOff>
    </xdr:from>
    <xdr:ext cx="5715000" cy="3533775"/>
    <xdr:graphicFrame macro="">
      <xdr:nvGraphicFramePr>
        <xdr:cNvPr id="15" name="Chart 7" title="Chart">
          <a:extLst>
            <a:ext uri="{FF2B5EF4-FFF2-40B4-BE49-F238E27FC236}">
              <a16:creationId xmlns:a16="http://schemas.microsoft.com/office/drawing/2014/main" id="{16C6FBE4-49F8-4830-963C-F24B7EF85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Q136"/>
  <sheetViews>
    <sheetView tabSelected="1" zoomScale="82" workbookViewId="0">
      <selection activeCell="F14" sqref="F14"/>
    </sheetView>
  </sheetViews>
  <sheetFormatPr defaultRowHeight="14.4"/>
  <cols>
    <col min="2" max="2" width="20.109375" bestFit="1" customWidth="1"/>
    <col min="3" max="3" width="16.21875" bestFit="1" customWidth="1"/>
    <col min="4" max="4" width="15" bestFit="1" customWidth="1"/>
    <col min="5" max="5" width="21.109375" customWidth="1"/>
    <col min="6" max="6" width="8.5546875" bestFit="1" customWidth="1"/>
    <col min="7" max="7" width="12.21875" customWidth="1"/>
    <col min="8" max="8" width="8.5546875" bestFit="1" customWidth="1"/>
    <col min="9" max="9" width="9.109375" bestFit="1" customWidth="1"/>
    <col min="10" max="10" width="8.5546875" bestFit="1" customWidth="1"/>
    <col min="11" max="11" width="9.109375" bestFit="1" customWidth="1"/>
    <col min="12" max="12" width="8.5546875" bestFit="1" customWidth="1"/>
    <col min="13" max="13" width="9.109375" bestFit="1" customWidth="1"/>
    <col min="14" max="14" width="8.5546875" bestFit="1" customWidth="1"/>
  </cols>
  <sheetData>
    <row r="6" spans="2:8" ht="15.6">
      <c r="B6" s="277" t="s">
        <v>13</v>
      </c>
      <c r="C6" s="277"/>
      <c r="D6" s="277"/>
      <c r="E6" s="277"/>
      <c r="F6" s="277"/>
      <c r="G6" s="277"/>
      <c r="H6" s="277"/>
    </row>
    <row r="7" spans="2:8">
      <c r="B7" s="5" t="s">
        <v>14</v>
      </c>
      <c r="C7" s="274" t="s">
        <v>15</v>
      </c>
      <c r="D7" s="275"/>
      <c r="E7" s="275"/>
      <c r="F7" s="275"/>
      <c r="G7" s="275"/>
      <c r="H7" s="276"/>
    </row>
    <row r="8" spans="2:8">
      <c r="B8" s="5" t="s">
        <v>16</v>
      </c>
      <c r="C8" s="274" t="s">
        <v>17</v>
      </c>
      <c r="D8" s="275"/>
      <c r="E8" s="275"/>
      <c r="F8" s="275"/>
      <c r="G8" s="275"/>
      <c r="H8" s="276"/>
    </row>
    <row r="9" spans="2:8">
      <c r="B9" s="5" t="s">
        <v>19</v>
      </c>
      <c r="C9" s="274" t="s">
        <v>20</v>
      </c>
      <c r="D9" s="275"/>
      <c r="E9" s="275"/>
      <c r="F9" s="275"/>
      <c r="G9" s="275"/>
      <c r="H9" s="276"/>
    </row>
    <row r="10" spans="2:8">
      <c r="B10" s="5" t="s">
        <v>21</v>
      </c>
      <c r="C10" s="274" t="s">
        <v>22</v>
      </c>
      <c r="D10" s="275"/>
      <c r="E10" s="275"/>
      <c r="F10" s="275"/>
      <c r="G10" s="275"/>
      <c r="H10" s="276"/>
    </row>
    <row r="11" spans="2:8">
      <c r="B11" s="5" t="s">
        <v>18</v>
      </c>
      <c r="C11" s="274" t="s">
        <v>7</v>
      </c>
      <c r="D11" s="275"/>
      <c r="E11" s="275"/>
      <c r="F11" s="275"/>
      <c r="G11" s="275"/>
      <c r="H11" s="276"/>
    </row>
    <row r="12" spans="2:8">
      <c r="B12" s="5" t="s">
        <v>8</v>
      </c>
      <c r="C12" s="274" t="s">
        <v>9</v>
      </c>
      <c r="D12" s="275"/>
      <c r="E12" s="275"/>
      <c r="F12" s="275"/>
      <c r="G12" s="275"/>
      <c r="H12" s="276"/>
    </row>
    <row r="15" spans="2:8" ht="15.6">
      <c r="B15" s="6" t="s">
        <v>2</v>
      </c>
      <c r="C15" s="7" t="s">
        <v>1</v>
      </c>
      <c r="D15" s="7" t="s">
        <v>0</v>
      </c>
      <c r="E15" s="7" t="s">
        <v>3</v>
      </c>
      <c r="F15" s="7" t="s">
        <v>4</v>
      </c>
      <c r="G15" s="7" t="s">
        <v>5</v>
      </c>
      <c r="H15" s="7" t="s">
        <v>6</v>
      </c>
    </row>
    <row r="16" spans="2:8">
      <c r="B16" s="11">
        <v>42401</v>
      </c>
      <c r="C16" s="12">
        <v>7461</v>
      </c>
      <c r="D16" s="12">
        <v>784</v>
      </c>
      <c r="E16" s="12">
        <v>602</v>
      </c>
      <c r="F16" s="12">
        <v>1362</v>
      </c>
      <c r="G16" s="12">
        <v>435</v>
      </c>
      <c r="H16" s="13">
        <v>385</v>
      </c>
    </row>
    <row r="17" spans="2:17">
      <c r="B17" s="14">
        <f t="shared" ref="B17:B25" si="0">B16+3</f>
        <v>42404</v>
      </c>
      <c r="C17" s="15">
        <v>7683</v>
      </c>
      <c r="D17" s="15">
        <v>726</v>
      </c>
      <c r="E17" s="15">
        <v>639</v>
      </c>
      <c r="F17" s="15">
        <v>1493</v>
      </c>
      <c r="G17" s="15">
        <v>480</v>
      </c>
      <c r="H17" s="16">
        <v>494</v>
      </c>
    </row>
    <row r="18" spans="2:17">
      <c r="B18" s="14">
        <f t="shared" si="0"/>
        <v>42407</v>
      </c>
      <c r="C18" s="15">
        <v>10262</v>
      </c>
      <c r="D18" s="15">
        <v>838</v>
      </c>
      <c r="E18" s="15">
        <v>342</v>
      </c>
      <c r="F18" s="15">
        <v>1027</v>
      </c>
      <c r="G18" s="15">
        <v>399</v>
      </c>
      <c r="H18" s="16">
        <v>275</v>
      </c>
      <c r="L18" s="2"/>
    </row>
    <row r="19" spans="2:17">
      <c r="B19" s="14">
        <f t="shared" si="0"/>
        <v>42410</v>
      </c>
      <c r="C19" s="15">
        <v>8160</v>
      </c>
      <c r="D19" s="15">
        <v>770</v>
      </c>
      <c r="E19" s="15">
        <v>617</v>
      </c>
      <c r="F19" s="15">
        <v>1469</v>
      </c>
      <c r="G19" s="15">
        <v>445</v>
      </c>
      <c r="H19" s="16">
        <v>511</v>
      </c>
    </row>
    <row r="20" spans="2:17">
      <c r="B20" s="14">
        <f t="shared" si="0"/>
        <v>42413</v>
      </c>
      <c r="C20" s="15">
        <v>11548</v>
      </c>
      <c r="D20" s="15">
        <v>902</v>
      </c>
      <c r="E20" s="15">
        <v>679</v>
      </c>
      <c r="F20" s="15">
        <v>1577</v>
      </c>
      <c r="G20" s="15">
        <v>473</v>
      </c>
      <c r="H20" s="16">
        <v>520</v>
      </c>
    </row>
    <row r="21" spans="2:17">
      <c r="B21" s="14">
        <f t="shared" si="0"/>
        <v>42416</v>
      </c>
      <c r="C21" s="15">
        <v>7580</v>
      </c>
      <c r="D21" s="15">
        <v>758</v>
      </c>
      <c r="E21" s="15">
        <v>649</v>
      </c>
      <c r="F21" s="15">
        <v>1406</v>
      </c>
      <c r="G21" s="15">
        <v>450</v>
      </c>
      <c r="H21" s="16">
        <v>477</v>
      </c>
    </row>
    <row r="22" spans="2:17">
      <c r="B22" s="14">
        <f t="shared" si="0"/>
        <v>42419</v>
      </c>
      <c r="C22" s="15">
        <v>10122</v>
      </c>
      <c r="D22" s="15">
        <v>834</v>
      </c>
      <c r="E22" s="15">
        <v>526</v>
      </c>
      <c r="F22" s="15">
        <v>1428</v>
      </c>
      <c r="G22" s="15">
        <v>422</v>
      </c>
      <c r="H22" s="16">
        <v>414</v>
      </c>
    </row>
    <row r="23" spans="2:17">
      <c r="B23" s="14">
        <f t="shared" si="0"/>
        <v>42422</v>
      </c>
      <c r="C23" s="15">
        <v>10011</v>
      </c>
      <c r="D23" s="15">
        <v>1036</v>
      </c>
      <c r="E23" s="15">
        <v>1042</v>
      </c>
      <c r="F23" s="15">
        <v>2023</v>
      </c>
      <c r="G23" s="15">
        <v>584</v>
      </c>
      <c r="H23" s="16">
        <v>597</v>
      </c>
    </row>
    <row r="24" spans="2:17">
      <c r="B24" s="14">
        <f t="shared" si="0"/>
        <v>42425</v>
      </c>
      <c r="C24" s="15">
        <v>7793</v>
      </c>
      <c r="D24" s="15">
        <v>759</v>
      </c>
      <c r="E24" s="15">
        <v>652</v>
      </c>
      <c r="F24" s="15">
        <v>1467</v>
      </c>
      <c r="G24" s="15">
        <v>465</v>
      </c>
      <c r="H24" s="16">
        <v>479</v>
      </c>
    </row>
    <row r="25" spans="2:17">
      <c r="B25" s="14">
        <f t="shared" si="0"/>
        <v>42428</v>
      </c>
      <c r="C25" s="15">
        <v>9911</v>
      </c>
      <c r="D25" s="15">
        <v>884</v>
      </c>
      <c r="E25" s="15">
        <v>382</v>
      </c>
      <c r="F25" s="15">
        <v>1098</v>
      </c>
      <c r="G25" s="15">
        <v>396</v>
      </c>
      <c r="H25" s="16">
        <v>309</v>
      </c>
    </row>
    <row r="26" spans="2:17">
      <c r="B26" s="17" t="s">
        <v>10</v>
      </c>
      <c r="C26" s="8">
        <f>AVERAGE(C16:C25)</f>
        <v>9053.1</v>
      </c>
      <c r="D26" s="8">
        <f t="shared" ref="D26:H26" si="1">AVERAGE(D16:D25)</f>
        <v>829.1</v>
      </c>
      <c r="E26" s="8">
        <f t="shared" si="1"/>
        <v>613</v>
      </c>
      <c r="F26" s="8">
        <f t="shared" si="1"/>
        <v>1435</v>
      </c>
      <c r="G26" s="8">
        <f t="shared" si="1"/>
        <v>454.9</v>
      </c>
      <c r="H26" s="18">
        <f t="shared" si="1"/>
        <v>446.1</v>
      </c>
    </row>
    <row r="27" spans="2:17">
      <c r="B27" s="19" t="s">
        <v>12</v>
      </c>
      <c r="C27" s="9">
        <f t="shared" ref="C27:H27" si="2">C26/(SUM($C$26:$H$26))</f>
        <v>0.70555365047696239</v>
      </c>
      <c r="D27" s="10">
        <f t="shared" si="2"/>
        <v>6.4615936155620668E-2</v>
      </c>
      <c r="E27" s="10">
        <f t="shared" si="2"/>
        <v>4.7774175447347092E-2</v>
      </c>
      <c r="F27" s="10">
        <f t="shared" si="2"/>
        <v>0.11183677286613879</v>
      </c>
      <c r="G27" s="10">
        <f t="shared" si="2"/>
        <v>3.5452646673732775E-2</v>
      </c>
      <c r="H27" s="20">
        <f t="shared" si="2"/>
        <v>3.4766818380198267E-2</v>
      </c>
    </row>
    <row r="30" spans="2:17" ht="15.6">
      <c r="B30" s="270" t="s">
        <v>44</v>
      </c>
      <c r="C30" s="270"/>
      <c r="D30" s="270"/>
      <c r="E30" s="270"/>
      <c r="F30" s="270"/>
      <c r="G30" s="270"/>
      <c r="H30" s="270"/>
      <c r="I30" s="270"/>
      <c r="J30" s="270"/>
      <c r="K30" s="270"/>
      <c r="L30" s="270"/>
      <c r="M30" s="270"/>
      <c r="N30" s="270"/>
      <c r="O30" s="270"/>
      <c r="P30" s="270"/>
      <c r="Q30" s="270"/>
    </row>
    <row r="32" spans="2:17">
      <c r="B32" s="23"/>
      <c r="C32" s="273" t="s">
        <v>1</v>
      </c>
      <c r="D32" s="273"/>
      <c r="E32" s="273" t="s">
        <v>0</v>
      </c>
      <c r="F32" s="273"/>
      <c r="G32" s="273" t="s">
        <v>3</v>
      </c>
      <c r="H32" s="273"/>
      <c r="I32" s="273" t="s">
        <v>4</v>
      </c>
      <c r="J32" s="273"/>
      <c r="K32" s="273" t="s">
        <v>5</v>
      </c>
      <c r="L32" s="273"/>
      <c r="M32" s="273" t="s">
        <v>6</v>
      </c>
      <c r="N32" s="273"/>
      <c r="P32" s="26" t="s">
        <v>8</v>
      </c>
    </row>
    <row r="33" spans="2:17">
      <c r="B33" s="5" t="s">
        <v>45</v>
      </c>
      <c r="C33" s="273">
        <v>1700</v>
      </c>
      <c r="D33" s="273"/>
      <c r="E33" s="273">
        <v>10000</v>
      </c>
      <c r="F33" s="273"/>
      <c r="G33" s="273">
        <v>18500</v>
      </c>
      <c r="H33" s="273"/>
      <c r="I33" s="273">
        <v>5000</v>
      </c>
      <c r="J33" s="273"/>
      <c r="K33" s="273">
        <v>45500</v>
      </c>
      <c r="L33" s="273"/>
      <c r="M33" s="273">
        <v>28000</v>
      </c>
      <c r="N33" s="273"/>
      <c r="P33" t="s">
        <v>48</v>
      </c>
    </row>
    <row r="34" spans="2:17">
      <c r="B34" s="5" t="s">
        <v>61</v>
      </c>
      <c r="C34" s="5" t="s">
        <v>46</v>
      </c>
      <c r="D34" s="5" t="s">
        <v>47</v>
      </c>
      <c r="E34" s="5" t="s">
        <v>46</v>
      </c>
      <c r="F34" s="5" t="s">
        <v>47</v>
      </c>
      <c r="G34" s="5" t="s">
        <v>46</v>
      </c>
      <c r="H34" s="5" t="s">
        <v>47</v>
      </c>
      <c r="I34" s="5" t="s">
        <v>46</v>
      </c>
      <c r="J34" s="5" t="s">
        <v>47</v>
      </c>
      <c r="K34" s="5" t="s">
        <v>46</v>
      </c>
      <c r="L34" s="5" t="s">
        <v>47</v>
      </c>
      <c r="M34" s="5" t="s">
        <v>46</v>
      </c>
      <c r="N34" s="5" t="s">
        <v>47</v>
      </c>
    </row>
    <row r="35" spans="2:17">
      <c r="B35" s="5" t="s">
        <v>54</v>
      </c>
      <c r="C35" s="29">
        <f>$C$33/2</f>
        <v>850</v>
      </c>
      <c r="D35" s="29">
        <f>$C$33/2</f>
        <v>850</v>
      </c>
      <c r="E35" s="29">
        <f>$E$33/3</f>
        <v>3333.3333333333335</v>
      </c>
      <c r="F35" s="29">
        <f>$E$33*2/3</f>
        <v>6666.666666666667</v>
      </c>
      <c r="G35" s="29">
        <f>$G$33/5</f>
        <v>3700</v>
      </c>
      <c r="H35" s="29">
        <f>$G$33*4/5</f>
        <v>14800</v>
      </c>
      <c r="I35" s="29">
        <f>$I$33/2</f>
        <v>2500</v>
      </c>
      <c r="J35" s="29">
        <f>$I$33/2</f>
        <v>2500</v>
      </c>
      <c r="K35" s="29">
        <f>$K$33*2/5</f>
        <v>18200</v>
      </c>
      <c r="L35" s="29">
        <f>$K$33*3/5</f>
        <v>27300</v>
      </c>
      <c r="M35" s="29">
        <f>$M$33/4</f>
        <v>7000</v>
      </c>
      <c r="N35" s="29">
        <f>$M$33*3/4</f>
        <v>21000</v>
      </c>
      <c r="P35" t="s">
        <v>50</v>
      </c>
    </row>
    <row r="36" spans="2:17">
      <c r="B36" s="5" t="s">
        <v>49</v>
      </c>
      <c r="C36" s="40">
        <f>(C35*10/1000/65)^4</f>
        <v>2.9243023703651833E-4</v>
      </c>
      <c r="D36" s="40">
        <f>(D35*10/1000/65)^4</f>
        <v>2.9243023703651833E-4</v>
      </c>
      <c r="E36" s="40">
        <f t="shared" ref="E36:M36" si="3">(E35*10/1000/65)^4</f>
        <v>6.9161046251017447E-2</v>
      </c>
      <c r="F36" s="40">
        <f>(F35*10/1000/80)^4</f>
        <v>0.48225308641975323</v>
      </c>
      <c r="G36" s="40">
        <f t="shared" si="3"/>
        <v>0.10499133783831098</v>
      </c>
      <c r="H36" s="40">
        <f>(H35*10/1000/148)^4</f>
        <v>1</v>
      </c>
      <c r="I36" s="40">
        <f t="shared" si="3"/>
        <v>2.1882987290360985E-2</v>
      </c>
      <c r="J36" s="40">
        <f t="shared" si="3"/>
        <v>2.1882987290360985E-2</v>
      </c>
      <c r="K36" s="40">
        <f t="shared" si="3"/>
        <v>61.465599999999981</v>
      </c>
      <c r="L36" s="40">
        <f>(L35*10/1000/224)^4</f>
        <v>2.2062692642211914</v>
      </c>
      <c r="M36" s="40">
        <f t="shared" si="3"/>
        <v>1.3450509435944118</v>
      </c>
      <c r="N36" s="40">
        <f>(N35*10/1000/148)^4</f>
        <v>4.0535013067180454</v>
      </c>
    </row>
    <row r="37" spans="2:17">
      <c r="B37" s="5" t="s">
        <v>51</v>
      </c>
      <c r="C37" s="271">
        <f>C36+D36</f>
        <v>5.8486047407303667E-4</v>
      </c>
      <c r="D37" s="271"/>
      <c r="E37" s="271">
        <f>E36+F36</f>
        <v>0.55141413267077066</v>
      </c>
      <c r="F37" s="271"/>
      <c r="G37" s="271">
        <f>G36+H36</f>
        <v>1.1049913378383109</v>
      </c>
      <c r="H37" s="271"/>
      <c r="I37" s="271">
        <f>I36+J36</f>
        <v>4.376597458072197E-2</v>
      </c>
      <c r="J37" s="271"/>
      <c r="K37" s="271">
        <f>K36+L36</f>
        <v>63.671869264221172</v>
      </c>
      <c r="L37" s="271"/>
      <c r="M37" s="271">
        <f>M36+N36</f>
        <v>5.3985522503124574</v>
      </c>
      <c r="N37" s="271"/>
    </row>
    <row r="38" spans="2:17">
      <c r="B38" s="5" t="s">
        <v>52</v>
      </c>
      <c r="C38" s="272">
        <f>C26</f>
        <v>9053.1</v>
      </c>
      <c r="D38" s="272"/>
      <c r="E38" s="272">
        <f>D26</f>
        <v>829.1</v>
      </c>
      <c r="F38" s="272"/>
      <c r="G38" s="272">
        <f>E26</f>
        <v>613</v>
      </c>
      <c r="H38" s="272"/>
      <c r="I38" s="272">
        <f>F26</f>
        <v>1435</v>
      </c>
      <c r="J38" s="272"/>
      <c r="K38" s="272">
        <f>G26</f>
        <v>454.9</v>
      </c>
      <c r="L38" s="272"/>
      <c r="M38" s="272">
        <f>H26</f>
        <v>446.1</v>
      </c>
      <c r="N38" s="272"/>
    </row>
    <row r="39" spans="2:17">
      <c r="B39" s="27" t="s">
        <v>53</v>
      </c>
      <c r="C39" s="267">
        <f>(C37*C38+E37*E38+G37*G38+I37*I38+K37*K38+M37*M38)/SUM(C38:M38)</f>
        <v>2.5387542559177616</v>
      </c>
      <c r="D39" s="268"/>
      <c r="E39" s="268"/>
      <c r="F39" s="268"/>
      <c r="G39" s="268"/>
      <c r="H39" s="268"/>
      <c r="I39" s="268"/>
      <c r="J39" s="268"/>
      <c r="K39" s="268"/>
      <c r="L39" s="268"/>
      <c r="M39" s="268"/>
      <c r="N39" s="269"/>
    </row>
    <row r="42" spans="2:17" ht="15.6">
      <c r="B42" s="270" t="s">
        <v>56</v>
      </c>
      <c r="C42" s="270"/>
      <c r="D42" s="270"/>
      <c r="E42" s="270"/>
      <c r="F42" s="270"/>
      <c r="G42" s="270"/>
      <c r="H42" s="270"/>
      <c r="I42" s="270"/>
      <c r="J42" s="270"/>
      <c r="K42" s="270"/>
      <c r="L42" s="270"/>
      <c r="M42" s="270"/>
      <c r="N42" s="270"/>
      <c r="O42" s="270"/>
      <c r="P42" s="270"/>
      <c r="Q42" s="270"/>
    </row>
    <row r="44" spans="2:17">
      <c r="B44" s="260" t="s">
        <v>49</v>
      </c>
      <c r="C44" s="260"/>
      <c r="D44" s="30">
        <f>C39</f>
        <v>2.5387542559177616</v>
      </c>
      <c r="I44" s="259" t="s">
        <v>65</v>
      </c>
      <c r="J44" s="259"/>
      <c r="K44" s="260"/>
      <c r="L44" s="25">
        <f>SUM(D26:H26)</f>
        <v>3778.1</v>
      </c>
    </row>
    <row r="45" spans="2:17">
      <c r="B45" s="260" t="s">
        <v>55</v>
      </c>
      <c r="C45" s="260"/>
      <c r="D45" s="1">
        <v>0.6</v>
      </c>
      <c r="E45" t="s">
        <v>59</v>
      </c>
      <c r="I45" s="259" t="s">
        <v>64</v>
      </c>
      <c r="J45" s="259"/>
      <c r="K45" s="260"/>
      <c r="L45">
        <v>2</v>
      </c>
    </row>
    <row r="46" spans="2:17">
      <c r="B46" s="261" t="s">
        <v>11</v>
      </c>
      <c r="C46" s="261"/>
      <c r="D46">
        <v>20</v>
      </c>
      <c r="I46" t="s">
        <v>93</v>
      </c>
      <c r="K46" s="3"/>
    </row>
    <row r="47" spans="2:17">
      <c r="B47" s="261" t="s">
        <v>57</v>
      </c>
      <c r="C47" s="261"/>
      <c r="D47" s="31">
        <v>7.4999999999999997E-2</v>
      </c>
      <c r="E47" t="s">
        <v>66</v>
      </c>
      <c r="I47" t="s">
        <v>94</v>
      </c>
      <c r="K47" s="3"/>
      <c r="L47" s="37">
        <v>0.03</v>
      </c>
    </row>
    <row r="48" spans="2:17">
      <c r="B48" s="260" t="s">
        <v>58</v>
      </c>
      <c r="C48" s="260"/>
      <c r="D48" s="28">
        <v>9</v>
      </c>
      <c r="I48" s="259" t="s">
        <v>95</v>
      </c>
      <c r="J48" s="259"/>
      <c r="K48" s="260"/>
      <c r="L48" s="31">
        <v>0.115</v>
      </c>
    </row>
    <row r="50" spans="2:17" ht="15.6">
      <c r="B50" s="270" t="s">
        <v>71</v>
      </c>
      <c r="C50" s="270"/>
      <c r="D50" s="270"/>
      <c r="E50" s="270"/>
      <c r="F50" s="270"/>
      <c r="G50" s="270"/>
      <c r="H50" s="270"/>
      <c r="I50" s="270"/>
      <c r="J50" s="270"/>
      <c r="K50" s="270"/>
      <c r="L50" s="270"/>
      <c r="M50" s="270"/>
      <c r="N50" s="270"/>
      <c r="O50" s="270"/>
      <c r="P50" s="270"/>
      <c r="Q50" s="270"/>
    </row>
    <row r="51" spans="2:17">
      <c r="B51" s="258" t="s">
        <v>67</v>
      </c>
      <c r="C51" s="258"/>
      <c r="D51" s="258"/>
      <c r="E51" s="258"/>
      <c r="F51" s="258"/>
      <c r="G51" s="258"/>
      <c r="H51" s="258"/>
      <c r="I51" s="258"/>
      <c r="J51" s="258"/>
      <c r="K51" s="258"/>
      <c r="L51" s="258"/>
      <c r="M51" s="258"/>
      <c r="N51" s="258"/>
      <c r="O51" s="258"/>
      <c r="P51" s="258"/>
      <c r="Q51" s="258"/>
    </row>
    <row r="52" spans="2:17">
      <c r="B52" t="s">
        <v>68</v>
      </c>
      <c r="C52" s="25">
        <f>L44*(1+D47)^L45</f>
        <v>4366.0668124999993</v>
      </c>
    </row>
    <row r="53" spans="2:17">
      <c r="B53" s="32" t="s">
        <v>69</v>
      </c>
    </row>
    <row r="54" spans="2:17">
      <c r="B54" t="s">
        <v>70</v>
      </c>
      <c r="C54" s="30">
        <f>365*C52*((1+D47)^D46-1)*D44*D45/D47/1000000</f>
        <v>105.12112589208186</v>
      </c>
    </row>
    <row r="56" spans="2:17">
      <c r="B56" s="258" t="s">
        <v>72</v>
      </c>
      <c r="C56" s="258"/>
      <c r="D56" s="258"/>
      <c r="E56" s="258"/>
      <c r="F56" s="258"/>
      <c r="G56" s="258"/>
      <c r="H56" s="258"/>
      <c r="I56" s="258"/>
      <c r="J56" s="258"/>
      <c r="K56" s="258"/>
      <c r="L56" s="258"/>
      <c r="M56" s="258"/>
      <c r="N56" s="258"/>
      <c r="O56" s="258"/>
      <c r="P56" s="258"/>
      <c r="Q56" s="258"/>
    </row>
    <row r="57" spans="2:17">
      <c r="B57" s="5" t="s">
        <v>73</v>
      </c>
      <c r="C57" s="5" t="s">
        <v>74</v>
      </c>
    </row>
    <row r="58" spans="2:17">
      <c r="B58" s="5" t="s">
        <v>75</v>
      </c>
      <c r="C58" s="5">
        <v>40</v>
      </c>
    </row>
    <row r="59" spans="2:17">
      <c r="B59" s="5" t="s">
        <v>76</v>
      </c>
      <c r="C59" s="5">
        <v>120</v>
      </c>
    </row>
    <row r="60" spans="2:17">
      <c r="B60" s="5" t="s">
        <v>31</v>
      </c>
      <c r="C60" s="5">
        <v>250</v>
      </c>
    </row>
    <row r="61" spans="2:17">
      <c r="B61" s="5" t="s">
        <v>30</v>
      </c>
      <c r="C61" s="5">
        <v>200</v>
      </c>
    </row>
    <row r="62" spans="2:17">
      <c r="B62" s="5" t="s">
        <v>29</v>
      </c>
      <c r="C62" s="5">
        <v>500</v>
      </c>
    </row>
    <row r="63" spans="2:17">
      <c r="B63" t="s">
        <v>77</v>
      </c>
    </row>
    <row r="65" spans="2:17">
      <c r="B65" s="258" t="s">
        <v>78</v>
      </c>
      <c r="C65" s="258"/>
      <c r="D65" s="258"/>
      <c r="E65" s="258"/>
      <c r="F65" s="258"/>
      <c r="G65" s="258"/>
      <c r="H65" s="258"/>
      <c r="I65" s="258"/>
      <c r="J65" s="258"/>
      <c r="K65" s="258"/>
      <c r="L65" s="258"/>
      <c r="M65" s="258"/>
      <c r="N65" s="258"/>
      <c r="O65" s="258"/>
      <c r="P65" s="258"/>
      <c r="Q65" s="258"/>
    </row>
    <row r="69" spans="2:17" ht="18">
      <c r="E69" s="262" t="s">
        <v>73</v>
      </c>
      <c r="F69" s="262"/>
      <c r="G69" s="262" t="s">
        <v>74</v>
      </c>
      <c r="H69" s="262"/>
    </row>
    <row r="70" spans="2:17">
      <c r="E70" s="263" t="s">
        <v>79</v>
      </c>
      <c r="F70" s="263"/>
      <c r="G70" s="266">
        <f>C58+C59</f>
        <v>160</v>
      </c>
      <c r="H70" s="266"/>
    </row>
    <row r="71" spans="2:17">
      <c r="E71" s="263"/>
      <c r="F71" s="263"/>
      <c r="G71" s="266"/>
      <c r="H71" s="266"/>
    </row>
    <row r="72" spans="2:17">
      <c r="E72" s="264" t="s">
        <v>80</v>
      </c>
      <c r="F72" s="264"/>
      <c r="G72" s="266">
        <f>C60+C61</f>
        <v>450</v>
      </c>
      <c r="H72" s="266"/>
    </row>
    <row r="73" spans="2:17">
      <c r="E73" s="264"/>
      <c r="F73" s="264"/>
      <c r="G73" s="266"/>
      <c r="H73" s="266"/>
    </row>
    <row r="74" spans="2:17">
      <c r="E74" s="264"/>
      <c r="F74" s="264"/>
      <c r="G74" s="266"/>
      <c r="H74" s="266"/>
    </row>
    <row r="75" spans="2:17">
      <c r="E75" s="265" t="s">
        <v>81</v>
      </c>
      <c r="F75" s="265"/>
      <c r="G75" s="266">
        <f>C62</f>
        <v>500</v>
      </c>
      <c r="H75" s="266"/>
    </row>
    <row r="76" spans="2:17">
      <c r="E76" s="265"/>
      <c r="F76" s="265"/>
      <c r="G76" s="266"/>
      <c r="H76" s="266"/>
    </row>
    <row r="77" spans="2:17">
      <c r="E77" s="265"/>
      <c r="F77" s="265"/>
      <c r="G77" s="266"/>
      <c r="H77" s="266"/>
    </row>
    <row r="78" spans="2:17">
      <c r="E78" s="265"/>
      <c r="F78" s="265"/>
      <c r="G78" s="266"/>
      <c r="H78" s="266"/>
    </row>
    <row r="80" spans="2:17">
      <c r="B80" s="258" t="s">
        <v>82</v>
      </c>
      <c r="C80" s="258"/>
      <c r="D80" s="258"/>
      <c r="E80" s="258"/>
      <c r="F80" s="258"/>
      <c r="G80" s="258"/>
      <c r="H80" s="258"/>
      <c r="I80" s="258"/>
      <c r="J80" s="258"/>
      <c r="K80" s="258"/>
      <c r="L80" s="258"/>
      <c r="M80" s="258"/>
      <c r="N80" s="258"/>
      <c r="O80" s="258"/>
      <c r="P80" s="258"/>
      <c r="Q80" s="258"/>
    </row>
    <row r="81" spans="2:17">
      <c r="B81" s="23"/>
      <c r="C81" s="33" t="s">
        <v>62</v>
      </c>
      <c r="D81" s="24" t="s">
        <v>60</v>
      </c>
    </row>
    <row r="82" spans="2:17">
      <c r="B82" s="23" t="s">
        <v>29</v>
      </c>
      <c r="C82" s="35" cm="1">
        <f t="array" ref="C82">17.6*(cbr)^0.64</f>
        <v>71.817101600169877</v>
      </c>
      <c r="D82" s="24">
        <v>0.35</v>
      </c>
    </row>
    <row r="83" spans="2:17">
      <c r="B83" s="4" t="s">
        <v>63</v>
      </c>
      <c r="C83" s="29">
        <f>0.2*($G$72)^0.45*C82</f>
        <v>224.49336032364351</v>
      </c>
      <c r="D83" s="3">
        <v>0.35</v>
      </c>
    </row>
    <row r="84" spans="2:17">
      <c r="B84" s="21" t="s">
        <v>83</v>
      </c>
      <c r="C84" s="36">
        <v>2200</v>
      </c>
      <c r="D84" s="22">
        <v>0.35</v>
      </c>
    </row>
    <row r="86" spans="2:17">
      <c r="B86" s="258" t="s">
        <v>85</v>
      </c>
      <c r="C86" s="258"/>
      <c r="D86" s="258"/>
      <c r="E86" s="258"/>
      <c r="F86" s="258"/>
      <c r="G86" s="258"/>
      <c r="H86" s="258"/>
      <c r="I86" s="258"/>
      <c r="J86" s="258"/>
      <c r="K86" s="258"/>
      <c r="L86" s="258"/>
      <c r="M86" s="258"/>
      <c r="N86" s="258"/>
      <c r="O86" s="258"/>
      <c r="P86" s="258"/>
      <c r="Q86" s="258"/>
    </row>
    <row r="87" spans="2:17">
      <c r="B87" s="32" t="s">
        <v>86</v>
      </c>
      <c r="N87" t="s">
        <v>8</v>
      </c>
    </row>
    <row r="88" spans="2:17">
      <c r="B88" s="38" t="s">
        <v>84</v>
      </c>
      <c r="C88" s="39">
        <f>(1.41*(10^(-8))/($C$54*1000000))^(1/4.5337)</f>
        <v>3.1550251481005814E-4</v>
      </c>
      <c r="N88" t="s">
        <v>92</v>
      </c>
    </row>
    <row r="90" spans="2:17">
      <c r="B90" s="32" t="s">
        <v>87</v>
      </c>
    </row>
    <row r="91" spans="2:17">
      <c r="B91" s="38" t="s">
        <v>90</v>
      </c>
      <c r="C91" s="39">
        <f>(0.5161*F92*0.0001/($C$54*1000000*($C$84^0.854)))^(1/3.89)</f>
        <v>1.6991843829641307E-4</v>
      </c>
      <c r="E91" s="5" t="s">
        <v>89</v>
      </c>
      <c r="F91" s="34">
        <f>4.84*(L48/(L48+L47)-0.69)</f>
        <v>0.49902068965517227</v>
      </c>
    </row>
    <row r="92" spans="2:17">
      <c r="E92" s="5" t="s">
        <v>88</v>
      </c>
      <c r="F92" s="34">
        <f>10^F91</f>
        <v>3.1551549304020763</v>
      </c>
    </row>
    <row r="95" spans="2:17">
      <c r="B95" s="258" t="s">
        <v>91</v>
      </c>
      <c r="C95" s="258"/>
      <c r="D95" s="258"/>
      <c r="E95" s="258"/>
      <c r="F95" s="258"/>
      <c r="G95" s="258"/>
      <c r="H95" s="258"/>
      <c r="I95" s="258"/>
      <c r="J95" s="258"/>
      <c r="K95" s="258"/>
      <c r="L95" s="258"/>
      <c r="M95" s="258"/>
      <c r="N95" s="258"/>
      <c r="O95" s="258"/>
      <c r="P95" s="258"/>
      <c r="Q95" s="258"/>
    </row>
    <row r="124" spans="2:5">
      <c r="B124" s="32" t="s">
        <v>40</v>
      </c>
    </row>
    <row r="125" spans="2:5">
      <c r="B125" s="5"/>
      <c r="C125" s="5" t="s">
        <v>97</v>
      </c>
      <c r="D125" s="5" t="s">
        <v>96</v>
      </c>
      <c r="E125" s="5" t="s">
        <v>21</v>
      </c>
    </row>
    <row r="126" spans="2:5">
      <c r="B126" s="5" t="s">
        <v>98</v>
      </c>
      <c r="C126" s="39">
        <f>2.71*10^-4</f>
        <v>2.7100000000000003E-4</v>
      </c>
      <c r="D126" s="39">
        <f>C88</f>
        <v>3.1550251481005814E-4</v>
      </c>
      <c r="E126" s="5" t="str">
        <f>IF(C126&lt;D126,"Pass", "Fail")</f>
        <v>Pass</v>
      </c>
    </row>
    <row r="127" spans="2:5">
      <c r="B127" s="5" t="s">
        <v>99</v>
      </c>
      <c r="C127" s="39">
        <f>1.657*10^-4</f>
        <v>1.6570000000000002E-4</v>
      </c>
      <c r="D127" s="39">
        <f>C91</f>
        <v>1.6991843829641307E-4</v>
      </c>
      <c r="E127" s="5" t="str">
        <f>IF(C127&lt;D127,"Pass", "Fail")</f>
        <v>Pass</v>
      </c>
    </row>
    <row r="129" spans="2:17" ht="15.6">
      <c r="B129" s="270" t="s">
        <v>137</v>
      </c>
      <c r="C129" s="270"/>
      <c r="D129" s="270"/>
      <c r="E129" s="270"/>
      <c r="F129" s="270"/>
      <c r="G129" s="270"/>
      <c r="H129" s="270"/>
      <c r="I129" s="270"/>
      <c r="J129" s="270"/>
      <c r="K129" s="270"/>
      <c r="L129" s="270"/>
      <c r="M129" s="270"/>
      <c r="N129" s="270"/>
      <c r="O129" s="270"/>
      <c r="P129" s="270"/>
      <c r="Q129" s="270"/>
    </row>
    <row r="130" spans="2:17" ht="15" thickBot="1"/>
    <row r="131" spans="2:17">
      <c r="B131" s="77" t="str" cm="1">
        <f t="array" ref="B131:C136">B57:C62</f>
        <v>Layer</v>
      </c>
      <c r="C131" s="78" t="str">
        <v>Thickness (in mm)</v>
      </c>
    </row>
    <row r="132" spans="2:17">
      <c r="B132" s="79" t="str">
        <v>BC (Surface Layer)</v>
      </c>
      <c r="C132" s="80">
        <v>40</v>
      </c>
    </row>
    <row r="133" spans="2:17">
      <c r="B133" s="79" t="str">
        <v>Binder coarse</v>
      </c>
      <c r="C133" s="80">
        <v>120</v>
      </c>
    </row>
    <row r="134" spans="2:17">
      <c r="B134" s="79" t="str">
        <v>Base (WMM)</v>
      </c>
      <c r="C134" s="80">
        <v>250</v>
      </c>
    </row>
    <row r="135" spans="2:17">
      <c r="B135" s="79" t="str">
        <v>GSB</v>
      </c>
      <c r="C135" s="80">
        <v>200</v>
      </c>
    </row>
    <row r="136" spans="2:17" ht="15" thickBot="1">
      <c r="B136" s="81" t="str">
        <v>Subgrade</v>
      </c>
      <c r="C136" s="82">
        <v>500</v>
      </c>
    </row>
  </sheetData>
  <mergeCells count="58">
    <mergeCell ref="B129:Q129"/>
    <mergeCell ref="C12:H12"/>
    <mergeCell ref="B6:H6"/>
    <mergeCell ref="C7:H7"/>
    <mergeCell ref="C8:H8"/>
    <mergeCell ref="C9:H9"/>
    <mergeCell ref="C10:H10"/>
    <mergeCell ref="C11:H11"/>
    <mergeCell ref="K32:L32"/>
    <mergeCell ref="M32:N32"/>
    <mergeCell ref="B30:Q30"/>
    <mergeCell ref="C33:D33"/>
    <mergeCell ref="E33:F33"/>
    <mergeCell ref="G33:H33"/>
    <mergeCell ref="I33:J33"/>
    <mergeCell ref="K33:L33"/>
    <mergeCell ref="M33:N33"/>
    <mergeCell ref="C32:D32"/>
    <mergeCell ref="E32:F32"/>
    <mergeCell ref="G32:H32"/>
    <mergeCell ref="I32:J32"/>
    <mergeCell ref="G72:H74"/>
    <mergeCell ref="G75:H78"/>
    <mergeCell ref="B44:C44"/>
    <mergeCell ref="M37:N37"/>
    <mergeCell ref="C38:D38"/>
    <mergeCell ref="E38:F38"/>
    <mergeCell ref="G38:H38"/>
    <mergeCell ref="I38:J38"/>
    <mergeCell ref="K38:L38"/>
    <mergeCell ref="M38:N38"/>
    <mergeCell ref="C37:D37"/>
    <mergeCell ref="E37:F37"/>
    <mergeCell ref="G37:H37"/>
    <mergeCell ref="I37:J37"/>
    <mergeCell ref="K37:L37"/>
    <mergeCell ref="I44:K44"/>
    <mergeCell ref="I45:K45"/>
    <mergeCell ref="C39:N39"/>
    <mergeCell ref="B42:Q42"/>
    <mergeCell ref="B51:Q51"/>
    <mergeCell ref="B50:Q50"/>
    <mergeCell ref="B80:Q80"/>
    <mergeCell ref="B86:Q86"/>
    <mergeCell ref="B95:Q95"/>
    <mergeCell ref="I48:K48"/>
    <mergeCell ref="B45:C45"/>
    <mergeCell ref="B46:C46"/>
    <mergeCell ref="B47:C47"/>
    <mergeCell ref="B48:C48"/>
    <mergeCell ref="B56:Q56"/>
    <mergeCell ref="B65:Q65"/>
    <mergeCell ref="E69:F69"/>
    <mergeCell ref="G69:H69"/>
    <mergeCell ref="E70:F71"/>
    <mergeCell ref="E72:F74"/>
    <mergeCell ref="E75:F78"/>
    <mergeCell ref="G70:H7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79C17-C691-4DE6-B2F2-E4938FCA3C94}">
  <dimension ref="B1:Q1000"/>
  <sheetViews>
    <sheetView zoomScale="75" workbookViewId="0">
      <selection activeCell="I23" sqref="I23"/>
    </sheetView>
  </sheetViews>
  <sheetFormatPr defaultColWidth="14.44140625" defaultRowHeight="15" customHeight="1"/>
  <cols>
    <col min="1" max="1" width="5" customWidth="1"/>
    <col min="2" max="2" width="20.5546875" customWidth="1"/>
    <col min="3" max="3" width="14.88671875" customWidth="1"/>
    <col min="5" max="5" width="15.33203125" customWidth="1"/>
    <col min="6" max="6" width="16.88671875" customWidth="1"/>
    <col min="7" max="8" width="16.109375" customWidth="1"/>
    <col min="9" max="9" width="15.6640625" customWidth="1"/>
    <col min="10" max="10" width="20.88671875" customWidth="1"/>
    <col min="11" max="11" width="20.6640625" customWidth="1"/>
    <col min="12" max="12" width="8.5546875" customWidth="1"/>
    <col min="13" max="27" width="8.6640625" customWidth="1"/>
  </cols>
  <sheetData>
    <row r="1" spans="2:8" ht="14.25" customHeight="1"/>
    <row r="2" spans="2:8" ht="14.25" customHeight="1"/>
    <row r="3" spans="2:8" ht="14.25" customHeight="1"/>
    <row r="4" spans="2:8" ht="14.25" customHeight="1"/>
    <row r="5" spans="2:8" ht="14.25" customHeight="1"/>
    <row r="6" spans="2:8" ht="14.25" customHeight="1">
      <c r="B6" s="293" t="s">
        <v>13</v>
      </c>
      <c r="C6" s="294"/>
      <c r="D6" s="294"/>
      <c r="E6" s="294"/>
      <c r="F6" s="294"/>
      <c r="G6" s="294"/>
      <c r="H6" s="294"/>
    </row>
    <row r="7" spans="2:8" ht="14.25" customHeight="1">
      <c r="B7" s="42" t="s">
        <v>14</v>
      </c>
      <c r="C7" s="278" t="s">
        <v>15</v>
      </c>
      <c r="D7" s="279"/>
      <c r="E7" s="279"/>
      <c r="F7" s="279"/>
      <c r="G7" s="279"/>
      <c r="H7" s="280"/>
    </row>
    <row r="8" spans="2:8" ht="14.25" customHeight="1">
      <c r="B8" s="42" t="s">
        <v>16</v>
      </c>
      <c r="C8" s="278" t="s">
        <v>17</v>
      </c>
      <c r="D8" s="279"/>
      <c r="E8" s="279"/>
      <c r="F8" s="279"/>
      <c r="G8" s="279"/>
      <c r="H8" s="280"/>
    </row>
    <row r="9" spans="2:8" ht="14.25" customHeight="1">
      <c r="B9" s="42" t="s">
        <v>19</v>
      </c>
      <c r="C9" s="278" t="s">
        <v>20</v>
      </c>
      <c r="D9" s="279"/>
      <c r="E9" s="279"/>
      <c r="F9" s="279"/>
      <c r="G9" s="279"/>
      <c r="H9" s="280"/>
    </row>
    <row r="10" spans="2:8" ht="14.25" customHeight="1">
      <c r="B10" s="42" t="s">
        <v>21</v>
      </c>
      <c r="C10" s="278" t="s">
        <v>22</v>
      </c>
      <c r="D10" s="279"/>
      <c r="E10" s="279"/>
      <c r="F10" s="279"/>
      <c r="G10" s="279"/>
      <c r="H10" s="280"/>
    </row>
    <row r="11" spans="2:8" ht="14.25" customHeight="1">
      <c r="B11" s="42" t="s">
        <v>18</v>
      </c>
      <c r="C11" s="278" t="s">
        <v>7</v>
      </c>
      <c r="D11" s="279"/>
      <c r="E11" s="279"/>
      <c r="F11" s="279"/>
      <c r="G11" s="279"/>
      <c r="H11" s="280"/>
    </row>
    <row r="12" spans="2:8" ht="14.25" customHeight="1">
      <c r="B12" s="42" t="s">
        <v>8</v>
      </c>
      <c r="C12" s="278" t="s">
        <v>9</v>
      </c>
      <c r="D12" s="279"/>
      <c r="E12" s="279"/>
      <c r="F12" s="279"/>
      <c r="G12" s="279"/>
      <c r="H12" s="280"/>
    </row>
    <row r="13" spans="2:8" ht="14.25" customHeight="1"/>
    <row r="14" spans="2:8" ht="14.25" customHeight="1"/>
    <row r="15" spans="2:8" ht="14.25" customHeight="1">
      <c r="B15" s="43" t="s">
        <v>2</v>
      </c>
      <c r="C15" s="41" t="s">
        <v>1</v>
      </c>
      <c r="D15" s="41" t="s">
        <v>0</v>
      </c>
      <c r="E15" s="41" t="s">
        <v>3</v>
      </c>
      <c r="F15" s="41" t="s">
        <v>4</v>
      </c>
      <c r="G15" s="41" t="s">
        <v>5</v>
      </c>
      <c r="H15" s="41" t="s">
        <v>6</v>
      </c>
    </row>
    <row r="16" spans="2:8" ht="14.25" customHeight="1">
      <c r="B16" s="44">
        <v>42401</v>
      </c>
      <c r="C16" s="45">
        <v>7461</v>
      </c>
      <c r="D16" s="45">
        <v>784</v>
      </c>
      <c r="E16" s="45">
        <v>602</v>
      </c>
      <c r="F16" s="45">
        <v>1362</v>
      </c>
      <c r="G16" s="45">
        <v>435</v>
      </c>
      <c r="H16" s="46">
        <v>385</v>
      </c>
    </row>
    <row r="17" spans="2:17" ht="14.25" customHeight="1">
      <c r="B17" s="47">
        <f t="shared" ref="B17:B25" si="0">B16+3</f>
        <v>42404</v>
      </c>
      <c r="C17" s="48">
        <v>7683</v>
      </c>
      <c r="D17" s="48">
        <v>726</v>
      </c>
      <c r="E17" s="48">
        <v>639</v>
      </c>
      <c r="F17" s="48">
        <v>1493</v>
      </c>
      <c r="G17" s="48">
        <v>480</v>
      </c>
      <c r="H17" s="49">
        <v>494</v>
      </c>
    </row>
    <row r="18" spans="2:17" ht="14.25" customHeight="1">
      <c r="B18" s="47">
        <f t="shared" si="0"/>
        <v>42407</v>
      </c>
      <c r="C18" s="48">
        <v>10262</v>
      </c>
      <c r="D18" s="48">
        <v>838</v>
      </c>
      <c r="E18" s="48">
        <v>342</v>
      </c>
      <c r="F18" s="48">
        <v>1027</v>
      </c>
      <c r="G18" s="48">
        <v>399</v>
      </c>
      <c r="H18" s="49">
        <v>275</v>
      </c>
    </row>
    <row r="19" spans="2:17" ht="14.25" customHeight="1">
      <c r="B19" s="47">
        <f t="shared" si="0"/>
        <v>42410</v>
      </c>
      <c r="C19" s="48">
        <v>8160</v>
      </c>
      <c r="D19" s="48">
        <v>770</v>
      </c>
      <c r="E19" s="48">
        <v>617</v>
      </c>
      <c r="F19" s="48">
        <v>1469</v>
      </c>
      <c r="G19" s="48">
        <v>445</v>
      </c>
      <c r="H19" s="49">
        <v>511</v>
      </c>
    </row>
    <row r="20" spans="2:17" ht="14.25" customHeight="1">
      <c r="B20" s="47">
        <f t="shared" si="0"/>
        <v>42413</v>
      </c>
      <c r="C20" s="48">
        <v>11548</v>
      </c>
      <c r="D20" s="48">
        <v>902</v>
      </c>
      <c r="E20" s="48">
        <v>679</v>
      </c>
      <c r="F20" s="48">
        <v>1577</v>
      </c>
      <c r="G20" s="48">
        <v>473</v>
      </c>
      <c r="H20" s="49">
        <v>520</v>
      </c>
    </row>
    <row r="21" spans="2:17" ht="14.25" customHeight="1">
      <c r="B21" s="47">
        <f t="shared" si="0"/>
        <v>42416</v>
      </c>
      <c r="C21" s="48">
        <v>7580</v>
      </c>
      <c r="D21" s="48">
        <v>758</v>
      </c>
      <c r="E21" s="48">
        <v>649</v>
      </c>
      <c r="F21" s="48">
        <v>1406</v>
      </c>
      <c r="G21" s="48">
        <v>450</v>
      </c>
      <c r="H21" s="49">
        <v>477</v>
      </c>
    </row>
    <row r="22" spans="2:17" ht="14.25" customHeight="1">
      <c r="B22" s="47">
        <f t="shared" si="0"/>
        <v>42419</v>
      </c>
      <c r="C22" s="48">
        <v>10122</v>
      </c>
      <c r="D22" s="48">
        <v>834</v>
      </c>
      <c r="E22" s="48">
        <v>526</v>
      </c>
      <c r="F22" s="48">
        <v>1428</v>
      </c>
      <c r="G22" s="48">
        <v>422</v>
      </c>
      <c r="H22" s="49">
        <v>414</v>
      </c>
    </row>
    <row r="23" spans="2:17" ht="14.25" customHeight="1">
      <c r="B23" s="47">
        <f t="shared" si="0"/>
        <v>42422</v>
      </c>
      <c r="C23" s="48">
        <v>10011</v>
      </c>
      <c r="D23" s="48">
        <v>1036</v>
      </c>
      <c r="E23" s="48">
        <v>1042</v>
      </c>
      <c r="F23" s="48">
        <v>2023</v>
      </c>
      <c r="G23" s="48">
        <v>584</v>
      </c>
      <c r="H23" s="49">
        <v>597</v>
      </c>
    </row>
    <row r="24" spans="2:17" ht="14.25" customHeight="1">
      <c r="B24" s="47">
        <f t="shared" si="0"/>
        <v>42425</v>
      </c>
      <c r="C24" s="48">
        <v>7793</v>
      </c>
      <c r="D24" s="48">
        <v>759</v>
      </c>
      <c r="E24" s="48">
        <v>652</v>
      </c>
      <c r="F24" s="48">
        <v>1467</v>
      </c>
      <c r="G24" s="48">
        <v>465</v>
      </c>
      <c r="H24" s="49">
        <v>479</v>
      </c>
    </row>
    <row r="25" spans="2:17" ht="14.25" customHeight="1">
      <c r="B25" s="47">
        <f t="shared" si="0"/>
        <v>42428</v>
      </c>
      <c r="C25" s="48">
        <v>9911</v>
      </c>
      <c r="D25" s="48">
        <v>884</v>
      </c>
      <c r="E25" s="48">
        <v>382</v>
      </c>
      <c r="F25" s="48">
        <v>1098</v>
      </c>
      <c r="G25" s="48">
        <v>396</v>
      </c>
      <c r="H25" s="49">
        <v>309</v>
      </c>
    </row>
    <row r="26" spans="2:17" ht="14.25" customHeight="1">
      <c r="B26" s="50" t="s">
        <v>10</v>
      </c>
      <c r="C26" s="51">
        <f t="shared" ref="C26:H26" si="1">AVERAGE(C16:C25)</f>
        <v>9053.1</v>
      </c>
      <c r="D26" s="51">
        <f t="shared" si="1"/>
        <v>829.1</v>
      </c>
      <c r="E26" s="51">
        <f t="shared" si="1"/>
        <v>613</v>
      </c>
      <c r="F26" s="51">
        <f t="shared" si="1"/>
        <v>1435</v>
      </c>
      <c r="G26" s="51">
        <f t="shared" si="1"/>
        <v>454.9</v>
      </c>
      <c r="H26" s="52">
        <f t="shared" si="1"/>
        <v>446.1</v>
      </c>
    </row>
    <row r="27" spans="2:17" ht="14.25" customHeight="1">
      <c r="B27" s="53" t="s">
        <v>12</v>
      </c>
      <c r="C27" s="54">
        <f t="shared" ref="C27:H27" si="2">C26/(SUM($C$26:$H$26))</f>
        <v>0.70555365047696239</v>
      </c>
      <c r="D27" s="55">
        <f t="shared" si="2"/>
        <v>6.4615936155620668E-2</v>
      </c>
      <c r="E27" s="55">
        <f t="shared" si="2"/>
        <v>4.7774175447347092E-2</v>
      </c>
      <c r="F27" s="55">
        <f t="shared" si="2"/>
        <v>0.11183677286613879</v>
      </c>
      <c r="G27" s="55">
        <f t="shared" si="2"/>
        <v>3.5452646673732775E-2</v>
      </c>
      <c r="H27" s="56">
        <f t="shared" si="2"/>
        <v>3.4766818380198267E-2</v>
      </c>
    </row>
    <row r="28" spans="2:17" ht="14.25" customHeight="1"/>
    <row r="29" spans="2:17" ht="14.25" customHeight="1"/>
    <row r="30" spans="2:17" ht="14.25" customHeight="1">
      <c r="B30" s="287" t="s">
        <v>44</v>
      </c>
      <c r="C30" s="288"/>
      <c r="D30" s="288"/>
      <c r="E30" s="288"/>
      <c r="F30" s="288"/>
      <c r="G30" s="288"/>
      <c r="H30" s="288"/>
      <c r="I30" s="288"/>
      <c r="J30" s="288"/>
      <c r="K30" s="288"/>
      <c r="L30" s="288"/>
      <c r="M30" s="288"/>
      <c r="N30" s="288"/>
      <c r="O30" s="288"/>
      <c r="P30" s="288"/>
      <c r="Q30" s="288"/>
    </row>
    <row r="31" spans="2:17" ht="14.25" customHeight="1"/>
    <row r="32" spans="2:17" ht="14.25" customHeight="1">
      <c r="B32" s="57"/>
      <c r="C32" s="289" t="s">
        <v>1</v>
      </c>
      <c r="D32" s="280"/>
      <c r="E32" s="289" t="s">
        <v>0</v>
      </c>
      <c r="F32" s="280"/>
      <c r="G32" s="289" t="s">
        <v>3</v>
      </c>
      <c r="H32" s="280"/>
      <c r="I32" s="289" t="s">
        <v>4</v>
      </c>
      <c r="J32" s="280"/>
      <c r="K32" s="289" t="s">
        <v>5</v>
      </c>
      <c r="L32" s="280"/>
      <c r="M32" s="289" t="s">
        <v>6</v>
      </c>
      <c r="N32" s="280"/>
      <c r="P32" s="58" t="s">
        <v>8</v>
      </c>
    </row>
    <row r="33" spans="2:17" ht="14.25" customHeight="1">
      <c r="B33" s="42" t="s">
        <v>45</v>
      </c>
      <c r="C33" s="289">
        <v>1700</v>
      </c>
      <c r="D33" s="280"/>
      <c r="E33" s="289">
        <v>10000</v>
      </c>
      <c r="F33" s="280"/>
      <c r="G33" s="289">
        <v>18500</v>
      </c>
      <c r="H33" s="280"/>
      <c r="I33" s="289">
        <v>5000</v>
      </c>
      <c r="J33" s="280"/>
      <c r="K33" s="289">
        <v>45500</v>
      </c>
      <c r="L33" s="280"/>
      <c r="M33" s="289">
        <v>28000</v>
      </c>
      <c r="N33" s="280"/>
      <c r="P33" s="59" t="s">
        <v>48</v>
      </c>
    </row>
    <row r="34" spans="2:17" ht="14.25" customHeight="1">
      <c r="B34" s="42" t="s">
        <v>61</v>
      </c>
      <c r="C34" s="42" t="s">
        <v>46</v>
      </c>
      <c r="D34" s="42" t="s">
        <v>47</v>
      </c>
      <c r="E34" s="42" t="s">
        <v>46</v>
      </c>
      <c r="F34" s="42" t="s">
        <v>47</v>
      </c>
      <c r="G34" s="42" t="s">
        <v>46</v>
      </c>
      <c r="H34" s="42" t="s">
        <v>47</v>
      </c>
      <c r="I34" s="42" t="s">
        <v>46</v>
      </c>
      <c r="J34" s="42" t="s">
        <v>47</v>
      </c>
      <c r="K34" s="42" t="s">
        <v>46</v>
      </c>
      <c r="L34" s="42" t="s">
        <v>47</v>
      </c>
      <c r="M34" s="42" t="s">
        <v>46</v>
      </c>
      <c r="N34" s="42" t="s">
        <v>47</v>
      </c>
    </row>
    <row r="35" spans="2:17" ht="14.25" customHeight="1">
      <c r="B35" s="42" t="s">
        <v>54</v>
      </c>
      <c r="C35" s="60">
        <f t="shared" ref="C35:D35" si="3">$C$33/2</f>
        <v>850</v>
      </c>
      <c r="D35" s="60">
        <f t="shared" si="3"/>
        <v>850</v>
      </c>
      <c r="E35" s="60">
        <f>$E$33/3</f>
        <v>3333.3333333333335</v>
      </c>
      <c r="F35" s="60">
        <f>$E$33*2/3</f>
        <v>6666.666666666667</v>
      </c>
      <c r="G35" s="60">
        <f>$G$33/5</f>
        <v>3700</v>
      </c>
      <c r="H35" s="60">
        <f>$G$33*4/5</f>
        <v>14800</v>
      </c>
      <c r="I35" s="60">
        <f t="shared" ref="I35:J35" si="4">$I$33/2</f>
        <v>2500</v>
      </c>
      <c r="J35" s="60">
        <f t="shared" si="4"/>
        <v>2500</v>
      </c>
      <c r="K35" s="60">
        <f>$K$33*2/5</f>
        <v>18200</v>
      </c>
      <c r="L35" s="60">
        <f>$K$33*3/5</f>
        <v>27300</v>
      </c>
      <c r="M35" s="60">
        <f>$M$33/4</f>
        <v>7000</v>
      </c>
      <c r="N35" s="60">
        <f>$M$33*3/4</f>
        <v>21000</v>
      </c>
      <c r="P35" s="59" t="s">
        <v>50</v>
      </c>
    </row>
    <row r="36" spans="2:17" ht="14.25" customHeight="1">
      <c r="B36" s="42" t="s">
        <v>49</v>
      </c>
      <c r="C36" s="61">
        <f t="shared" ref="C36:E36" si="5">(C35*10/1000/65)^4</f>
        <v>2.9243023703651833E-4</v>
      </c>
      <c r="D36" s="61">
        <f t="shared" si="5"/>
        <v>2.9243023703651833E-4</v>
      </c>
      <c r="E36" s="61">
        <f t="shared" si="5"/>
        <v>6.9161046251017447E-2</v>
      </c>
      <c r="F36" s="61">
        <f>(F35*10/1000/80)^4</f>
        <v>0.48225308641975323</v>
      </c>
      <c r="G36" s="61">
        <f>(G35*10/1000/65)^4</f>
        <v>0.10499133783831098</v>
      </c>
      <c r="H36" s="61">
        <f>(H35*10/1000/148)^4</f>
        <v>1</v>
      </c>
      <c r="I36" s="61">
        <f t="shared" ref="I36:K36" si="6">(I35*10/1000/65)^4</f>
        <v>2.1882987290360985E-2</v>
      </c>
      <c r="J36" s="61">
        <f t="shared" si="6"/>
        <v>2.1882987290360985E-2</v>
      </c>
      <c r="K36" s="61">
        <f t="shared" si="6"/>
        <v>61.465599999999981</v>
      </c>
      <c r="L36" s="61">
        <f>(L35*10/1000/224)^4</f>
        <v>2.2062692642211914</v>
      </c>
      <c r="M36" s="61">
        <f>(M35*10/1000/65)^4</f>
        <v>1.3450509435944118</v>
      </c>
      <c r="N36" s="61">
        <f>(N35*10/1000/148)^4</f>
        <v>4.0535013067180454</v>
      </c>
    </row>
    <row r="37" spans="2:17" ht="14.25" customHeight="1">
      <c r="B37" s="42" t="s">
        <v>51</v>
      </c>
      <c r="C37" s="291">
        <f>C36+D36</f>
        <v>5.8486047407303667E-4</v>
      </c>
      <c r="D37" s="280"/>
      <c r="E37" s="291">
        <f>E36+F36</f>
        <v>0.55141413267077066</v>
      </c>
      <c r="F37" s="280"/>
      <c r="G37" s="291">
        <f>G36+H36</f>
        <v>1.1049913378383109</v>
      </c>
      <c r="H37" s="280"/>
      <c r="I37" s="291">
        <f>I36+J36</f>
        <v>4.376597458072197E-2</v>
      </c>
      <c r="J37" s="280"/>
      <c r="K37" s="291">
        <f>K36+L36</f>
        <v>63.671869264221172</v>
      </c>
      <c r="L37" s="280"/>
      <c r="M37" s="291">
        <f>M36+N36</f>
        <v>5.3985522503124574</v>
      </c>
      <c r="N37" s="280"/>
    </row>
    <row r="38" spans="2:17" ht="14.25" customHeight="1">
      <c r="B38" s="42" t="s">
        <v>52</v>
      </c>
      <c r="C38" s="292">
        <f>C26</f>
        <v>9053.1</v>
      </c>
      <c r="D38" s="280"/>
      <c r="E38" s="292">
        <f>D26</f>
        <v>829.1</v>
      </c>
      <c r="F38" s="280"/>
      <c r="G38" s="292">
        <f>E26</f>
        <v>613</v>
      </c>
      <c r="H38" s="280"/>
      <c r="I38" s="292">
        <f>F26</f>
        <v>1435</v>
      </c>
      <c r="J38" s="280"/>
      <c r="K38" s="292">
        <f>G26</f>
        <v>454.9</v>
      </c>
      <c r="L38" s="280"/>
      <c r="M38" s="292">
        <f>H26</f>
        <v>446.1</v>
      </c>
      <c r="N38" s="280"/>
    </row>
    <row r="39" spans="2:17" ht="14.25" customHeight="1">
      <c r="B39" s="62" t="s">
        <v>53</v>
      </c>
      <c r="C39" s="295">
        <f>(C37*C38+E37*E38+G37*G38+I37*I38+K37*K38+M37*M38)/SUM(C38:M38)</f>
        <v>2.5387542559177616</v>
      </c>
      <c r="D39" s="279"/>
      <c r="E39" s="279"/>
      <c r="F39" s="279"/>
      <c r="G39" s="279"/>
      <c r="H39" s="279"/>
      <c r="I39" s="279"/>
      <c r="J39" s="279"/>
      <c r="K39" s="279"/>
      <c r="L39" s="279"/>
      <c r="M39" s="279"/>
      <c r="N39" s="280"/>
    </row>
    <row r="40" spans="2:17" ht="14.25" customHeight="1"/>
    <row r="41" spans="2:17" ht="14.25" customHeight="1"/>
    <row r="42" spans="2:17" ht="14.25" customHeight="1">
      <c r="B42" s="287" t="s">
        <v>56</v>
      </c>
      <c r="C42" s="288"/>
      <c r="D42" s="288"/>
      <c r="E42" s="288"/>
      <c r="F42" s="288"/>
      <c r="G42" s="288"/>
      <c r="H42" s="288"/>
      <c r="I42" s="288"/>
      <c r="J42" s="288"/>
      <c r="K42" s="288"/>
      <c r="L42" s="288"/>
      <c r="M42" s="288"/>
      <c r="N42" s="288"/>
      <c r="O42" s="288"/>
      <c r="P42" s="288"/>
      <c r="Q42" s="288"/>
    </row>
    <row r="43" spans="2:17" ht="14.25" customHeight="1"/>
    <row r="44" spans="2:17" ht="14.25" customHeight="1">
      <c r="B44" s="278" t="s">
        <v>49</v>
      </c>
      <c r="C44" s="280"/>
      <c r="D44" s="63">
        <f>C39</f>
        <v>2.5387542559177616</v>
      </c>
      <c r="I44" s="278" t="s">
        <v>65</v>
      </c>
      <c r="J44" s="279"/>
      <c r="K44" s="280"/>
      <c r="L44" s="64">
        <f>SUM(D26:H26)</f>
        <v>3778.1</v>
      </c>
    </row>
    <row r="45" spans="2:17" ht="14.25" customHeight="1">
      <c r="B45" s="278" t="s">
        <v>55</v>
      </c>
      <c r="C45" s="280"/>
      <c r="D45" s="65">
        <v>0.6</v>
      </c>
      <c r="E45" s="59" t="s">
        <v>59</v>
      </c>
      <c r="I45" s="278" t="s">
        <v>64</v>
      </c>
      <c r="J45" s="279"/>
      <c r="K45" s="280"/>
      <c r="L45" s="42">
        <v>2</v>
      </c>
    </row>
    <row r="46" spans="2:17" ht="14.25" customHeight="1">
      <c r="B46" s="290" t="s">
        <v>11</v>
      </c>
      <c r="C46" s="280"/>
      <c r="D46" s="42">
        <v>30</v>
      </c>
      <c r="K46" s="66"/>
    </row>
    <row r="47" spans="2:17" ht="14.25" customHeight="1">
      <c r="B47" s="290" t="s">
        <v>57</v>
      </c>
      <c r="C47" s="280"/>
      <c r="D47" s="67">
        <v>7.4999999999999997E-2</v>
      </c>
      <c r="E47" s="59" t="s">
        <v>100</v>
      </c>
      <c r="I47" s="286" t="s">
        <v>101</v>
      </c>
      <c r="J47" s="280"/>
      <c r="K47" s="42">
        <v>0.8</v>
      </c>
    </row>
    <row r="48" spans="2:17" ht="14.25" customHeight="1">
      <c r="B48" s="278" t="s">
        <v>58</v>
      </c>
      <c r="C48" s="280"/>
      <c r="D48" s="68">
        <v>0.09</v>
      </c>
      <c r="I48" s="286" t="s">
        <v>102</v>
      </c>
      <c r="J48" s="280"/>
      <c r="K48" s="42">
        <v>30000</v>
      </c>
    </row>
    <row r="49" spans="2:17" ht="14.25" customHeight="1">
      <c r="I49" s="286" t="s">
        <v>103</v>
      </c>
      <c r="J49" s="280"/>
      <c r="K49" s="42">
        <v>24</v>
      </c>
    </row>
    <row r="50" spans="2:17" ht="14.25" customHeight="1">
      <c r="I50" s="286" t="s">
        <v>104</v>
      </c>
      <c r="J50" s="280"/>
      <c r="K50" s="42">
        <v>0.35</v>
      </c>
    </row>
    <row r="51" spans="2:17" ht="14.25" customHeight="1">
      <c r="I51" s="286" t="s">
        <v>105</v>
      </c>
      <c r="J51" s="280"/>
      <c r="K51" s="42">
        <v>4.95</v>
      </c>
    </row>
    <row r="52" spans="2:17" ht="14.25" customHeight="1">
      <c r="I52" s="286" t="s">
        <v>106</v>
      </c>
      <c r="J52" s="280"/>
      <c r="K52" s="42">
        <v>21</v>
      </c>
    </row>
    <row r="53" spans="2:17" ht="14.25" customHeight="1">
      <c r="I53" s="286" t="s">
        <v>107</v>
      </c>
      <c r="J53" s="280"/>
      <c r="K53" s="42">
        <v>15.5</v>
      </c>
    </row>
    <row r="54" spans="2:17" ht="14.25" customHeight="1"/>
    <row r="55" spans="2:17" ht="14.25" customHeight="1">
      <c r="B55" s="287" t="s">
        <v>108</v>
      </c>
      <c r="C55" s="288"/>
      <c r="D55" s="288"/>
      <c r="E55" s="288"/>
      <c r="F55" s="288"/>
      <c r="G55" s="288"/>
      <c r="H55" s="288"/>
      <c r="I55" s="288"/>
      <c r="J55" s="288"/>
      <c r="K55" s="288"/>
      <c r="L55" s="288"/>
      <c r="M55" s="288"/>
      <c r="N55" s="288"/>
      <c r="O55" s="288"/>
      <c r="P55" s="288"/>
      <c r="Q55" s="288"/>
    </row>
    <row r="56" spans="2:17" ht="14.25" customHeight="1"/>
    <row r="57" spans="2:17" ht="14.25" customHeight="1">
      <c r="B57" s="286" t="s">
        <v>109</v>
      </c>
      <c r="C57" s="279"/>
      <c r="D57" s="279"/>
      <c r="E57" s="280"/>
      <c r="F57" s="42">
        <v>164774414</v>
      </c>
      <c r="H57" s="42" t="s">
        <v>110</v>
      </c>
      <c r="I57" s="42" t="s">
        <v>111</v>
      </c>
      <c r="J57" s="42" t="s">
        <v>112</v>
      </c>
      <c r="K57" s="42" t="s">
        <v>113</v>
      </c>
    </row>
    <row r="58" spans="2:17" ht="14.25" customHeight="1">
      <c r="B58" s="286" t="s">
        <v>114</v>
      </c>
      <c r="C58" s="279"/>
      <c r="D58" s="279"/>
      <c r="E58" s="280"/>
      <c r="F58" s="42">
        <v>2.4500000000000002</v>
      </c>
      <c r="H58" s="42" t="s">
        <v>115</v>
      </c>
      <c r="I58" s="42">
        <v>0.4</v>
      </c>
      <c r="J58" s="42">
        <v>8073946</v>
      </c>
      <c r="K58" s="42">
        <v>6661006</v>
      </c>
    </row>
    <row r="59" spans="2:17" ht="14.25" customHeight="1">
      <c r="B59" s="286" t="s">
        <v>116</v>
      </c>
      <c r="C59" s="279"/>
      <c r="D59" s="279"/>
      <c r="E59" s="280"/>
      <c r="F59" s="42">
        <v>403697314</v>
      </c>
      <c r="H59" s="42" t="s">
        <v>117</v>
      </c>
      <c r="I59" s="42">
        <v>0.25</v>
      </c>
      <c r="J59" s="42">
        <v>5046216</v>
      </c>
      <c r="K59" s="42">
        <v>4163129</v>
      </c>
    </row>
    <row r="60" spans="2:17" ht="14.25" customHeight="1">
      <c r="B60" s="286" t="s">
        <v>118</v>
      </c>
      <c r="C60" s="279"/>
      <c r="D60" s="279"/>
      <c r="E60" s="280"/>
      <c r="F60" s="65">
        <v>0.25</v>
      </c>
      <c r="H60" s="42" t="s">
        <v>119</v>
      </c>
      <c r="I60" s="42">
        <v>0.2</v>
      </c>
      <c r="J60" s="42">
        <v>4036973</v>
      </c>
      <c r="K60" s="42">
        <v>3330503</v>
      </c>
    </row>
    <row r="61" spans="2:17" ht="14.25" customHeight="1">
      <c r="B61" s="286" t="s">
        <v>120</v>
      </c>
      <c r="C61" s="279"/>
      <c r="D61" s="279"/>
      <c r="E61" s="280"/>
      <c r="F61" s="42">
        <v>100924329</v>
      </c>
      <c r="H61" s="42" t="s">
        <v>121</v>
      </c>
      <c r="I61" s="42">
        <v>0.15</v>
      </c>
      <c r="J61" s="42">
        <v>3027730</v>
      </c>
      <c r="K61" s="42">
        <v>2497877</v>
      </c>
    </row>
    <row r="62" spans="2:17" ht="14.25" customHeight="1">
      <c r="B62" s="286" t="s">
        <v>122</v>
      </c>
      <c r="C62" s="279"/>
      <c r="D62" s="279"/>
      <c r="E62" s="280"/>
      <c r="F62" s="65">
        <v>0.4</v>
      </c>
      <c r="H62" s="42" t="s">
        <v>123</v>
      </c>
      <c r="I62" s="42">
        <v>1</v>
      </c>
      <c r="J62" s="42">
        <v>20184866</v>
      </c>
      <c r="K62" s="42">
        <v>16652514</v>
      </c>
    </row>
    <row r="63" spans="2:17" ht="14.25" customHeight="1">
      <c r="B63" s="286" t="s">
        <v>124</v>
      </c>
      <c r="C63" s="279"/>
      <c r="D63" s="279"/>
      <c r="E63" s="280"/>
      <c r="F63" s="65">
        <v>0.6</v>
      </c>
    </row>
    <row r="64" spans="2:17" ht="14.25" customHeight="1">
      <c r="B64" s="286" t="s">
        <v>125</v>
      </c>
      <c r="C64" s="279"/>
      <c r="D64" s="279"/>
      <c r="E64" s="280"/>
      <c r="F64" s="42">
        <v>20184866</v>
      </c>
    </row>
    <row r="65" spans="2:17" ht="14.25" customHeight="1">
      <c r="B65" s="286" t="s">
        <v>126</v>
      </c>
      <c r="C65" s="279"/>
      <c r="D65" s="279"/>
      <c r="E65" s="280"/>
      <c r="F65" s="42">
        <v>30277299</v>
      </c>
    </row>
    <row r="66" spans="2:17" ht="14.25" customHeight="1">
      <c r="B66" s="286" t="s">
        <v>127</v>
      </c>
      <c r="C66" s="279"/>
      <c r="D66" s="279"/>
      <c r="E66" s="280"/>
      <c r="F66" s="65">
        <v>0.55000000000000004</v>
      </c>
    </row>
    <row r="67" spans="2:17" ht="14.25" customHeight="1">
      <c r="B67" s="286" t="s">
        <v>128</v>
      </c>
      <c r="C67" s="279"/>
      <c r="D67" s="279"/>
      <c r="E67" s="280"/>
      <c r="F67" s="42">
        <v>16652514</v>
      </c>
    </row>
    <row r="68" spans="2:17" ht="14.25" customHeight="1"/>
    <row r="69" spans="2:17" ht="14.25" customHeight="1">
      <c r="B69" s="287" t="s">
        <v>129</v>
      </c>
      <c r="C69" s="288"/>
      <c r="D69" s="288"/>
      <c r="E69" s="288"/>
      <c r="F69" s="288"/>
      <c r="G69" s="288"/>
      <c r="H69" s="288"/>
      <c r="I69" s="288"/>
      <c r="J69" s="288"/>
      <c r="K69" s="288"/>
      <c r="L69" s="288"/>
      <c r="M69" s="288"/>
      <c r="N69" s="288"/>
      <c r="O69" s="288"/>
      <c r="P69" s="288"/>
      <c r="Q69" s="288"/>
    </row>
    <row r="70" spans="2:17" ht="14.25" customHeight="1" thickBot="1"/>
    <row r="71" spans="2:17" ht="14.25" customHeight="1">
      <c r="B71" s="281" t="s">
        <v>130</v>
      </c>
      <c r="C71" s="282"/>
      <c r="D71" s="283"/>
    </row>
    <row r="72" spans="2:17" ht="14.25" customHeight="1" thickBot="1">
      <c r="B72" s="69" t="s">
        <v>131</v>
      </c>
      <c r="C72" s="42" t="s">
        <v>132</v>
      </c>
      <c r="D72" s="70" t="s">
        <v>133</v>
      </c>
      <c r="F72" s="59" t="s">
        <v>134</v>
      </c>
    </row>
    <row r="73" spans="2:17" ht="14.25" customHeight="1" thickBot="1">
      <c r="B73" s="71">
        <v>38</v>
      </c>
      <c r="C73" s="72">
        <v>500</v>
      </c>
      <c r="D73" s="73">
        <v>300</v>
      </c>
      <c r="F73" s="74" t="s">
        <v>135</v>
      </c>
      <c r="G73" s="75">
        <v>310</v>
      </c>
    </row>
    <row r="74" spans="2:17" ht="14.25" customHeight="1" thickBot="1"/>
    <row r="75" spans="2:17" ht="14.25" customHeight="1" thickBot="1">
      <c r="B75" s="284" t="s">
        <v>136</v>
      </c>
      <c r="C75" s="285"/>
      <c r="D75" s="76">
        <v>150</v>
      </c>
    </row>
    <row r="76" spans="2:17" ht="14.25" customHeight="1"/>
    <row r="77" spans="2:17" ht="14.25" customHeight="1"/>
    <row r="78" spans="2:17" ht="14.25" customHeight="1"/>
    <row r="79" spans="2:17" ht="14.25" customHeight="1"/>
    <row r="80" spans="2:17" ht="14.25" customHeight="1"/>
    <row r="81" ht="14.4"/>
    <row r="82" ht="14.4"/>
    <row r="83" ht="14.4"/>
    <row r="84" ht="14.4"/>
    <row r="85" ht="14.4"/>
    <row r="86" ht="14.4"/>
    <row r="87" ht="14.4"/>
    <row r="88" ht="14.4"/>
    <row r="89" ht="14.4"/>
    <row r="90" ht="14.4"/>
    <row r="91" ht="14.4"/>
    <row r="92" ht="14.4"/>
    <row r="93" ht="14.4"/>
    <row r="94" ht="14.4"/>
    <row r="95" ht="14.4"/>
    <row r="96" ht="14.4"/>
    <row r="97" ht="14.4"/>
    <row r="98" ht="14.4"/>
    <row r="99" ht="14.4"/>
    <row r="100" ht="14.4"/>
    <row r="101" ht="14.4"/>
    <row r="102" ht="14.4"/>
    <row r="103" ht="14.4"/>
    <row r="104" ht="14.4"/>
    <row r="105" ht="14.4"/>
    <row r="106" ht="14.4"/>
    <row r="107" ht="14.4"/>
    <row r="108" ht="14.4"/>
    <row r="109" ht="14.4"/>
    <row r="110" ht="14.4"/>
    <row r="111" ht="14.4"/>
    <row r="112" ht="14.4"/>
    <row r="113" ht="14.4"/>
    <row r="114" ht="14.4"/>
    <row r="115" ht="14.4"/>
    <row r="116" ht="14.4"/>
    <row r="117" ht="14.4"/>
    <row r="118" ht="14.4"/>
    <row r="119" ht="14.4"/>
    <row r="120" ht="14.4"/>
    <row r="121" ht="14.4"/>
    <row r="122" ht="14.4"/>
    <row r="123" ht="14.4"/>
    <row r="124" ht="14.4"/>
    <row r="125" ht="14.4"/>
    <row r="126" ht="14.4"/>
    <row r="127" ht="14.4"/>
    <row r="128" ht="14.4"/>
    <row r="129" ht="14.4"/>
    <row r="130" ht="14.4"/>
    <row r="131" ht="14.4"/>
    <row r="132" ht="14.4"/>
    <row r="133" ht="14.4"/>
    <row r="134" ht="14.4"/>
    <row r="135" ht="14.4"/>
    <row r="136" ht="14.4"/>
    <row r="137" ht="14.4"/>
    <row r="138" ht="14.4"/>
    <row r="139" ht="14.4"/>
    <row r="140" ht="14.4"/>
    <row r="141" ht="14.4"/>
    <row r="142" ht="14.4"/>
    <row r="143" ht="14.4"/>
    <row r="144" ht="14.4"/>
    <row r="145" ht="14.4"/>
    <row r="146" ht="14.4"/>
    <row r="147" ht="14.4"/>
    <row r="148" ht="14.4"/>
    <row r="149" ht="14.4"/>
    <row r="150" ht="14.4"/>
    <row r="151" ht="14.4"/>
    <row r="152" ht="14.4"/>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row r="181" ht="14.4"/>
    <row r="182" ht="14.4"/>
    <row r="183" ht="14.4"/>
    <row r="184" ht="14.4"/>
    <row r="185" ht="14.4"/>
    <row r="186" ht="14.4"/>
    <row r="187" ht="14.4"/>
    <row r="188" ht="14.4"/>
    <row r="189" ht="14.4"/>
    <row r="190" ht="14.4"/>
    <row r="191" ht="14.4"/>
    <row r="192" ht="14.4"/>
    <row r="193" ht="14.4"/>
    <row r="194" ht="14.4"/>
    <row r="195" ht="14.4"/>
    <row r="196" ht="14.4"/>
    <row r="197" ht="14.4"/>
    <row r="198" ht="14.4"/>
    <row r="199" ht="14.4"/>
    <row r="200" ht="14.4"/>
    <row r="201" ht="14.4"/>
    <row r="202" ht="14.4"/>
    <row r="203" ht="14.4"/>
    <row r="204" ht="14.4"/>
    <row r="205" ht="14.4"/>
    <row r="206" ht="14.4"/>
    <row r="207" ht="14.4"/>
    <row r="208" ht="14.4"/>
    <row r="209" ht="14.4"/>
    <row r="210" ht="14.4"/>
    <row r="211" ht="14.4"/>
    <row r="212" ht="14.4"/>
    <row r="213" ht="14.4"/>
    <row r="214" ht="14.4"/>
    <row r="215" ht="14.4"/>
    <row r="216" ht="14.4"/>
    <row r="217" ht="14.4"/>
    <row r="218" ht="14.4"/>
    <row r="219" ht="14.4"/>
    <row r="220" ht="14.4"/>
    <row r="221" ht="14.4"/>
    <row r="222" ht="14.4"/>
    <row r="223" ht="14.4"/>
    <row r="224" ht="14.4"/>
    <row r="225" ht="14.4"/>
    <row r="226" ht="14.4"/>
    <row r="227" ht="14.4"/>
    <row r="228" ht="14.4"/>
    <row r="229" ht="14.4"/>
    <row r="230" ht="14.4"/>
    <row r="231" ht="14.4"/>
    <row r="232" ht="14.4"/>
    <row r="233" ht="14.4"/>
    <row r="234" ht="14.4"/>
    <row r="235" ht="14.4"/>
    <row r="236" ht="14.4"/>
    <row r="237" ht="14.4"/>
    <row r="238" ht="14.4"/>
    <row r="239" ht="14.4"/>
    <row r="240" ht="14.4"/>
    <row r="241" ht="14.4"/>
    <row r="242" ht="14.4"/>
    <row r="243" ht="14.4"/>
    <row r="244" ht="14.4"/>
    <row r="245" ht="14.4"/>
    <row r="246" ht="14.4"/>
    <row r="247" ht="14.4"/>
    <row r="248" ht="14.4"/>
    <row r="249" ht="14.4"/>
    <row r="250" ht="14.4"/>
    <row r="251" ht="14.4"/>
    <row r="252" ht="14.4"/>
    <row r="253" ht="14.4"/>
    <row r="254" ht="14.4"/>
    <row r="255" ht="14.4"/>
    <row r="256" ht="14.4"/>
    <row r="257" ht="14.4"/>
    <row r="258" ht="14.4"/>
    <row r="259" ht="14.4"/>
    <row r="260" ht="14.4"/>
    <row r="261" ht="14.4"/>
    <row r="262" ht="14.4"/>
    <row r="263" ht="14.4"/>
    <row r="264" ht="14.4"/>
    <row r="265" ht="14.4"/>
    <row r="266" ht="14.4"/>
    <row r="267" ht="14.4"/>
    <row r="268" ht="14.4"/>
    <row r="269" ht="14.4"/>
    <row r="270" ht="14.4"/>
    <row r="271" ht="14.4"/>
    <row r="272" ht="14.4"/>
    <row r="273" ht="14.4"/>
    <row r="274" ht="14.4"/>
    <row r="275" ht="14.4"/>
    <row r="276" ht="14.4"/>
    <row r="277" ht="14.4"/>
    <row r="278" ht="14.4"/>
    <row r="279" ht="14.4"/>
    <row r="280" ht="14.4"/>
    <row r="281" ht="14.4"/>
    <row r="282" ht="14.4"/>
    <row r="283" ht="14.4"/>
    <row r="284" ht="14.4"/>
    <row r="285" ht="14.4"/>
    <row r="286" ht="14.4"/>
    <row r="287" ht="14.4"/>
    <row r="288" ht="14.4"/>
    <row r="289" ht="14.4"/>
    <row r="290" ht="14.4"/>
    <row r="291" ht="14.4"/>
    <row r="292" ht="14.4"/>
    <row r="293" ht="14.4"/>
    <row r="294" ht="14.4"/>
    <row r="295" ht="14.4"/>
    <row r="296" ht="14.4"/>
    <row r="297" ht="14.4"/>
    <row r="298" ht="14.4"/>
    <row r="299" ht="14.4"/>
    <row r="300" ht="14.4"/>
    <row r="301" ht="14.4"/>
    <row r="302" ht="14.4"/>
    <row r="303" ht="14.4"/>
    <row r="304" ht="14.4"/>
    <row r="305" ht="14.4"/>
    <row r="306" ht="14.4"/>
    <row r="307" ht="14.4"/>
    <row r="308" ht="14.4"/>
    <row r="309" ht="14.4"/>
    <row r="310" ht="14.4"/>
    <row r="311" ht="14.4"/>
    <row r="312" ht="14.4"/>
    <row r="313" ht="14.4"/>
    <row r="314" ht="14.4"/>
    <row r="315" ht="14.4"/>
    <row r="316" ht="14.4"/>
    <row r="317" ht="14.4"/>
    <row r="318" ht="14.4"/>
    <row r="319" ht="14.4"/>
    <row r="320" ht="14.4"/>
    <row r="321" ht="14.4"/>
    <row r="322" ht="14.4"/>
    <row r="323" ht="14.4"/>
    <row r="324" ht="14.4"/>
    <row r="325" ht="14.4"/>
    <row r="326" ht="14.4"/>
    <row r="327" ht="14.4"/>
    <row r="328" ht="14.4"/>
    <row r="329" ht="14.4"/>
    <row r="330" ht="14.4"/>
    <row r="331" ht="14.4"/>
    <row r="332" ht="14.4"/>
    <row r="333" ht="14.4"/>
    <row r="334" ht="14.4"/>
    <row r="335" ht="14.4"/>
    <row r="336" ht="14.4"/>
    <row r="337" ht="14.4"/>
    <row r="338" ht="14.4"/>
    <row r="339" ht="14.4"/>
    <row r="340" ht="14.4"/>
    <row r="341" ht="14.4"/>
    <row r="342" ht="14.4"/>
    <row r="343" ht="14.4"/>
    <row r="344" ht="14.4"/>
    <row r="345" ht="14.4"/>
    <row r="346" ht="14.4"/>
    <row r="347" ht="14.4"/>
    <row r="348" ht="14.4"/>
    <row r="349" ht="14.4"/>
    <row r="350" ht="14.4"/>
    <row r="351" ht="14.4"/>
    <row r="352" ht="14.4"/>
    <row r="353" ht="14.4"/>
    <row r="354" ht="14.4"/>
    <row r="355" ht="14.4"/>
    <row r="356" ht="14.4"/>
    <row r="357" ht="14.4"/>
    <row r="358" ht="14.4"/>
    <row r="359" ht="14.4"/>
    <row r="360" ht="14.4"/>
    <row r="361" ht="14.4"/>
    <row r="362" ht="14.4"/>
    <row r="363" ht="14.4"/>
    <row r="364" ht="14.4"/>
    <row r="365" ht="14.4"/>
    <row r="366" ht="14.4"/>
    <row r="367" ht="14.4"/>
    <row r="368" ht="14.4"/>
    <row r="369" ht="14.4"/>
    <row r="370" ht="14.4"/>
    <row r="371" ht="14.4"/>
    <row r="372" ht="14.4"/>
    <row r="373" ht="14.4"/>
    <row r="374" ht="14.4"/>
    <row r="375" ht="14.4"/>
    <row r="376" ht="14.4"/>
    <row r="377" ht="14.4"/>
    <row r="378" ht="14.4"/>
    <row r="379" ht="14.4"/>
    <row r="380" ht="14.4"/>
    <row r="381" ht="14.4"/>
    <row r="382" ht="14.4"/>
    <row r="383" ht="14.4"/>
    <row r="384" ht="14.4"/>
    <row r="385" ht="14.4"/>
    <row r="386" ht="14.4"/>
    <row r="387" ht="14.4"/>
    <row r="388" ht="14.4"/>
    <row r="389" ht="14.4"/>
    <row r="390" ht="14.4"/>
    <row r="391" ht="14.4"/>
    <row r="392" ht="14.4"/>
    <row r="393" ht="14.4"/>
    <row r="394" ht="14.4"/>
    <row r="395" ht="14.4"/>
    <row r="396" ht="14.4"/>
    <row r="397" ht="14.4"/>
    <row r="398" ht="14.4"/>
    <row r="399" ht="14.4"/>
    <row r="400" ht="14.4"/>
    <row r="401" ht="14.4"/>
    <row r="402" ht="14.4"/>
    <row r="403" ht="14.4"/>
    <row r="404" ht="14.4"/>
    <row r="405" ht="14.4"/>
    <row r="406" ht="14.4"/>
    <row r="407" ht="14.4"/>
    <row r="408" ht="14.4"/>
    <row r="409" ht="14.4"/>
    <row r="410" ht="14.4"/>
    <row r="411" ht="14.4"/>
    <row r="412" ht="14.4"/>
    <row r="413" ht="14.4"/>
    <row r="414" ht="14.4"/>
    <row r="415" ht="14.4"/>
    <row r="416" ht="14.4"/>
    <row r="417" ht="14.4"/>
    <row r="418" ht="14.4"/>
    <row r="419" ht="14.4"/>
    <row r="420" ht="14.4"/>
    <row r="421" ht="14.4"/>
    <row r="422" ht="14.4"/>
    <row r="423" ht="14.4"/>
    <row r="424" ht="14.4"/>
    <row r="425" ht="14.4"/>
    <row r="426" ht="14.4"/>
    <row r="427" ht="14.4"/>
    <row r="428" ht="14.4"/>
    <row r="429" ht="14.4"/>
    <row r="430" ht="14.4"/>
    <row r="431" ht="14.4"/>
    <row r="432" ht="14.4"/>
    <row r="433" ht="14.4"/>
    <row r="434" ht="14.4"/>
    <row r="435" ht="14.4"/>
    <row r="436" ht="14.4"/>
    <row r="437" ht="14.4"/>
    <row r="438" ht="14.4"/>
    <row r="439" ht="14.4"/>
    <row r="440" ht="14.4"/>
    <row r="441" ht="14.4"/>
    <row r="442" ht="14.4"/>
    <row r="443" ht="14.4"/>
    <row r="444" ht="14.4"/>
    <row r="445" ht="14.4"/>
    <row r="446" ht="14.4"/>
    <row r="447" ht="14.4"/>
    <row r="448" ht="14.4"/>
    <row r="449" ht="14.4"/>
    <row r="450" ht="14.4"/>
    <row r="451" ht="14.4"/>
    <row r="452" ht="14.4"/>
    <row r="453" ht="14.4"/>
    <row r="454" ht="14.4"/>
    <row r="455" ht="14.4"/>
    <row r="456" ht="14.4"/>
    <row r="457" ht="14.4"/>
    <row r="458" ht="14.4"/>
    <row r="459" ht="14.4"/>
    <row r="460" ht="14.4"/>
    <row r="461" ht="14.4"/>
    <row r="462" ht="14.4"/>
    <row r="463" ht="14.4"/>
    <row r="464" ht="14.4"/>
    <row r="465" ht="14.4"/>
    <row r="466" ht="14.4"/>
    <row r="467" ht="14.4"/>
    <row r="468" ht="14.4"/>
    <row r="469" ht="14.4"/>
    <row r="470" ht="14.4"/>
    <row r="471" ht="14.4"/>
    <row r="472" ht="14.4"/>
    <row r="473" ht="14.4"/>
    <row r="474" ht="14.4"/>
    <row r="475" ht="14.4"/>
    <row r="476" ht="14.4"/>
    <row r="477" ht="14.4"/>
    <row r="478" ht="14.4"/>
    <row r="479" ht="14.4"/>
    <row r="480" ht="14.4"/>
    <row r="481" ht="14.4"/>
    <row r="482" ht="14.4"/>
    <row r="483" ht="14.4"/>
    <row r="484" ht="14.4"/>
    <row r="485" ht="14.4"/>
    <row r="486" ht="14.4"/>
    <row r="487" ht="14.4"/>
    <row r="488" ht="14.4"/>
    <row r="489" ht="14.4"/>
    <row r="490" ht="14.4"/>
    <row r="491" ht="14.4"/>
    <row r="492" ht="14.4"/>
    <row r="493" ht="14.4"/>
    <row r="494" ht="14.4"/>
    <row r="495" ht="14.4"/>
    <row r="496" ht="14.4"/>
    <row r="497" ht="14.4"/>
    <row r="498" ht="14.4"/>
    <row r="499" ht="14.4"/>
    <row r="500" ht="14.4"/>
    <row r="501" ht="14.4"/>
    <row r="502" ht="14.4"/>
    <row r="503" ht="14.4"/>
    <row r="504" ht="14.4"/>
    <row r="505" ht="14.4"/>
    <row r="506" ht="14.4"/>
    <row r="507" ht="14.4"/>
    <row r="508" ht="14.4"/>
    <row r="509" ht="14.4"/>
    <row r="510" ht="14.4"/>
    <row r="511" ht="14.4"/>
    <row r="512" ht="14.4"/>
    <row r="513" ht="14.4"/>
    <row r="514" ht="14.4"/>
    <row r="515" ht="14.4"/>
    <row r="516" ht="14.4"/>
    <row r="517" ht="14.4"/>
    <row r="518" ht="14.4"/>
    <row r="519" ht="14.4"/>
    <row r="520" ht="14.4"/>
    <row r="521" ht="14.4"/>
    <row r="522" ht="14.4"/>
    <row r="523" ht="14.4"/>
    <row r="524" ht="14.4"/>
    <row r="525" ht="14.4"/>
    <row r="526" ht="14.4"/>
    <row r="527" ht="14.4"/>
    <row r="528" ht="14.4"/>
    <row r="529" ht="14.4"/>
    <row r="530" ht="14.4"/>
    <row r="531" ht="14.4"/>
    <row r="532" ht="14.4"/>
    <row r="533" ht="14.4"/>
    <row r="534" ht="14.4"/>
    <row r="535" ht="14.4"/>
    <row r="536" ht="14.4"/>
    <row r="537" ht="14.4"/>
    <row r="538" ht="14.4"/>
    <row r="539" ht="14.4"/>
    <row r="540" ht="14.4"/>
    <row r="541" ht="14.4"/>
    <row r="542" ht="14.4"/>
    <row r="543" ht="14.4"/>
    <row r="544" ht="14.4"/>
    <row r="545" ht="14.4"/>
    <row r="546" ht="14.4"/>
    <row r="547" ht="14.4"/>
    <row r="548" ht="14.4"/>
    <row r="549" ht="14.4"/>
    <row r="550" ht="14.4"/>
    <row r="551" ht="14.4"/>
    <row r="552" ht="14.4"/>
    <row r="553" ht="14.4"/>
    <row r="554" ht="14.4"/>
    <row r="555" ht="14.4"/>
    <row r="556" ht="14.4"/>
    <row r="557" ht="14.4"/>
    <row r="558" ht="14.4"/>
    <row r="559" ht="14.4"/>
    <row r="560" ht="14.4"/>
    <row r="561" ht="14.4"/>
    <row r="562" ht="14.4"/>
    <row r="563" ht="14.4"/>
    <row r="564" ht="14.4"/>
    <row r="565" ht="14.4"/>
    <row r="566" ht="14.4"/>
    <row r="567" ht="14.4"/>
    <row r="568" ht="14.4"/>
    <row r="569" ht="14.4"/>
    <row r="570" ht="14.4"/>
    <row r="571" ht="14.4"/>
    <row r="572" ht="14.4"/>
    <row r="573" ht="14.4"/>
    <row r="574" ht="14.4"/>
    <row r="575" ht="14.4"/>
    <row r="576" ht="14.4"/>
    <row r="577" ht="14.4"/>
    <row r="578" ht="14.4"/>
    <row r="579" ht="14.4"/>
    <row r="580" ht="14.4"/>
    <row r="581" ht="14.4"/>
    <row r="582" ht="14.4"/>
    <row r="583" ht="14.4"/>
    <row r="584" ht="14.4"/>
    <row r="585" ht="14.4"/>
    <row r="586" ht="14.4"/>
    <row r="587" ht="14.4"/>
    <row r="588" ht="14.4"/>
    <row r="589" ht="14.4"/>
    <row r="590" ht="14.4"/>
    <row r="591" ht="14.4"/>
    <row r="592" ht="14.4"/>
    <row r="593" ht="14.4"/>
    <row r="594" ht="14.4"/>
    <row r="595" ht="14.4"/>
    <row r="596" ht="14.4"/>
    <row r="597" ht="14.4"/>
    <row r="598" ht="14.4"/>
    <row r="599" ht="14.4"/>
    <row r="600" ht="14.4"/>
    <row r="601" ht="14.4"/>
    <row r="602" ht="14.4"/>
    <row r="603" ht="14.4"/>
    <row r="604" ht="14.4"/>
    <row r="605" ht="14.4"/>
    <row r="606" ht="14.4"/>
    <row r="607" ht="14.4"/>
    <row r="608" ht="14.4"/>
    <row r="609" ht="14.4"/>
    <row r="610" ht="14.4"/>
    <row r="611" ht="14.4"/>
    <row r="612" ht="14.4"/>
    <row r="613" ht="14.4"/>
    <row r="614" ht="14.4"/>
    <row r="615" ht="14.4"/>
    <row r="616" ht="14.4"/>
    <row r="617" ht="14.4"/>
    <row r="618" ht="14.4"/>
    <row r="619" ht="14.4"/>
    <row r="620" ht="14.4"/>
    <row r="621" ht="14.4"/>
    <row r="622" ht="14.4"/>
    <row r="623" ht="14.4"/>
    <row r="624" ht="14.4"/>
    <row r="625" ht="14.4"/>
    <row r="626" ht="14.4"/>
    <row r="627" ht="14.4"/>
    <row r="628" ht="14.4"/>
    <row r="629" ht="14.4"/>
    <row r="630" ht="14.4"/>
    <row r="631" ht="14.4"/>
    <row r="632" ht="14.4"/>
    <row r="633" ht="14.4"/>
    <row r="634" ht="14.4"/>
    <row r="635" ht="14.4"/>
    <row r="636" ht="14.4"/>
    <row r="637" ht="14.4"/>
    <row r="638" ht="14.4"/>
    <row r="639" ht="14.4"/>
    <row r="640" ht="14.4"/>
    <row r="641" ht="14.4"/>
    <row r="642" ht="14.4"/>
    <row r="643" ht="14.4"/>
    <row r="644" ht="14.4"/>
    <row r="645" ht="14.4"/>
    <row r="646" ht="14.4"/>
    <row r="647" ht="14.4"/>
    <row r="648" ht="14.4"/>
    <row r="649" ht="14.4"/>
    <row r="650" ht="14.4"/>
    <row r="651" ht="14.4"/>
    <row r="652" ht="14.4"/>
    <row r="653" ht="14.4"/>
    <row r="654" ht="14.4"/>
    <row r="655" ht="14.4"/>
    <row r="656" ht="14.4"/>
    <row r="657" ht="14.4"/>
    <row r="658" ht="14.4"/>
    <row r="659" ht="14.4"/>
    <row r="660" ht="14.4"/>
    <row r="661" ht="14.4"/>
    <row r="662" ht="14.4"/>
    <row r="663" ht="14.4"/>
    <row r="664" ht="14.4"/>
    <row r="665" ht="14.4"/>
    <row r="666" ht="14.4"/>
    <row r="667" ht="14.4"/>
    <row r="668" ht="14.4"/>
    <row r="669" ht="14.4"/>
    <row r="670" ht="14.4"/>
    <row r="671" ht="14.4"/>
    <row r="672" ht="14.4"/>
    <row r="673" ht="14.4"/>
    <row r="674" ht="14.4"/>
    <row r="675" ht="14.4"/>
    <row r="676" ht="14.4"/>
    <row r="677" ht="14.4"/>
    <row r="678" ht="14.4"/>
    <row r="679" ht="14.4"/>
    <row r="680" ht="14.4"/>
    <row r="681" ht="14.4"/>
    <row r="682" ht="14.4"/>
    <row r="683" ht="14.4"/>
    <row r="684" ht="14.4"/>
    <row r="685" ht="14.4"/>
    <row r="686" ht="14.4"/>
    <row r="687" ht="14.4"/>
    <row r="688" ht="14.4"/>
    <row r="689" ht="14.4"/>
    <row r="690" ht="14.4"/>
    <row r="691" ht="14.4"/>
    <row r="692" ht="14.4"/>
    <row r="693" ht="14.4"/>
    <row r="694" ht="14.4"/>
    <row r="695" ht="14.4"/>
    <row r="696" ht="14.4"/>
    <row r="697" ht="14.4"/>
    <row r="698" ht="14.4"/>
    <row r="699" ht="14.4"/>
    <row r="700" ht="14.4"/>
    <row r="701" ht="14.4"/>
    <row r="702" ht="14.4"/>
    <row r="703" ht="14.4"/>
    <row r="704" ht="14.4"/>
    <row r="705" ht="14.4"/>
    <row r="706" ht="14.4"/>
    <row r="707" ht="14.4"/>
    <row r="708" ht="14.4"/>
    <row r="709" ht="14.4"/>
    <row r="710" ht="14.4"/>
    <row r="711" ht="14.4"/>
    <row r="712" ht="14.4"/>
    <row r="713" ht="14.4"/>
    <row r="714" ht="14.4"/>
    <row r="715" ht="14.4"/>
    <row r="716" ht="14.4"/>
    <row r="717" ht="14.4"/>
    <row r="718" ht="14.4"/>
    <row r="719" ht="14.4"/>
    <row r="720" ht="14.4"/>
    <row r="721" ht="14.4"/>
    <row r="722" ht="14.4"/>
    <row r="723" ht="14.4"/>
    <row r="724" ht="14.4"/>
    <row r="725" ht="14.4"/>
    <row r="726" ht="14.4"/>
    <row r="727" ht="14.4"/>
    <row r="728" ht="14.4"/>
    <row r="729" ht="14.4"/>
    <row r="730" ht="14.4"/>
    <row r="731" ht="14.4"/>
    <row r="732" ht="14.4"/>
    <row r="733" ht="14.4"/>
    <row r="734" ht="14.4"/>
    <row r="735" ht="14.4"/>
    <row r="736" ht="14.4"/>
    <row r="737" ht="14.4"/>
    <row r="738" ht="14.4"/>
    <row r="739" ht="14.4"/>
    <row r="740" ht="14.4"/>
    <row r="741" ht="14.4"/>
    <row r="742" ht="14.4"/>
    <row r="743" ht="14.4"/>
    <row r="744" ht="14.4"/>
    <row r="745" ht="14.4"/>
    <row r="746" ht="14.4"/>
    <row r="747" ht="14.4"/>
    <row r="748" ht="14.4"/>
    <row r="749" ht="14.4"/>
    <row r="750" ht="14.4"/>
    <row r="751" ht="14.4"/>
    <row r="752" ht="14.4"/>
    <row r="753" ht="14.4"/>
    <row r="754" ht="14.4"/>
    <row r="755" ht="14.4"/>
    <row r="756" ht="14.4"/>
    <row r="757" ht="14.4"/>
    <row r="758" ht="14.4"/>
    <row r="759" ht="14.4"/>
    <row r="760" ht="14.4"/>
    <row r="761" ht="14.4"/>
    <row r="762" ht="14.4"/>
    <row r="763" ht="14.4"/>
    <row r="764" ht="14.4"/>
    <row r="765" ht="14.4"/>
    <row r="766" ht="14.4"/>
    <row r="767" ht="14.4"/>
    <row r="768" ht="14.4"/>
    <row r="769" ht="14.4"/>
    <row r="770" ht="14.4"/>
    <row r="771" ht="14.4"/>
    <row r="772" ht="14.4"/>
    <row r="773" ht="14.4"/>
    <row r="774" ht="14.4"/>
    <row r="775" ht="14.4"/>
    <row r="776" ht="14.4"/>
    <row r="777" ht="14.4"/>
    <row r="778" ht="14.4"/>
    <row r="779" ht="14.4"/>
    <row r="780" ht="14.4"/>
    <row r="781" ht="14.4"/>
    <row r="782" ht="14.4"/>
    <row r="783" ht="14.4"/>
    <row r="784" ht="14.4"/>
    <row r="785" ht="14.4"/>
    <row r="786" ht="14.4"/>
    <row r="787" ht="14.4"/>
    <row r="788" ht="14.4"/>
    <row r="789" ht="14.4"/>
    <row r="790" ht="14.4"/>
    <row r="791" ht="14.4"/>
    <row r="792" ht="14.4"/>
    <row r="793" ht="14.4"/>
    <row r="794" ht="14.4"/>
    <row r="795" ht="14.4"/>
    <row r="796" ht="14.4"/>
    <row r="797" ht="14.4"/>
    <row r="798" ht="14.4"/>
    <row r="799" ht="14.4"/>
    <row r="800" ht="14.4"/>
    <row r="801" ht="14.4"/>
    <row r="802" ht="14.4"/>
    <row r="803" ht="14.4"/>
    <row r="804" ht="14.4"/>
    <row r="805" ht="14.4"/>
    <row r="806" ht="14.4"/>
    <row r="807" ht="14.4"/>
    <row r="808" ht="14.4"/>
    <row r="809" ht="14.4"/>
    <row r="810" ht="14.4"/>
    <row r="811" ht="14.4"/>
    <row r="812" ht="14.4"/>
    <row r="813" ht="14.4"/>
    <row r="814" ht="14.4"/>
    <row r="815" ht="14.4"/>
    <row r="816" ht="14.4"/>
    <row r="817" ht="14.4"/>
    <row r="818" ht="14.4"/>
    <row r="819" ht="14.4"/>
    <row r="820" ht="14.4"/>
    <row r="821" ht="14.4"/>
    <row r="822" ht="14.4"/>
    <row r="823" ht="14.4"/>
    <row r="824" ht="14.4"/>
    <row r="825" ht="14.4"/>
    <row r="826" ht="14.4"/>
    <row r="827" ht="14.4"/>
    <row r="828" ht="14.4"/>
    <row r="829" ht="14.4"/>
    <row r="830" ht="14.4"/>
    <row r="831" ht="14.4"/>
    <row r="832" ht="14.4"/>
    <row r="833" ht="14.4"/>
    <row r="834" ht="14.4"/>
    <row r="835" ht="14.4"/>
    <row r="836" ht="14.4"/>
    <row r="837" ht="14.4"/>
    <row r="838" ht="14.4"/>
    <row r="839" ht="14.4"/>
    <row r="840" ht="14.4"/>
    <row r="841" ht="14.4"/>
    <row r="842" ht="14.4"/>
    <row r="843" ht="14.4"/>
    <row r="844" ht="14.4"/>
    <row r="845" ht="14.4"/>
    <row r="846" ht="14.4"/>
    <row r="847" ht="14.4"/>
    <row r="848" ht="14.4"/>
    <row r="849" ht="14.4"/>
    <row r="850" ht="14.4"/>
    <row r="851" ht="14.4"/>
    <row r="852" ht="14.4"/>
    <row r="853" ht="14.4"/>
    <row r="854" ht="14.4"/>
    <row r="855" ht="14.4"/>
    <row r="856" ht="14.4"/>
    <row r="857" ht="14.4"/>
    <row r="858" ht="14.4"/>
    <row r="859" ht="14.4"/>
    <row r="860" ht="14.4"/>
    <row r="861" ht="14.4"/>
    <row r="862" ht="14.4"/>
    <row r="863" ht="14.4"/>
    <row r="864" ht="14.4"/>
    <row r="865" ht="14.4"/>
    <row r="866" ht="14.4"/>
    <row r="867" ht="14.4"/>
    <row r="868" ht="14.4"/>
    <row r="869" ht="14.4"/>
    <row r="870" ht="14.4"/>
    <row r="871" ht="14.4"/>
    <row r="872" ht="14.4"/>
    <row r="873" ht="14.4"/>
    <row r="874" ht="14.4"/>
    <row r="875" ht="14.4"/>
    <row r="876" ht="14.4"/>
    <row r="877" ht="14.4"/>
    <row r="878" ht="14.4"/>
    <row r="879" ht="14.4"/>
    <row r="880" ht="14.4"/>
    <row r="881" ht="14.4"/>
    <row r="882" ht="14.4"/>
    <row r="883" ht="14.4"/>
    <row r="884" ht="14.4"/>
    <row r="885" ht="14.4"/>
    <row r="886" ht="14.4"/>
    <row r="887" ht="14.4"/>
    <row r="888" ht="14.4"/>
    <row r="889" ht="14.4"/>
    <row r="890" ht="14.4"/>
    <row r="891" ht="14.4"/>
    <row r="892" ht="14.4"/>
    <row r="893" ht="14.4"/>
    <row r="894" ht="14.4"/>
    <row r="895" ht="14.4"/>
    <row r="896" ht="14.4"/>
    <row r="897" ht="14.4"/>
    <row r="898" ht="14.4"/>
    <row r="899" ht="14.4"/>
    <row r="900" ht="14.4"/>
    <row r="901" ht="14.4"/>
    <row r="902" ht="14.4"/>
    <row r="903" ht="14.4"/>
    <row r="904" ht="14.4"/>
    <row r="905" ht="14.4"/>
    <row r="906" ht="14.4"/>
    <row r="907" ht="14.4"/>
    <row r="908" ht="14.4"/>
    <row r="909" ht="14.4"/>
    <row r="910" ht="14.4"/>
    <row r="911" ht="14.4"/>
    <row r="912" ht="14.4"/>
    <row r="913" ht="14.4"/>
    <row r="914" ht="14.4"/>
    <row r="915" ht="14.4"/>
    <row r="916" ht="14.4"/>
    <row r="917" ht="14.4"/>
    <row r="918" ht="14.4"/>
    <row r="919" ht="14.4"/>
    <row r="920" ht="14.4"/>
    <row r="921" ht="14.4"/>
    <row r="922" ht="14.4"/>
    <row r="923" ht="14.4"/>
    <row r="924" ht="14.4"/>
    <row r="925" ht="14.4"/>
    <row r="926" ht="14.4"/>
    <row r="927" ht="14.4"/>
    <row r="928" ht="14.4"/>
    <row r="929" ht="14.4"/>
    <row r="930" ht="14.4"/>
    <row r="931" ht="14.4"/>
    <row r="932" ht="14.4"/>
    <row r="933" ht="14.4"/>
    <row r="934" ht="14.4"/>
    <row r="935" ht="14.4"/>
    <row r="936" ht="14.4"/>
    <row r="937" ht="14.4"/>
    <row r="938" ht="14.4"/>
    <row r="939" ht="14.4"/>
    <row r="940" ht="14.4"/>
    <row r="941" ht="14.4"/>
    <row r="942" ht="14.4"/>
    <row r="943" ht="14.4"/>
    <row r="944" ht="14.4"/>
    <row r="945" ht="14.4"/>
    <row r="946" ht="14.4"/>
    <row r="947" ht="14.4"/>
    <row r="948" ht="14.4"/>
    <row r="949" ht="14.4"/>
    <row r="950" ht="14.4"/>
    <row r="951" ht="14.4"/>
    <row r="952" ht="14.4"/>
    <row r="953" ht="14.4"/>
    <row r="954" ht="14.4"/>
    <row r="955" ht="14.4"/>
    <row r="956" ht="14.4"/>
    <row r="957" ht="14.4"/>
    <row r="958" ht="14.4"/>
    <row r="959" ht="14.4"/>
    <row r="960" ht="14.4"/>
    <row r="961" ht="14.4"/>
    <row r="962" ht="14.4"/>
    <row r="963" ht="14.4"/>
    <row r="964" ht="14.4"/>
    <row r="965" ht="14.4"/>
    <row r="966" ht="14.4"/>
    <row r="967" ht="14.4"/>
    <row r="968" ht="14.4"/>
    <row r="969" ht="14.4"/>
    <row r="970" ht="14.4"/>
    <row r="971" ht="14.4"/>
    <row r="972" ht="14.4"/>
    <row r="973" ht="14.4"/>
    <row r="974" ht="14.4"/>
    <row r="975" ht="14.4"/>
    <row r="976" ht="14.4"/>
    <row r="977" ht="14.4"/>
    <row r="978" ht="14.4"/>
    <row r="979" ht="14.4"/>
    <row r="980" ht="14.4"/>
    <row r="981" ht="14.4"/>
    <row r="982" ht="14.4"/>
    <row r="983" ht="14.4"/>
    <row r="984" ht="14.4"/>
    <row r="985" ht="14.4"/>
    <row r="986" ht="14.4"/>
    <row r="987" ht="14.4"/>
    <row r="988" ht="14.4"/>
    <row r="989" ht="14.4"/>
    <row r="990" ht="14.4"/>
    <row r="991" ht="14.4"/>
    <row r="992" ht="14.4"/>
    <row r="993" ht="14.4"/>
    <row r="994" ht="14.4"/>
    <row r="995" ht="14.4"/>
    <row r="996" ht="14.4"/>
    <row r="997" ht="14.4"/>
    <row r="998" ht="14.4"/>
    <row r="999" ht="14.4"/>
    <row r="1000" ht="14.4"/>
  </sheetData>
  <mergeCells count="63">
    <mergeCell ref="K38:L38"/>
    <mergeCell ref="B59:E59"/>
    <mergeCell ref="C39:N39"/>
    <mergeCell ref="B42:Q42"/>
    <mergeCell ref="B44:C44"/>
    <mergeCell ref="I44:K44"/>
    <mergeCell ref="B45:C45"/>
    <mergeCell ref="I45:K45"/>
    <mergeCell ref="I49:J49"/>
    <mergeCell ref="I50:J50"/>
    <mergeCell ref="B55:Q55"/>
    <mergeCell ref="B57:E57"/>
    <mergeCell ref="B58:E58"/>
    <mergeCell ref="M38:N38"/>
    <mergeCell ref="C38:D38"/>
    <mergeCell ref="B46:C46"/>
    <mergeCell ref="K37:L37"/>
    <mergeCell ref="M37:N37"/>
    <mergeCell ref="M32:N32"/>
    <mergeCell ref="C33:D33"/>
    <mergeCell ref="E33:F33"/>
    <mergeCell ref="G33:H33"/>
    <mergeCell ref="I33:J33"/>
    <mergeCell ref="K33:L33"/>
    <mergeCell ref="M33:N33"/>
    <mergeCell ref="I32:J32"/>
    <mergeCell ref="K32:L32"/>
    <mergeCell ref="B6:H6"/>
    <mergeCell ref="C7:H7"/>
    <mergeCell ref="C8:H8"/>
    <mergeCell ref="C9:H9"/>
    <mergeCell ref="C10:H10"/>
    <mergeCell ref="B47:C47"/>
    <mergeCell ref="I47:J47"/>
    <mergeCell ref="I48:J48"/>
    <mergeCell ref="C37:D37"/>
    <mergeCell ref="E38:F38"/>
    <mergeCell ref="G38:H38"/>
    <mergeCell ref="I38:J38"/>
    <mergeCell ref="E37:F37"/>
    <mergeCell ref="G37:H37"/>
    <mergeCell ref="I37:J37"/>
    <mergeCell ref="B60:E60"/>
    <mergeCell ref="I51:J51"/>
    <mergeCell ref="I52:J52"/>
    <mergeCell ref="I53:J53"/>
    <mergeCell ref="B48:C48"/>
    <mergeCell ref="C11:H11"/>
    <mergeCell ref="C12:H12"/>
    <mergeCell ref="B71:D71"/>
    <mergeCell ref="B75:C75"/>
    <mergeCell ref="B62:E62"/>
    <mergeCell ref="B63:E63"/>
    <mergeCell ref="B64:E64"/>
    <mergeCell ref="B65:E65"/>
    <mergeCell ref="B66:E66"/>
    <mergeCell ref="B67:E67"/>
    <mergeCell ref="B30:Q30"/>
    <mergeCell ref="C32:D32"/>
    <mergeCell ref="E32:F32"/>
    <mergeCell ref="G32:H32"/>
    <mergeCell ref="B69:Q69"/>
    <mergeCell ref="B61:E6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0C2BC-A02C-4788-955E-346B5AC51198}">
  <dimension ref="B1:Z969"/>
  <sheetViews>
    <sheetView zoomScale="86" workbookViewId="0">
      <selection activeCell="M25" sqref="M25"/>
    </sheetView>
  </sheetViews>
  <sheetFormatPr defaultColWidth="14.44140625" defaultRowHeight="15" customHeight="1"/>
  <cols>
    <col min="1" max="1" width="8.6640625" customWidth="1"/>
    <col min="2" max="2" width="21.33203125" customWidth="1"/>
    <col min="3" max="3" width="15" customWidth="1"/>
    <col min="4" max="4" width="8.88671875" customWidth="1"/>
    <col min="5" max="5" width="11" customWidth="1"/>
    <col min="6" max="9" width="8.6640625" customWidth="1"/>
    <col min="10" max="10" width="10" customWidth="1"/>
    <col min="11" max="11" width="10.5546875" customWidth="1"/>
    <col min="12" max="12" width="9.44140625" customWidth="1"/>
    <col min="13" max="13" width="11.6640625" customWidth="1"/>
    <col min="14" max="14" width="8.6640625" customWidth="1"/>
    <col min="15" max="15" width="28.44140625" customWidth="1"/>
    <col min="16" max="16" width="17.33203125" customWidth="1"/>
    <col min="17" max="17" width="7.109375" customWidth="1"/>
    <col min="18" max="18" width="10.44140625" customWidth="1"/>
    <col min="19" max="19" width="11" customWidth="1"/>
    <col min="20" max="25" width="8.6640625" customWidth="1"/>
    <col min="26" max="26" width="11.6640625" customWidth="1"/>
    <col min="27" max="27" width="8.6640625" customWidth="1"/>
  </cols>
  <sheetData>
    <row r="1" spans="2:26" ht="14.25" customHeight="1"/>
    <row r="2" spans="2:26" ht="14.25" customHeight="1"/>
    <row r="3" spans="2:26" ht="14.25" customHeight="1"/>
    <row r="4" spans="2:26" ht="14.25" customHeight="1"/>
    <row r="5" spans="2:26" ht="14.25" customHeight="1"/>
    <row r="6" spans="2:26" ht="14.25" customHeight="1">
      <c r="B6" s="304" t="s">
        <v>24</v>
      </c>
      <c r="C6" s="288"/>
      <c r="D6" s="288"/>
      <c r="E6" s="288"/>
      <c r="F6" s="288"/>
      <c r="G6" s="288"/>
      <c r="H6" s="288"/>
      <c r="I6" s="288"/>
      <c r="J6" s="288"/>
      <c r="K6" s="288"/>
      <c r="L6" s="288"/>
      <c r="M6" s="288"/>
      <c r="O6" s="304" t="s">
        <v>25</v>
      </c>
      <c r="P6" s="288"/>
      <c r="Q6" s="288"/>
      <c r="R6" s="288"/>
      <c r="S6" s="288"/>
      <c r="T6" s="288"/>
      <c r="U6" s="288"/>
      <c r="V6" s="288"/>
      <c r="W6" s="288"/>
      <c r="X6" s="288"/>
      <c r="Y6" s="288"/>
      <c r="Z6" s="288"/>
    </row>
    <row r="7" spans="2:26" ht="14.25" customHeight="1"/>
    <row r="8" spans="2:26" ht="14.25" customHeight="1">
      <c r="B8" s="303" t="s">
        <v>23</v>
      </c>
      <c r="C8" s="288"/>
      <c r="D8" s="288"/>
      <c r="E8" s="288"/>
      <c r="F8" s="288"/>
      <c r="G8" s="288"/>
      <c r="H8" s="288"/>
      <c r="I8" s="288"/>
      <c r="J8" s="288"/>
      <c r="K8" s="288"/>
      <c r="L8" s="288"/>
      <c r="M8" s="288"/>
      <c r="O8" s="303" t="s">
        <v>23</v>
      </c>
      <c r="P8" s="288"/>
      <c r="Q8" s="288"/>
      <c r="R8" s="288"/>
      <c r="S8" s="288"/>
      <c r="T8" s="288"/>
      <c r="U8" s="288"/>
      <c r="V8" s="288"/>
      <c r="W8" s="288"/>
      <c r="X8" s="288"/>
      <c r="Y8" s="288"/>
      <c r="Z8" s="288"/>
    </row>
    <row r="9" spans="2:26" ht="14.25" customHeight="1">
      <c r="B9" s="57" t="s">
        <v>26</v>
      </c>
      <c r="C9" s="83">
        <v>94.5</v>
      </c>
      <c r="D9" s="83"/>
      <c r="E9" s="305" t="s">
        <v>28</v>
      </c>
      <c r="F9" s="300"/>
      <c r="G9" s="300"/>
      <c r="H9" s="300"/>
      <c r="I9" s="300"/>
      <c r="J9" s="300"/>
      <c r="K9" s="300"/>
      <c r="L9" s="300"/>
      <c r="M9" s="306"/>
      <c r="O9" s="57" t="s">
        <v>26</v>
      </c>
      <c r="P9" s="83">
        <v>94.5</v>
      </c>
      <c r="Q9" s="83"/>
      <c r="R9" s="305" t="s">
        <v>28</v>
      </c>
      <c r="S9" s="300"/>
      <c r="T9" s="300"/>
      <c r="U9" s="300"/>
      <c r="V9" s="300"/>
      <c r="W9" s="300"/>
      <c r="X9" s="300"/>
      <c r="Y9" s="300"/>
      <c r="Z9" s="306"/>
    </row>
    <row r="10" spans="2:26" ht="14.25" customHeight="1">
      <c r="B10" s="84" t="s">
        <v>27</v>
      </c>
      <c r="C10" s="59">
        <f>3.5*6+2*(1.5+2)+2.5+0.5*2</f>
        <v>31.5</v>
      </c>
      <c r="E10" s="259"/>
      <c r="F10" s="259"/>
      <c r="G10" s="259"/>
      <c r="H10" s="259"/>
      <c r="I10" s="259"/>
      <c r="J10" s="259"/>
      <c r="K10" s="259"/>
      <c r="L10" s="259"/>
      <c r="M10" s="307"/>
      <c r="O10" s="84" t="s">
        <v>27</v>
      </c>
      <c r="P10" s="85">
        <f>3.5*6+2*(1.5+2)+2.5+0.5*2</f>
        <v>31.5</v>
      </c>
      <c r="Q10" s="85"/>
      <c r="R10" s="259"/>
      <c r="S10" s="259"/>
      <c r="T10" s="259"/>
      <c r="U10" s="259"/>
      <c r="V10" s="259"/>
      <c r="W10" s="259"/>
      <c r="X10" s="259"/>
      <c r="Y10" s="259"/>
      <c r="Z10" s="307"/>
    </row>
    <row r="11" spans="2:26" ht="14.25" customHeight="1">
      <c r="B11" s="84"/>
      <c r="E11" s="259"/>
      <c r="F11" s="259"/>
      <c r="G11" s="259"/>
      <c r="H11" s="259"/>
      <c r="I11" s="259"/>
      <c r="J11" s="259"/>
      <c r="K11" s="259"/>
      <c r="L11" s="259"/>
      <c r="M11" s="307"/>
      <c r="O11" s="84"/>
      <c r="P11" s="85"/>
      <c r="Q11" s="85"/>
      <c r="R11" s="259"/>
      <c r="S11" s="259"/>
      <c r="T11" s="259"/>
      <c r="U11" s="259"/>
      <c r="V11" s="259"/>
      <c r="W11" s="259"/>
      <c r="X11" s="259"/>
      <c r="Y11" s="259"/>
      <c r="Z11" s="307"/>
    </row>
    <row r="12" spans="2:26" ht="14.25" customHeight="1">
      <c r="B12" s="84"/>
      <c r="E12" s="259"/>
      <c r="F12" s="259"/>
      <c r="G12" s="259"/>
      <c r="H12" s="259"/>
      <c r="I12" s="259"/>
      <c r="J12" s="259"/>
      <c r="K12" s="259"/>
      <c r="L12" s="259"/>
      <c r="M12" s="307"/>
      <c r="O12" s="84"/>
      <c r="P12" s="85"/>
      <c r="Q12" s="85"/>
      <c r="R12" s="259"/>
      <c r="S12" s="259"/>
      <c r="T12" s="259"/>
      <c r="U12" s="259"/>
      <c r="V12" s="259"/>
      <c r="W12" s="259"/>
      <c r="X12" s="259"/>
      <c r="Y12" s="259"/>
      <c r="Z12" s="307"/>
    </row>
    <row r="13" spans="2:26" ht="14.25" customHeight="1">
      <c r="B13" s="84" t="s">
        <v>74</v>
      </c>
      <c r="M13" s="66"/>
      <c r="O13" s="301" t="s">
        <v>32</v>
      </c>
      <c r="P13" s="259"/>
      <c r="Q13" s="86"/>
      <c r="R13" s="302" t="s">
        <v>138</v>
      </c>
      <c r="S13" s="259"/>
      <c r="T13" s="259"/>
      <c r="U13" s="86"/>
      <c r="V13" s="86"/>
      <c r="W13" s="86"/>
      <c r="X13" s="86"/>
      <c r="Y13" s="86"/>
      <c r="Z13" s="87"/>
    </row>
    <row r="14" spans="2:26" ht="14.25" customHeight="1">
      <c r="B14" s="84" t="s">
        <v>73</v>
      </c>
      <c r="C14" s="59" t="s">
        <v>74</v>
      </c>
      <c r="M14" s="66"/>
      <c r="O14" s="84" t="s">
        <v>33</v>
      </c>
      <c r="P14" s="85">
        <v>310</v>
      </c>
      <c r="Q14" s="85"/>
      <c r="S14" s="85" t="s">
        <v>139</v>
      </c>
      <c r="T14" s="85" t="s">
        <v>140</v>
      </c>
      <c r="U14" s="85"/>
      <c r="V14" s="85"/>
      <c r="W14" s="85"/>
      <c r="X14" s="85"/>
      <c r="Y14" s="85"/>
      <c r="Z14" s="66"/>
    </row>
    <row r="15" spans="2:26" ht="14.25" customHeight="1">
      <c r="B15" s="84" t="s">
        <v>75</v>
      </c>
      <c r="C15" s="59">
        <v>40</v>
      </c>
      <c r="M15" s="66"/>
      <c r="O15" s="84" t="s">
        <v>141</v>
      </c>
      <c r="P15" s="85">
        <v>0.125</v>
      </c>
      <c r="Q15" s="85"/>
      <c r="R15" s="85" t="s">
        <v>142</v>
      </c>
      <c r="S15" s="85">
        <v>1800</v>
      </c>
      <c r="T15" s="85">
        <v>32</v>
      </c>
      <c r="U15" s="85"/>
      <c r="V15" s="85"/>
      <c r="W15" s="85"/>
      <c r="X15" s="85"/>
      <c r="Y15" s="85"/>
      <c r="Z15" s="66"/>
    </row>
    <row r="16" spans="2:26" ht="14.25" customHeight="1">
      <c r="B16" s="84" t="s">
        <v>76</v>
      </c>
      <c r="C16" s="59">
        <v>120</v>
      </c>
      <c r="M16" s="66"/>
      <c r="O16" s="84" t="s">
        <v>34</v>
      </c>
      <c r="P16" s="85">
        <v>150</v>
      </c>
      <c r="Q16" s="85"/>
      <c r="R16" s="85" t="s">
        <v>143</v>
      </c>
      <c r="S16" s="85"/>
      <c r="T16" s="85"/>
      <c r="U16" s="85"/>
      <c r="V16" s="85"/>
      <c r="W16" s="85"/>
      <c r="X16" s="85"/>
      <c r="Y16" s="85"/>
      <c r="Z16" s="66"/>
    </row>
    <row r="17" spans="2:26" ht="14.25" customHeight="1">
      <c r="B17" s="84" t="s">
        <v>31</v>
      </c>
      <c r="C17" s="59">
        <v>250</v>
      </c>
      <c r="M17" s="66"/>
      <c r="O17" s="84" t="s">
        <v>35</v>
      </c>
      <c r="P17" s="85">
        <v>250</v>
      </c>
      <c r="Q17" s="85"/>
      <c r="R17" s="85" t="s">
        <v>144</v>
      </c>
      <c r="S17" s="85"/>
      <c r="T17" s="85"/>
      <c r="U17" s="85"/>
      <c r="V17" s="85"/>
      <c r="W17" s="85"/>
      <c r="X17" s="85"/>
      <c r="Y17" s="85"/>
      <c r="Z17" s="66"/>
    </row>
    <row r="18" spans="2:26" ht="14.25" customHeight="1">
      <c r="B18" s="84" t="s">
        <v>30</v>
      </c>
      <c r="C18" s="85">
        <v>200</v>
      </c>
      <c r="D18" s="85"/>
      <c r="E18" s="85"/>
      <c r="F18" s="85"/>
      <c r="G18" s="85"/>
      <c r="H18" s="85"/>
      <c r="I18" s="85"/>
      <c r="J18" s="85"/>
      <c r="K18" s="85"/>
      <c r="L18" s="85"/>
      <c r="M18" s="66"/>
      <c r="O18" s="84" t="s">
        <v>36</v>
      </c>
      <c r="P18" s="85">
        <v>150</v>
      </c>
      <c r="Q18" s="85"/>
      <c r="R18" s="85"/>
      <c r="S18" s="85"/>
      <c r="T18" s="85"/>
      <c r="U18" s="85"/>
      <c r="V18" s="85"/>
      <c r="W18" s="85"/>
      <c r="X18" s="85"/>
      <c r="Y18" s="85"/>
      <c r="Z18" s="66"/>
    </row>
    <row r="19" spans="2:26" ht="14.25" customHeight="1">
      <c r="B19" s="84" t="s">
        <v>145</v>
      </c>
      <c r="C19" s="85">
        <f>SUM(C15:C18)</f>
        <v>610</v>
      </c>
      <c r="D19" s="85"/>
      <c r="E19" s="85"/>
      <c r="F19" s="85"/>
      <c r="G19" s="85"/>
      <c r="H19" s="85"/>
      <c r="I19" s="85"/>
      <c r="J19" s="85"/>
      <c r="K19" s="85"/>
      <c r="L19" s="85"/>
      <c r="M19" s="66"/>
      <c r="O19" s="84" t="s">
        <v>29</v>
      </c>
      <c r="P19" s="85">
        <v>500</v>
      </c>
      <c r="Q19" s="85"/>
      <c r="R19" s="85"/>
      <c r="S19" s="85"/>
      <c r="T19" s="85"/>
      <c r="U19" s="85"/>
      <c r="V19" s="85"/>
      <c r="W19" s="85"/>
      <c r="X19" s="85"/>
      <c r="Y19" s="85"/>
      <c r="Z19" s="66"/>
    </row>
    <row r="20" spans="2:26" ht="14.25" customHeight="1">
      <c r="B20" s="134"/>
      <c r="M20" s="137"/>
      <c r="O20" s="84" t="s">
        <v>146</v>
      </c>
      <c r="P20" s="85">
        <f>SUM(P14:P19)</f>
        <v>1360.125</v>
      </c>
      <c r="Q20" s="85"/>
      <c r="R20" s="85"/>
      <c r="S20" s="85"/>
      <c r="T20" s="85"/>
      <c r="U20" s="85"/>
      <c r="V20" s="85"/>
      <c r="W20" s="85"/>
      <c r="X20" s="85"/>
      <c r="Y20" s="85"/>
      <c r="Z20" s="66"/>
    </row>
    <row r="21" spans="2:26" ht="14.25" customHeight="1">
      <c r="B21" s="138" t="s">
        <v>147</v>
      </c>
      <c r="C21" s="139">
        <f>C19*2 + C10*1000</f>
        <v>32720</v>
      </c>
      <c r="D21" s="139"/>
      <c r="E21" s="139"/>
      <c r="F21" s="139"/>
      <c r="G21" s="139"/>
      <c r="H21" s="139"/>
      <c r="I21" s="139"/>
      <c r="J21" s="139"/>
      <c r="K21" s="139"/>
      <c r="L21" s="139"/>
      <c r="M21" s="140"/>
      <c r="O21" s="138" t="s">
        <v>147</v>
      </c>
      <c r="P21" s="139">
        <f>P20*2 + P10*1000</f>
        <v>34220.25</v>
      </c>
      <c r="Q21" s="139"/>
      <c r="R21" s="139"/>
      <c r="S21" s="139"/>
      <c r="T21" s="139"/>
      <c r="U21" s="139"/>
      <c r="V21" s="139"/>
      <c r="W21" s="139"/>
      <c r="X21" s="139"/>
      <c r="Y21" s="139"/>
      <c r="Z21" s="140"/>
    </row>
    <row r="22" spans="2:26" ht="14.25" customHeight="1"/>
    <row r="23" spans="2:26" ht="14.25" customHeight="1">
      <c r="B23" s="303" t="s">
        <v>148</v>
      </c>
      <c r="C23" s="288"/>
      <c r="D23" s="288"/>
      <c r="E23" s="288"/>
      <c r="F23" s="288"/>
      <c r="G23" s="288"/>
      <c r="H23" s="288"/>
      <c r="I23" s="288"/>
      <c r="J23" s="288"/>
      <c r="K23" s="288"/>
      <c r="L23" s="288"/>
      <c r="M23" s="288"/>
      <c r="O23" s="303" t="s">
        <v>148</v>
      </c>
      <c r="P23" s="288"/>
      <c r="Q23" s="288"/>
      <c r="R23" s="288"/>
      <c r="S23" s="288"/>
      <c r="T23" s="288"/>
      <c r="U23" s="288"/>
      <c r="V23" s="288"/>
      <c r="W23" s="288"/>
      <c r="X23" s="288"/>
      <c r="Y23" s="288"/>
      <c r="Z23" s="288"/>
    </row>
    <row r="24" spans="2:26" ht="14.25" customHeight="1">
      <c r="B24" s="57" t="s">
        <v>149</v>
      </c>
      <c r="C24" s="299" t="s">
        <v>150</v>
      </c>
      <c r="D24" s="300"/>
      <c r="E24" s="300"/>
      <c r="F24" s="300"/>
      <c r="G24" s="300"/>
      <c r="H24" s="300"/>
      <c r="I24" s="300"/>
      <c r="J24" s="83" t="s">
        <v>151</v>
      </c>
      <c r="K24" s="83" t="s">
        <v>152</v>
      </c>
      <c r="L24" s="83" t="s">
        <v>153</v>
      </c>
      <c r="M24" s="91" t="s">
        <v>154</v>
      </c>
      <c r="O24" s="57" t="s">
        <v>149</v>
      </c>
      <c r="P24" s="299" t="s">
        <v>150</v>
      </c>
      <c r="Q24" s="300"/>
      <c r="R24" s="300"/>
      <c r="S24" s="300"/>
      <c r="T24" s="300"/>
      <c r="U24" s="300"/>
      <c r="V24" s="300"/>
      <c r="W24" s="83" t="s">
        <v>151</v>
      </c>
      <c r="X24" s="83" t="s">
        <v>152</v>
      </c>
      <c r="Y24" s="83" t="s">
        <v>153</v>
      </c>
      <c r="Z24" s="91" t="s">
        <v>154</v>
      </c>
    </row>
    <row r="25" spans="2:26" ht="43.5" customHeight="1">
      <c r="B25" s="92">
        <v>2.0099999999999998</v>
      </c>
      <c r="C25" s="296" t="s">
        <v>155</v>
      </c>
      <c r="D25" s="259"/>
      <c r="E25" s="259"/>
      <c r="F25" s="259"/>
      <c r="G25" s="259"/>
      <c r="H25" s="259"/>
      <c r="I25" s="259"/>
      <c r="J25" s="94" t="s">
        <v>156</v>
      </c>
      <c r="K25" s="94">
        <v>7088</v>
      </c>
      <c r="L25" s="94">
        <v>462</v>
      </c>
      <c r="M25" s="141">
        <f t="shared" ref="M25:M26" si="0">K25*L25</f>
        <v>3274656</v>
      </c>
      <c r="O25" s="142">
        <v>2.0099999999999998</v>
      </c>
      <c r="P25" s="297" t="s">
        <v>155</v>
      </c>
      <c r="Q25" s="294"/>
      <c r="R25" s="294"/>
      <c r="S25" s="294"/>
      <c r="T25" s="294"/>
      <c r="U25" s="294"/>
      <c r="V25" s="294"/>
      <c r="W25" s="144" t="s">
        <v>156</v>
      </c>
      <c r="X25" s="144">
        <v>7088</v>
      </c>
      <c r="Y25" s="144">
        <v>462</v>
      </c>
      <c r="Z25" s="145">
        <f t="shared" ref="Z25:Z26" si="1">X25*Y25</f>
        <v>3274656</v>
      </c>
    </row>
    <row r="26" spans="2:26" ht="43.5" customHeight="1">
      <c r="B26" s="94">
        <v>2.0699999999999998</v>
      </c>
      <c r="C26" s="296" t="s">
        <v>161</v>
      </c>
      <c r="D26" s="259"/>
      <c r="E26" s="259"/>
      <c r="F26" s="259"/>
      <c r="G26" s="259"/>
      <c r="H26" s="259"/>
      <c r="I26" s="259"/>
      <c r="J26" s="96" t="s">
        <v>162</v>
      </c>
      <c r="K26" s="94">
        <f>C9*1000*C10</f>
        <v>2976750</v>
      </c>
      <c r="L26" s="94">
        <v>4</v>
      </c>
      <c r="M26" s="94">
        <f t="shared" si="0"/>
        <v>11907000</v>
      </c>
      <c r="O26" s="94">
        <v>2.0699999999999998</v>
      </c>
      <c r="P26" s="296" t="s">
        <v>161</v>
      </c>
      <c r="Q26" s="259"/>
      <c r="R26" s="259"/>
      <c r="S26" s="259"/>
      <c r="T26" s="259"/>
      <c r="U26" s="259"/>
      <c r="V26" s="259"/>
      <c r="W26" s="96" t="s">
        <v>162</v>
      </c>
      <c r="X26" s="94">
        <f>P9*1000*P10</f>
        <v>2976750</v>
      </c>
      <c r="Y26" s="94">
        <v>4</v>
      </c>
      <c r="Z26" s="94">
        <f t="shared" si="1"/>
        <v>11907000</v>
      </c>
    </row>
    <row r="27" spans="2:26" ht="14.25" customHeight="1">
      <c r="B27" s="303" t="s">
        <v>37</v>
      </c>
      <c r="C27" s="288"/>
      <c r="D27" s="288"/>
      <c r="E27" s="288"/>
      <c r="F27" s="288"/>
      <c r="G27" s="288"/>
      <c r="H27" s="288"/>
      <c r="I27" s="288"/>
      <c r="J27" s="288"/>
      <c r="K27" s="288"/>
      <c r="L27" s="288"/>
      <c r="M27" s="288"/>
      <c r="O27" s="303" t="s">
        <v>37</v>
      </c>
      <c r="P27" s="259"/>
      <c r="Q27" s="259"/>
      <c r="R27" s="259"/>
      <c r="S27" s="259"/>
      <c r="T27" s="259"/>
      <c r="U27" s="259"/>
      <c r="V27" s="259"/>
      <c r="W27" s="259"/>
      <c r="X27" s="259"/>
      <c r="Y27" s="259"/>
      <c r="Z27" s="288"/>
    </row>
    <row r="28" spans="2:26" ht="14.25" customHeight="1">
      <c r="B28" s="57" t="s">
        <v>149</v>
      </c>
      <c r="C28" s="299" t="s">
        <v>150</v>
      </c>
      <c r="D28" s="300"/>
      <c r="E28" s="300"/>
      <c r="F28" s="300"/>
      <c r="G28" s="300"/>
      <c r="H28" s="300"/>
      <c r="I28" s="300"/>
      <c r="J28" s="83" t="s">
        <v>151</v>
      </c>
      <c r="K28" s="83" t="s">
        <v>152</v>
      </c>
      <c r="L28" s="83" t="s">
        <v>153</v>
      </c>
      <c r="M28" s="83" t="s">
        <v>154</v>
      </c>
      <c r="O28" s="57" t="s">
        <v>149</v>
      </c>
      <c r="P28" s="299" t="s">
        <v>150</v>
      </c>
      <c r="Q28" s="300"/>
      <c r="R28" s="300"/>
      <c r="S28" s="300"/>
      <c r="T28" s="300"/>
      <c r="U28" s="300"/>
      <c r="V28" s="300"/>
      <c r="W28" s="83" t="s">
        <v>151</v>
      </c>
      <c r="X28" s="83" t="s">
        <v>152</v>
      </c>
      <c r="Y28" s="83" t="s">
        <v>153</v>
      </c>
      <c r="Z28" s="91" t="s">
        <v>154</v>
      </c>
    </row>
    <row r="29" spans="2:26" ht="14.25" customHeight="1">
      <c r="B29" s="146">
        <v>2.1</v>
      </c>
      <c r="C29" s="296" t="s">
        <v>157</v>
      </c>
      <c r="D29" s="259"/>
      <c r="E29" s="259"/>
      <c r="F29" s="259"/>
      <c r="G29" s="259"/>
      <c r="H29" s="259"/>
      <c r="I29" s="259"/>
      <c r="J29" s="147" t="s">
        <v>158</v>
      </c>
      <c r="K29" s="94">
        <f>C9*1000*C10*(SUM(C16:C18)/1000)</f>
        <v>1696747.4999999998</v>
      </c>
      <c r="L29" s="94">
        <v>272</v>
      </c>
      <c r="M29" s="94">
        <f>K29*L29</f>
        <v>461515319.99999994</v>
      </c>
      <c r="O29" s="92">
        <v>2.11</v>
      </c>
      <c r="P29" s="308" t="s">
        <v>159</v>
      </c>
      <c r="Q29" s="259"/>
      <c r="R29" s="259"/>
      <c r="S29" s="259"/>
      <c r="T29" s="259"/>
      <c r="U29" s="259"/>
      <c r="V29" s="259"/>
      <c r="W29" s="101" t="s">
        <v>158</v>
      </c>
      <c r="X29" s="148">
        <f>P21*P20*P9/1000000</f>
        <v>4398.3907567031247</v>
      </c>
      <c r="Y29" s="95">
        <v>85</v>
      </c>
      <c r="Z29" s="149">
        <f t="shared" ref="Z29:Z30" si="2">X29*Y29</f>
        <v>373863.21431976563</v>
      </c>
    </row>
    <row r="30" spans="2:26" ht="14.25" customHeight="1">
      <c r="B30" s="92"/>
      <c r="C30" s="259"/>
      <c r="D30" s="259"/>
      <c r="E30" s="259"/>
      <c r="F30" s="259"/>
      <c r="G30" s="259"/>
      <c r="H30" s="259"/>
      <c r="I30" s="259"/>
      <c r="J30" s="95"/>
      <c r="K30" s="95"/>
      <c r="L30" s="95"/>
      <c r="M30" s="141"/>
      <c r="O30" s="142">
        <v>2.27</v>
      </c>
      <c r="P30" s="297" t="s">
        <v>163</v>
      </c>
      <c r="Q30" s="294"/>
      <c r="R30" s="294"/>
      <c r="S30" s="294"/>
      <c r="T30" s="294"/>
      <c r="U30" s="294"/>
      <c r="V30" s="294"/>
      <c r="W30" s="150" t="s">
        <v>158</v>
      </c>
      <c r="X30" s="151">
        <f>P9*P10*P20/5</f>
        <v>809750.41874999995</v>
      </c>
      <c r="Y30" s="152">
        <v>172</v>
      </c>
      <c r="Z30" s="153">
        <f t="shared" si="2"/>
        <v>139277072.02500001</v>
      </c>
    </row>
    <row r="31" spans="2:26" ht="14.25" customHeight="1">
      <c r="O31" s="142"/>
      <c r="P31" s="143"/>
      <c r="Q31" s="143"/>
      <c r="R31" s="143"/>
      <c r="S31" s="143"/>
      <c r="T31" s="143"/>
      <c r="U31" s="143"/>
      <c r="V31" s="143"/>
      <c r="W31" s="154"/>
      <c r="X31" s="154"/>
      <c r="Y31" s="154"/>
      <c r="Z31" s="155"/>
    </row>
    <row r="32" spans="2:26" ht="14.25" customHeight="1">
      <c r="O32" s="156"/>
      <c r="P32" s="298"/>
      <c r="Q32" s="279"/>
      <c r="R32" s="279"/>
      <c r="S32" s="279"/>
      <c r="T32" s="279"/>
      <c r="U32" s="279"/>
      <c r="V32" s="279"/>
      <c r="W32" s="157"/>
      <c r="X32" s="157"/>
      <c r="Y32" s="157"/>
      <c r="Z32" s="158"/>
    </row>
    <row r="33" spans="2:26" ht="14.25" customHeight="1">
      <c r="B33" s="303" t="s">
        <v>39</v>
      </c>
      <c r="C33" s="288"/>
      <c r="D33" s="288"/>
      <c r="E33" s="288"/>
      <c r="F33" s="288"/>
      <c r="G33" s="288"/>
      <c r="H33" s="288"/>
      <c r="I33" s="288"/>
      <c r="J33" s="288"/>
      <c r="K33" s="288"/>
      <c r="L33" s="288"/>
      <c r="M33" s="288"/>
      <c r="O33" s="303" t="s">
        <v>39</v>
      </c>
      <c r="P33" s="259"/>
      <c r="Q33" s="259"/>
      <c r="R33" s="259"/>
      <c r="S33" s="259"/>
      <c r="T33" s="259"/>
      <c r="U33" s="259"/>
      <c r="V33" s="259"/>
      <c r="W33" s="259"/>
      <c r="X33" s="259"/>
      <c r="Y33" s="259"/>
      <c r="Z33" s="288"/>
    </row>
    <row r="34" spans="2:26" ht="14.25" customHeight="1">
      <c r="B34" s="57" t="s">
        <v>149</v>
      </c>
      <c r="C34" s="299" t="s">
        <v>150</v>
      </c>
      <c r="D34" s="300"/>
      <c r="E34" s="300"/>
      <c r="F34" s="300"/>
      <c r="G34" s="300"/>
      <c r="H34" s="300"/>
      <c r="I34" s="300"/>
      <c r="J34" s="83" t="s">
        <v>151</v>
      </c>
      <c r="K34" s="83" t="s">
        <v>152</v>
      </c>
      <c r="L34" s="83" t="s">
        <v>153</v>
      </c>
      <c r="M34" s="83" t="s">
        <v>154</v>
      </c>
      <c r="O34" s="57" t="s">
        <v>149</v>
      </c>
      <c r="P34" s="299" t="s">
        <v>150</v>
      </c>
      <c r="Q34" s="300"/>
      <c r="R34" s="300"/>
      <c r="S34" s="300"/>
      <c r="T34" s="300"/>
      <c r="U34" s="300"/>
      <c r="V34" s="300"/>
      <c r="W34" s="83" t="s">
        <v>151</v>
      </c>
      <c r="X34" s="83" t="s">
        <v>152</v>
      </c>
      <c r="Y34" s="83" t="s">
        <v>153</v>
      </c>
      <c r="Z34" s="91" t="s">
        <v>154</v>
      </c>
    </row>
    <row r="35" spans="2:26" ht="14.25" customHeight="1">
      <c r="B35" s="92">
        <v>3.23</v>
      </c>
      <c r="C35" s="308" t="s">
        <v>164</v>
      </c>
      <c r="D35" s="259"/>
      <c r="E35" s="259"/>
      <c r="F35" s="259"/>
      <c r="G35" s="259"/>
      <c r="H35" s="259"/>
      <c r="I35" s="259"/>
      <c r="J35" s="96" t="s">
        <v>158</v>
      </c>
      <c r="K35" s="94">
        <f>C9*1000*C10*(C17/1000)</f>
        <v>744187.5</v>
      </c>
      <c r="L35" s="94">
        <v>1748</v>
      </c>
      <c r="M35" s="94">
        <f t="shared" ref="M35:M43" si="3">K35*L35</f>
        <v>1300839750</v>
      </c>
      <c r="O35" s="92">
        <v>5.1100000000000003</v>
      </c>
      <c r="P35" s="296" t="s">
        <v>160</v>
      </c>
      <c r="Q35" s="259"/>
      <c r="R35" s="259"/>
      <c r="S35" s="259"/>
      <c r="T35" s="259"/>
      <c r="U35" s="259"/>
      <c r="V35" s="259"/>
      <c r="W35" s="96" t="s">
        <v>165</v>
      </c>
      <c r="X35" s="96">
        <f>P14*P10*P9</f>
        <v>922792.5</v>
      </c>
      <c r="Y35" s="96">
        <v>5981</v>
      </c>
      <c r="Z35" s="159">
        <f t="shared" ref="Z35:Z42" si="4">X35*Y35</f>
        <v>5519221942.5</v>
      </c>
    </row>
    <row r="36" spans="2:26" ht="14.25" customHeight="1">
      <c r="B36" s="92" t="s">
        <v>166</v>
      </c>
      <c r="C36" s="296" t="s">
        <v>167</v>
      </c>
      <c r="D36" s="259"/>
      <c r="E36" s="259"/>
      <c r="F36" s="259"/>
      <c r="G36" s="259"/>
      <c r="H36" s="259"/>
      <c r="I36" s="259"/>
      <c r="J36" s="101" t="s">
        <v>158</v>
      </c>
      <c r="K36" s="95">
        <f>C9*1000*C10*(C18/1000)</f>
        <v>595350</v>
      </c>
      <c r="L36" s="95">
        <v>321</v>
      </c>
      <c r="M36" s="141">
        <f t="shared" si="3"/>
        <v>191107350</v>
      </c>
      <c r="O36" s="92">
        <v>5.13</v>
      </c>
      <c r="P36" s="296" t="s">
        <v>168</v>
      </c>
      <c r="Q36" s="259"/>
      <c r="R36" s="259"/>
      <c r="S36" s="259"/>
      <c r="T36" s="259"/>
      <c r="U36" s="259"/>
      <c r="V36" s="259"/>
      <c r="W36" s="96" t="s">
        <v>165</v>
      </c>
      <c r="X36" s="101">
        <f>P16*P10*P9</f>
        <v>446512.5</v>
      </c>
      <c r="Y36" s="101">
        <v>3240</v>
      </c>
      <c r="Z36" s="159">
        <f t="shared" si="4"/>
        <v>1446700500</v>
      </c>
    </row>
    <row r="37" spans="2:26" ht="14.25" customHeight="1">
      <c r="B37" s="92">
        <v>2.31</v>
      </c>
      <c r="C37" s="296" t="s">
        <v>169</v>
      </c>
      <c r="D37" s="259"/>
      <c r="E37" s="259"/>
      <c r="F37" s="259"/>
      <c r="G37" s="259"/>
      <c r="H37" s="259"/>
      <c r="I37" s="259"/>
      <c r="J37" s="101" t="s">
        <v>162</v>
      </c>
      <c r="K37" s="95">
        <f>$C$9*1000*$C$10</f>
        <v>2976750</v>
      </c>
      <c r="L37" s="95">
        <v>16</v>
      </c>
      <c r="M37" s="141">
        <f t="shared" si="3"/>
        <v>47628000</v>
      </c>
      <c r="O37" s="92">
        <v>5.19</v>
      </c>
      <c r="P37" s="296" t="s">
        <v>170</v>
      </c>
      <c r="Q37" s="259"/>
      <c r="R37" s="259"/>
      <c r="S37" s="259"/>
      <c r="T37" s="259"/>
      <c r="U37" s="259"/>
      <c r="V37" s="259"/>
      <c r="W37" s="101" t="s">
        <v>171</v>
      </c>
      <c r="X37" s="101">
        <f>P10*P9*1000</f>
        <v>2976750</v>
      </c>
      <c r="Y37" s="101">
        <v>21</v>
      </c>
      <c r="Z37" s="159">
        <f t="shared" si="4"/>
        <v>62511750</v>
      </c>
    </row>
    <row r="38" spans="2:26" ht="14.25" customHeight="1">
      <c r="B38" s="92">
        <v>3.01</v>
      </c>
      <c r="C38" s="296" t="s">
        <v>172</v>
      </c>
      <c r="D38" s="259"/>
      <c r="E38" s="259"/>
      <c r="F38" s="259"/>
      <c r="G38" s="259"/>
      <c r="H38" s="259"/>
      <c r="I38" s="259"/>
      <c r="J38" s="101" t="s">
        <v>158</v>
      </c>
      <c r="K38" s="95">
        <f>C9*1000*C10*(C18/1000)</f>
        <v>595350</v>
      </c>
      <c r="L38" s="95">
        <v>1738</v>
      </c>
      <c r="M38" s="141">
        <f t="shared" si="3"/>
        <v>1034718300</v>
      </c>
      <c r="O38" s="92">
        <v>5.14</v>
      </c>
      <c r="P38" s="296" t="s">
        <v>173</v>
      </c>
      <c r="Q38" s="259"/>
      <c r="R38" s="259"/>
      <c r="S38" s="259"/>
      <c r="T38" s="259"/>
      <c r="U38" s="259"/>
      <c r="V38" s="259"/>
      <c r="W38" s="101" t="s">
        <v>156</v>
      </c>
      <c r="X38" s="101">
        <v>283.5</v>
      </c>
      <c r="Y38" s="101">
        <v>411</v>
      </c>
      <c r="Z38" s="159">
        <f t="shared" si="4"/>
        <v>116518.5</v>
      </c>
    </row>
    <row r="39" spans="2:26" ht="14.25" customHeight="1">
      <c r="B39" s="92">
        <v>3.29</v>
      </c>
      <c r="C39" s="296" t="s">
        <v>174</v>
      </c>
      <c r="D39" s="259"/>
      <c r="E39" s="259"/>
      <c r="F39" s="259"/>
      <c r="G39" s="259"/>
      <c r="H39" s="259"/>
      <c r="I39" s="259"/>
      <c r="J39" s="101" t="s">
        <v>162</v>
      </c>
      <c r="K39" s="95">
        <f>$C$9*1000*$C$10</f>
        <v>2976750</v>
      </c>
      <c r="L39" s="95">
        <v>21</v>
      </c>
      <c r="M39" s="141">
        <f t="shared" si="3"/>
        <v>62511750</v>
      </c>
      <c r="O39" s="92">
        <v>5.17</v>
      </c>
      <c r="P39" s="296" t="s">
        <v>175</v>
      </c>
      <c r="Q39" s="259"/>
      <c r="R39" s="259"/>
      <c r="S39" s="259"/>
      <c r="T39" s="259"/>
      <c r="U39" s="259"/>
      <c r="V39" s="259"/>
      <c r="W39" s="101" t="s">
        <v>176</v>
      </c>
      <c r="X39" s="101">
        <f>P9*1000</f>
        <v>94500</v>
      </c>
      <c r="Y39" s="101">
        <v>71</v>
      </c>
      <c r="Z39" s="159">
        <f t="shared" si="4"/>
        <v>6709500</v>
      </c>
    </row>
    <row r="40" spans="2:26" ht="14.25" customHeight="1">
      <c r="B40" s="92"/>
      <c r="C40" s="296" t="s">
        <v>177</v>
      </c>
      <c r="D40" s="259"/>
      <c r="E40" s="259"/>
      <c r="F40" s="259"/>
      <c r="G40" s="259"/>
      <c r="H40" s="259"/>
      <c r="I40" s="259"/>
      <c r="J40" s="101" t="s">
        <v>158</v>
      </c>
      <c r="K40" s="95">
        <f>C9*1000*C10*(SUM(C17:C18)/1000)</f>
        <v>1339537.5</v>
      </c>
      <c r="L40" s="95">
        <v>59</v>
      </c>
      <c r="M40" s="141">
        <f t="shared" si="3"/>
        <v>79032712.5</v>
      </c>
      <c r="O40" s="92">
        <v>5.16</v>
      </c>
      <c r="P40" s="296" t="s">
        <v>178</v>
      </c>
      <c r="Q40" s="259"/>
      <c r="R40" s="259"/>
      <c r="S40" s="259"/>
      <c r="T40" s="259"/>
      <c r="U40" s="259"/>
      <c r="V40" s="259"/>
      <c r="W40" s="101" t="s">
        <v>156</v>
      </c>
      <c r="X40" s="101">
        <f>3*P9</f>
        <v>283.5</v>
      </c>
      <c r="Y40" s="101">
        <v>233</v>
      </c>
      <c r="Z40" s="159">
        <f t="shared" si="4"/>
        <v>66055.5</v>
      </c>
    </row>
    <row r="41" spans="2:26" ht="14.25" customHeight="1">
      <c r="B41" s="146">
        <v>3.3</v>
      </c>
      <c r="C41" s="296" t="s">
        <v>179</v>
      </c>
      <c r="D41" s="259"/>
      <c r="E41" s="259"/>
      <c r="F41" s="259"/>
      <c r="G41" s="259"/>
      <c r="H41" s="259"/>
      <c r="I41" s="259"/>
      <c r="J41" s="101" t="s">
        <v>162</v>
      </c>
      <c r="K41" s="95">
        <f>$C$9*1000*$C$10</f>
        <v>2976750</v>
      </c>
      <c r="L41" s="95">
        <v>11</v>
      </c>
      <c r="M41" s="141">
        <f t="shared" si="3"/>
        <v>32744250</v>
      </c>
      <c r="O41" s="92">
        <v>2.35</v>
      </c>
      <c r="P41" s="296" t="s">
        <v>180</v>
      </c>
      <c r="Q41" s="259"/>
      <c r="R41" s="259"/>
      <c r="S41" s="259"/>
      <c r="T41" s="259"/>
      <c r="U41" s="259"/>
      <c r="V41" s="259"/>
      <c r="W41" s="101" t="s">
        <v>165</v>
      </c>
      <c r="X41" s="101">
        <f>P19*P10*P9</f>
        <v>1488375</v>
      </c>
      <c r="Y41" s="101">
        <v>532</v>
      </c>
      <c r="Z41" s="159">
        <f t="shared" si="4"/>
        <v>791815500</v>
      </c>
    </row>
    <row r="42" spans="2:26" ht="14.25" customHeight="1">
      <c r="B42" s="160">
        <v>3.44</v>
      </c>
      <c r="C42" s="309" t="s">
        <v>181</v>
      </c>
      <c r="D42" s="294"/>
      <c r="E42" s="294"/>
      <c r="F42" s="294"/>
      <c r="G42" s="294"/>
      <c r="H42" s="294"/>
      <c r="I42" s="294"/>
      <c r="J42" s="161" t="s">
        <v>158</v>
      </c>
      <c r="K42" s="144">
        <f>C9*1000*C10*(SUM(C15:C16)/1000)</f>
        <v>476280</v>
      </c>
      <c r="L42" s="144">
        <v>6268</v>
      </c>
      <c r="M42" s="145">
        <f t="shared" si="3"/>
        <v>2985323040</v>
      </c>
      <c r="O42" s="142">
        <v>3.04</v>
      </c>
      <c r="P42" s="309" t="s">
        <v>182</v>
      </c>
      <c r="Q42" s="294"/>
      <c r="R42" s="294"/>
      <c r="S42" s="294"/>
      <c r="T42" s="294"/>
      <c r="U42" s="294"/>
      <c r="V42" s="294"/>
      <c r="W42" s="150" t="s">
        <v>165</v>
      </c>
      <c r="X42" s="161">
        <f>(P18+P17)*P9*P10</f>
        <v>1190700</v>
      </c>
      <c r="Y42" s="161">
        <v>1542</v>
      </c>
      <c r="Z42" s="162">
        <f t="shared" si="4"/>
        <v>1836059400</v>
      </c>
    </row>
    <row r="43" spans="2:26" ht="14.25" customHeight="1">
      <c r="B43" s="99">
        <v>4.01</v>
      </c>
      <c r="C43" s="310" t="s">
        <v>183</v>
      </c>
      <c r="D43" s="259"/>
      <c r="E43" s="259"/>
      <c r="F43" s="259"/>
      <c r="G43" s="259"/>
      <c r="H43" s="259"/>
      <c r="I43" s="259"/>
      <c r="J43" s="96" t="s">
        <v>162</v>
      </c>
      <c r="K43" s="95">
        <f>$C$9*1000*$C$10</f>
        <v>2976750</v>
      </c>
      <c r="L43" s="94">
        <v>45</v>
      </c>
      <c r="M43" s="94">
        <f t="shared" si="3"/>
        <v>133953750</v>
      </c>
      <c r="O43" s="94"/>
      <c r="P43" s="100"/>
      <c r="Q43" s="100"/>
      <c r="R43" s="100"/>
      <c r="S43" s="100"/>
      <c r="T43" s="100"/>
      <c r="U43" s="100"/>
      <c r="V43" s="100"/>
      <c r="W43" s="101"/>
      <c r="X43" s="96"/>
      <c r="Y43" s="96"/>
      <c r="Z43" s="96"/>
    </row>
    <row r="44" spans="2:26" ht="14.25" customHeight="1">
      <c r="B44" s="303" t="s">
        <v>38</v>
      </c>
      <c r="C44" s="288"/>
      <c r="D44" s="288"/>
      <c r="E44" s="288"/>
      <c r="F44" s="288"/>
      <c r="G44" s="288"/>
      <c r="H44" s="288"/>
      <c r="I44" s="288"/>
      <c r="J44" s="288"/>
      <c r="K44" s="288"/>
      <c r="L44" s="288"/>
      <c r="M44" s="288"/>
      <c r="O44" s="303" t="s">
        <v>38</v>
      </c>
      <c r="P44" s="259"/>
      <c r="Q44" s="259"/>
      <c r="R44" s="259"/>
      <c r="S44" s="259"/>
      <c r="T44" s="259"/>
      <c r="U44" s="259"/>
      <c r="V44" s="259"/>
      <c r="W44" s="259"/>
      <c r="X44" s="259"/>
      <c r="Y44" s="259"/>
      <c r="Z44" s="288"/>
    </row>
    <row r="45" spans="2:26" ht="14.25" customHeight="1">
      <c r="B45" s="57" t="s">
        <v>149</v>
      </c>
      <c r="C45" s="299" t="s">
        <v>150</v>
      </c>
      <c r="D45" s="300"/>
      <c r="E45" s="300"/>
      <c r="F45" s="300"/>
      <c r="G45" s="300"/>
      <c r="H45" s="300"/>
      <c r="I45" s="300"/>
      <c r="J45" s="83" t="s">
        <v>151</v>
      </c>
      <c r="K45" s="83" t="s">
        <v>152</v>
      </c>
      <c r="L45" s="83" t="s">
        <v>153</v>
      </c>
      <c r="M45" s="83" t="s">
        <v>154</v>
      </c>
      <c r="O45" s="57" t="s">
        <v>149</v>
      </c>
      <c r="P45" s="299" t="s">
        <v>150</v>
      </c>
      <c r="Q45" s="300"/>
      <c r="R45" s="300"/>
      <c r="S45" s="300"/>
      <c r="T45" s="300"/>
      <c r="U45" s="300"/>
      <c r="V45" s="300"/>
      <c r="W45" s="83" t="s">
        <v>151</v>
      </c>
      <c r="X45" s="83" t="s">
        <v>152</v>
      </c>
      <c r="Y45" s="83" t="s">
        <v>153</v>
      </c>
      <c r="Z45" s="91" t="s">
        <v>154</v>
      </c>
    </row>
    <row r="46" spans="2:26" ht="14.25" customHeight="1">
      <c r="B46" s="94"/>
      <c r="C46" s="296" t="s">
        <v>217</v>
      </c>
      <c r="D46" s="259"/>
      <c r="E46" s="259"/>
      <c r="F46" s="259"/>
      <c r="G46" s="259"/>
      <c r="H46" s="259"/>
      <c r="I46" s="259"/>
      <c r="J46" s="96" t="s">
        <v>185</v>
      </c>
      <c r="K46" s="95">
        <f t="shared" ref="K46:K47" si="5">94.5*6</f>
        <v>567</v>
      </c>
      <c r="L46" s="94">
        <f>150000</f>
        <v>150000</v>
      </c>
      <c r="M46" s="94">
        <f t="shared" ref="M46:M47" si="6">K46*L46</f>
        <v>85050000</v>
      </c>
      <c r="O46" s="92"/>
      <c r="P46" s="296" t="s">
        <v>184</v>
      </c>
      <c r="Q46" s="259"/>
      <c r="R46" s="259"/>
      <c r="S46" s="259"/>
      <c r="T46" s="259"/>
      <c r="U46" s="259"/>
      <c r="V46" s="259"/>
      <c r="W46" s="48" t="s">
        <v>185</v>
      </c>
      <c r="X46" s="48">
        <f>P9*6</f>
        <v>567</v>
      </c>
      <c r="Y46" s="48">
        <v>100000</v>
      </c>
      <c r="Z46" s="49">
        <f t="shared" ref="Z46:Z47" si="7">X46*Y46</f>
        <v>56700000</v>
      </c>
    </row>
    <row r="47" spans="2:26" ht="14.25" customHeight="1">
      <c r="B47" s="94"/>
      <c r="C47" s="296" t="s">
        <v>218</v>
      </c>
      <c r="D47" s="259"/>
      <c r="E47" s="259"/>
      <c r="F47" s="259"/>
      <c r="G47" s="259"/>
      <c r="H47" s="259"/>
      <c r="I47" s="259"/>
      <c r="J47" s="48" t="s">
        <v>185</v>
      </c>
      <c r="K47" s="48">
        <f t="shared" si="5"/>
        <v>567</v>
      </c>
      <c r="L47" s="48">
        <f>400000</f>
        <v>400000</v>
      </c>
      <c r="M47" s="48">
        <f t="shared" si="6"/>
        <v>226800000</v>
      </c>
      <c r="O47" s="142"/>
      <c r="P47" s="297" t="s">
        <v>219</v>
      </c>
      <c r="Q47" s="294"/>
      <c r="R47" s="294"/>
      <c r="S47" s="294"/>
      <c r="T47" s="294"/>
      <c r="U47" s="294"/>
      <c r="V47" s="294"/>
      <c r="W47" s="154" t="s">
        <v>185</v>
      </c>
      <c r="X47" s="154">
        <f>P9*6</f>
        <v>567</v>
      </c>
      <c r="Y47" s="154">
        <v>200000</v>
      </c>
      <c r="Z47" s="155">
        <f t="shared" si="7"/>
        <v>113400000</v>
      </c>
    </row>
    <row r="48" spans="2:26" ht="14.25" customHeight="1">
      <c r="B48" s="94"/>
      <c r="C48" s="93"/>
      <c r="D48" s="93"/>
      <c r="E48" s="93"/>
      <c r="F48" s="93"/>
      <c r="G48" s="93"/>
      <c r="H48" s="93"/>
      <c r="I48" s="93"/>
      <c r="J48" s="48"/>
      <c r="K48" s="48"/>
      <c r="L48" s="48"/>
      <c r="M48" s="48"/>
      <c r="O48" s="94"/>
      <c r="P48" s="93"/>
      <c r="Q48" s="93"/>
      <c r="R48" s="93"/>
      <c r="S48" s="93"/>
      <c r="T48" s="93"/>
      <c r="U48" s="93"/>
      <c r="V48" s="93"/>
      <c r="W48" s="48"/>
      <c r="X48" s="48"/>
      <c r="Y48" s="48"/>
      <c r="Z48" s="48"/>
    </row>
    <row r="49" spans="2:26" ht="14.25" customHeight="1">
      <c r="B49" s="303" t="s">
        <v>40</v>
      </c>
      <c r="C49" s="288"/>
      <c r="D49" s="288"/>
      <c r="E49" s="288"/>
      <c r="F49" s="288"/>
      <c r="G49" s="288"/>
      <c r="H49" s="288"/>
      <c r="I49" s="288"/>
      <c r="J49" s="288"/>
      <c r="K49" s="288"/>
      <c r="L49" s="288"/>
      <c r="M49" s="288"/>
      <c r="O49" s="303" t="s">
        <v>40</v>
      </c>
      <c r="P49" s="288"/>
      <c r="Q49" s="288"/>
      <c r="R49" s="288"/>
      <c r="S49" s="288"/>
      <c r="T49" s="288"/>
      <c r="U49" s="288"/>
      <c r="V49" s="288"/>
      <c r="W49" s="288"/>
      <c r="X49" s="288"/>
      <c r="Y49" s="288"/>
      <c r="Z49" s="288"/>
    </row>
    <row r="50" spans="2:26" ht="14.25" customHeight="1">
      <c r="B50" s="57" t="s">
        <v>41</v>
      </c>
      <c r="C50" s="163">
        <f>SUM(M25:M26,M29,M35:M43)</f>
        <v>6344555878.5</v>
      </c>
      <c r="D50" s="83"/>
      <c r="E50" s="83"/>
      <c r="F50" s="83"/>
      <c r="G50" s="83">
        <f t="shared" ref="G50:G51" si="8">C50/10000000</f>
        <v>634.45558785000003</v>
      </c>
      <c r="H50" s="83" t="s">
        <v>187</v>
      </c>
      <c r="I50" s="83"/>
      <c r="J50" s="83"/>
      <c r="K50" s="83"/>
      <c r="L50" s="83"/>
      <c r="M50" s="91"/>
      <c r="O50" s="57" t="s">
        <v>41</v>
      </c>
      <c r="P50" s="83">
        <f>SUM(Z35:Z42,Z25,Z29,Z30,Z26)</f>
        <v>9818033757.7393188</v>
      </c>
      <c r="Q50" s="83" t="s">
        <v>186</v>
      </c>
      <c r="R50" s="83"/>
      <c r="S50" s="97">
        <f t="shared" ref="S50:S51" si="9">P50/10000000</f>
        <v>981.80337577393186</v>
      </c>
      <c r="T50" s="83" t="s">
        <v>187</v>
      </c>
      <c r="U50" s="83"/>
      <c r="V50" s="83"/>
      <c r="W50" s="83"/>
      <c r="X50" s="83"/>
      <c r="Y50" s="83"/>
      <c r="Z50" s="91"/>
    </row>
    <row r="51" spans="2:26" ht="14.25" customHeight="1">
      <c r="B51" s="84" t="s">
        <v>42</v>
      </c>
      <c r="C51" s="59">
        <f>M46</f>
        <v>85050000</v>
      </c>
      <c r="G51" s="83">
        <f t="shared" si="8"/>
        <v>8.5050000000000008</v>
      </c>
      <c r="H51" s="59" t="s">
        <v>187</v>
      </c>
      <c r="M51" s="66"/>
      <c r="O51" s="84" t="s">
        <v>188</v>
      </c>
      <c r="P51" s="59">
        <f>Z46</f>
        <v>56700000</v>
      </c>
      <c r="Q51" s="59" t="s">
        <v>186</v>
      </c>
      <c r="S51" s="83">
        <f t="shared" si="9"/>
        <v>5.67</v>
      </c>
      <c r="T51" s="59" t="s">
        <v>189</v>
      </c>
      <c r="Z51" s="66"/>
    </row>
    <row r="52" spans="2:26" ht="14.25" customHeight="1">
      <c r="B52" s="84" t="s">
        <v>43</v>
      </c>
      <c r="C52" s="59">
        <v>20</v>
      </c>
      <c r="D52" s="59" t="s">
        <v>190</v>
      </c>
      <c r="M52" s="66"/>
      <c r="O52" s="84" t="s">
        <v>43</v>
      </c>
      <c r="P52" s="59">
        <v>30</v>
      </c>
      <c r="Q52" s="59" t="s">
        <v>190</v>
      </c>
      <c r="S52" s="83"/>
      <c r="Z52" s="66"/>
    </row>
    <row r="53" spans="2:26" ht="14.25" customHeight="1">
      <c r="B53" s="134" t="s">
        <v>209</v>
      </c>
      <c r="C53" s="59">
        <f>M47</f>
        <v>226800000</v>
      </c>
      <c r="G53" s="59">
        <f>C53/10000000</f>
        <v>22.68</v>
      </c>
      <c r="H53" s="59" t="s">
        <v>187</v>
      </c>
      <c r="M53" s="66"/>
      <c r="O53" s="134" t="s">
        <v>191</v>
      </c>
      <c r="P53" s="59">
        <f>Z47</f>
        <v>113400000</v>
      </c>
      <c r="Q53" s="59" t="s">
        <v>186</v>
      </c>
      <c r="S53" s="59">
        <f>P53/10000000</f>
        <v>11.34</v>
      </c>
      <c r="T53" s="59" t="s">
        <v>187</v>
      </c>
      <c r="Z53" s="66"/>
    </row>
    <row r="54" spans="2:26" ht="14.25" customHeight="1">
      <c r="B54" s="84"/>
      <c r="M54" s="66"/>
      <c r="O54" s="134"/>
      <c r="Z54" s="137"/>
    </row>
    <row r="55" spans="2:26" ht="14.25" customHeight="1">
      <c r="B55" s="84"/>
      <c r="M55" s="66"/>
      <c r="O55" s="134"/>
      <c r="Z55" s="137"/>
    </row>
    <row r="56" spans="2:26" ht="14.25" customHeight="1">
      <c r="B56" s="84"/>
      <c r="M56" s="66"/>
      <c r="O56" s="134"/>
      <c r="Z56" s="137"/>
    </row>
    <row r="57" spans="2:26" ht="14.25" customHeight="1">
      <c r="B57" s="84"/>
      <c r="M57" s="66"/>
      <c r="O57" s="84"/>
      <c r="Z57" s="66"/>
    </row>
    <row r="58" spans="2:26" ht="14.25" customHeight="1">
      <c r="B58" s="84"/>
      <c r="M58" s="66"/>
      <c r="O58" s="84"/>
      <c r="Z58" s="66"/>
    </row>
    <row r="59" spans="2:26" ht="14.25" customHeight="1">
      <c r="B59" s="84"/>
      <c r="M59" s="66"/>
      <c r="O59" s="84"/>
      <c r="Z59" s="66"/>
    </row>
    <row r="60" spans="2:26" ht="14.25" customHeight="1">
      <c r="B60" s="84"/>
      <c r="M60" s="66"/>
      <c r="O60" s="84"/>
      <c r="Z60" s="66"/>
    </row>
    <row r="61" spans="2:26" ht="14.25" customHeight="1">
      <c r="B61" s="84"/>
      <c r="M61" s="66"/>
      <c r="O61" s="134"/>
      <c r="Z61" s="66"/>
    </row>
    <row r="62" spans="2:26" ht="14.25" customHeight="1">
      <c r="B62" s="88"/>
      <c r="C62" s="89"/>
      <c r="D62" s="89"/>
      <c r="E62" s="89"/>
      <c r="F62" s="89"/>
      <c r="G62" s="89"/>
      <c r="H62" s="89"/>
      <c r="I62" s="89"/>
      <c r="J62" s="89"/>
      <c r="K62" s="89"/>
      <c r="L62" s="89"/>
      <c r="M62" s="90"/>
      <c r="O62" s="88"/>
      <c r="P62" s="139"/>
      <c r="Q62" s="139"/>
      <c r="R62" s="139"/>
      <c r="S62" s="139"/>
      <c r="T62" s="139"/>
      <c r="U62" s="139"/>
      <c r="V62" s="139"/>
      <c r="W62" s="139"/>
      <c r="X62" s="139"/>
      <c r="Y62" s="139"/>
      <c r="Z62" s="90"/>
    </row>
    <row r="63" spans="2:26" ht="14.25" customHeight="1">
      <c r="B63" s="136"/>
    </row>
    <row r="64" spans="2:26" ht="14.25" customHeight="1"/>
    <row r="65" spans="19:19" ht="14.25" customHeight="1"/>
    <row r="66" spans="19:19" ht="14.25" customHeight="1"/>
    <row r="67" spans="19:19" ht="14.25" customHeight="1"/>
    <row r="68" spans="19:19" ht="14.25" customHeight="1"/>
    <row r="69" spans="19:19" ht="14.25" customHeight="1"/>
    <row r="70" spans="19:19" ht="14.25" customHeight="1">
      <c r="S70" s="59"/>
    </row>
    <row r="71" spans="19:19" ht="14.25" customHeight="1"/>
    <row r="72" spans="19:19" ht="14.25" customHeight="1"/>
    <row r="73" spans="19:19" ht="14.25" customHeight="1"/>
    <row r="74" spans="19:19" ht="14.25" customHeight="1"/>
    <row r="75" spans="19:19" ht="14.25" customHeight="1"/>
    <row r="76" spans="19:19" ht="14.25" customHeight="1"/>
    <row r="77" spans="19:19" ht="14.25" customHeight="1"/>
    <row r="78" spans="19:19" ht="14.25" customHeight="1"/>
    <row r="79" spans="19:19" ht="14.25" customHeight="1"/>
    <row r="80" spans="19:19" ht="14.25" customHeight="1"/>
    <row r="81" ht="14.4"/>
    <row r="82" ht="14.4"/>
    <row r="83" ht="14.4"/>
    <row r="84" ht="14.4"/>
    <row r="85" ht="14.4"/>
    <row r="86" ht="14.4"/>
    <row r="87" ht="14.4"/>
    <row r="88" ht="14.4"/>
    <row r="89" ht="14.4"/>
    <row r="90" ht="14.4"/>
    <row r="91" ht="14.4"/>
    <row r="92" ht="14.4"/>
    <row r="93" ht="14.4"/>
    <row r="94" ht="14.4"/>
    <row r="95" ht="14.4"/>
    <row r="96" ht="14.4"/>
    <row r="97" ht="14.4"/>
    <row r="98" ht="14.4"/>
    <row r="99" ht="14.4"/>
    <row r="100" ht="14.4"/>
    <row r="101" ht="14.4"/>
    <row r="102" ht="14.4"/>
    <row r="103" ht="14.4"/>
    <row r="104" ht="14.4"/>
    <row r="105" ht="14.4"/>
    <row r="106" ht="14.4"/>
    <row r="107" ht="14.4"/>
    <row r="108" ht="14.4"/>
    <row r="109" ht="14.4"/>
    <row r="110" ht="14.4"/>
    <row r="111" ht="14.4"/>
    <row r="112" ht="14.4"/>
    <row r="113" ht="14.4"/>
    <row r="114" ht="14.4"/>
    <row r="115" ht="14.4"/>
    <row r="116" ht="14.4"/>
    <row r="117" ht="14.4"/>
    <row r="118" ht="14.4"/>
    <row r="119" ht="14.4"/>
    <row r="120" ht="14.4"/>
    <row r="121" ht="14.4"/>
    <row r="122" ht="14.4"/>
    <row r="123" ht="14.4"/>
    <row r="124" ht="14.4"/>
    <row r="125" ht="14.4"/>
    <row r="126" ht="14.4"/>
    <row r="127" ht="14.4"/>
    <row r="128" ht="14.4"/>
    <row r="129" ht="14.4"/>
    <row r="130" ht="14.4"/>
    <row r="131" ht="14.4"/>
    <row r="132" ht="14.4"/>
    <row r="133" ht="14.4"/>
    <row r="134" ht="14.4"/>
    <row r="135" ht="14.4"/>
    <row r="136" ht="14.4"/>
    <row r="137" ht="14.4"/>
    <row r="138" ht="14.4"/>
    <row r="139" ht="14.4"/>
    <row r="140" ht="14.4"/>
    <row r="141" ht="14.4"/>
    <row r="142" ht="14.4"/>
    <row r="143" ht="14.4"/>
    <row r="144" ht="14.4"/>
    <row r="145" ht="14.4"/>
    <row r="146" ht="14.4"/>
    <row r="147" ht="14.4"/>
    <row r="148" ht="14.4"/>
    <row r="149" ht="14.4"/>
    <row r="150" ht="14.4"/>
    <row r="151" ht="14.4"/>
    <row r="152" ht="14.4"/>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row r="181" ht="14.4"/>
    <row r="182" ht="14.4"/>
    <row r="183" ht="14.4"/>
    <row r="184" ht="14.4"/>
    <row r="185" ht="14.4"/>
    <row r="186" ht="14.4"/>
    <row r="187" ht="14.4"/>
    <row r="188" ht="14.4"/>
    <row r="189" ht="14.4"/>
    <row r="190" ht="14.4"/>
    <row r="191" ht="14.4"/>
    <row r="192" ht="14.4"/>
    <row r="193" ht="14.4"/>
    <row r="194" ht="14.4"/>
    <row r="195" ht="14.4"/>
    <row r="196" ht="14.4"/>
    <row r="197" ht="14.4"/>
    <row r="198" ht="14.4"/>
    <row r="199" ht="14.4"/>
    <row r="200" ht="14.4"/>
    <row r="201" ht="14.4"/>
    <row r="202" ht="14.4"/>
    <row r="203" ht="14.4"/>
    <row r="204" ht="14.4"/>
    <row r="205" ht="14.4"/>
    <row r="206" ht="14.4"/>
    <row r="207" ht="14.4"/>
    <row r="208" ht="14.4"/>
    <row r="209" ht="14.4"/>
    <row r="210" ht="14.4"/>
    <row r="211" ht="14.4"/>
    <row r="212" ht="14.4"/>
    <row r="213" ht="14.4"/>
    <row r="214" ht="14.4"/>
    <row r="215" ht="14.4"/>
    <row r="216" ht="14.4"/>
    <row r="217" ht="14.4"/>
    <row r="218" ht="14.4"/>
    <row r="219" ht="14.4"/>
    <row r="220" ht="14.4"/>
    <row r="221" ht="14.4"/>
    <row r="222" ht="14.4"/>
    <row r="223" ht="14.4"/>
    <row r="224" ht="14.4"/>
    <row r="225" ht="14.4"/>
    <row r="226" ht="14.4"/>
    <row r="227" ht="14.4"/>
    <row r="228" ht="14.4"/>
    <row r="229" ht="14.4"/>
    <row r="230" ht="14.4"/>
    <row r="231" ht="14.4"/>
    <row r="232" ht="14.4"/>
    <row r="233" ht="14.4"/>
    <row r="234" ht="14.4"/>
    <row r="235" ht="14.4"/>
    <row r="236" ht="14.4"/>
    <row r="237" ht="14.4"/>
    <row r="238" ht="14.4"/>
    <row r="239" ht="14.4"/>
    <row r="240" ht="14.4"/>
    <row r="241" ht="14.4"/>
    <row r="242" ht="14.4"/>
    <row r="243" ht="14.4"/>
    <row r="244" ht="14.4"/>
    <row r="245" ht="14.4"/>
    <row r="246" ht="14.4"/>
    <row r="247" ht="14.4"/>
    <row r="248" ht="14.4"/>
    <row r="249" ht="14.4"/>
    <row r="250" ht="14.4"/>
    <row r="251" ht="14.4"/>
    <row r="252" ht="14.4"/>
    <row r="253" ht="14.4"/>
    <row r="254" ht="14.4"/>
    <row r="255" ht="14.4"/>
    <row r="256" ht="14.4"/>
    <row r="257" ht="14.4"/>
    <row r="258" ht="14.4"/>
    <row r="259" ht="14.4"/>
    <row r="260" ht="14.4"/>
    <row r="261" ht="14.4"/>
    <row r="262" ht="14.4"/>
    <row r="263" ht="14.4"/>
    <row r="264" ht="14.4"/>
    <row r="265" ht="14.4"/>
    <row r="266" ht="14.4"/>
    <row r="267" ht="14.4"/>
    <row r="268" ht="14.4"/>
    <row r="269" ht="14.4"/>
    <row r="270" ht="14.4"/>
    <row r="271" ht="14.4"/>
    <row r="272" ht="14.4"/>
    <row r="273" ht="14.4"/>
    <row r="274" ht="14.4"/>
    <row r="275" ht="14.4"/>
    <row r="276" ht="14.4"/>
    <row r="277" ht="14.4"/>
    <row r="278" ht="14.4"/>
    <row r="279" ht="14.4"/>
    <row r="280" ht="14.4"/>
    <row r="281" ht="14.4"/>
    <row r="282" ht="14.4"/>
    <row r="283" ht="14.4"/>
    <row r="284" ht="14.4"/>
    <row r="285" ht="14.4"/>
    <row r="286" ht="14.4"/>
    <row r="287" ht="14.4"/>
    <row r="288" ht="14.4"/>
    <row r="289" ht="14.4"/>
    <row r="290" ht="14.4"/>
    <row r="291" ht="14.4"/>
    <row r="292" ht="14.4"/>
    <row r="293" ht="14.4"/>
    <row r="294" ht="14.4"/>
    <row r="295" ht="14.4"/>
    <row r="296" ht="14.4"/>
    <row r="297" ht="14.4"/>
    <row r="298" ht="14.4"/>
    <row r="299" ht="14.4"/>
    <row r="300" ht="14.4"/>
    <row r="301" ht="14.4"/>
    <row r="302" ht="14.4"/>
    <row r="303" ht="14.4"/>
    <row r="304" ht="14.4"/>
    <row r="305" ht="14.4"/>
    <row r="306" ht="14.4"/>
    <row r="307" ht="14.4"/>
    <row r="308" ht="14.4"/>
    <row r="309" ht="14.4"/>
    <row r="310" ht="14.4"/>
    <row r="311" ht="14.4"/>
    <row r="312" ht="14.4"/>
    <row r="313" ht="14.4"/>
    <row r="314" ht="14.4"/>
    <row r="315" ht="14.4"/>
    <row r="316" ht="14.4"/>
    <row r="317" ht="14.4"/>
    <row r="318" ht="14.4"/>
    <row r="319" ht="14.4"/>
    <row r="320" ht="14.4"/>
    <row r="321" ht="14.4"/>
    <row r="322" ht="14.4"/>
    <row r="323" ht="14.4"/>
    <row r="324" ht="14.4"/>
    <row r="325" ht="14.4"/>
    <row r="326" ht="14.4"/>
    <row r="327" ht="14.4"/>
    <row r="328" ht="14.4"/>
    <row r="329" ht="14.4"/>
    <row r="330" ht="14.4"/>
    <row r="331" ht="14.4"/>
    <row r="332" ht="14.4"/>
    <row r="333" ht="14.4"/>
    <row r="334" ht="14.4"/>
    <row r="335" ht="14.4"/>
    <row r="336" ht="14.4"/>
    <row r="337" ht="14.4"/>
    <row r="338" ht="14.4"/>
    <row r="339" ht="14.4"/>
    <row r="340" ht="14.4"/>
    <row r="341" ht="14.4"/>
    <row r="342" ht="14.4"/>
    <row r="343" ht="14.4"/>
    <row r="344" ht="14.4"/>
    <row r="345" ht="14.4"/>
    <row r="346" ht="14.4"/>
    <row r="347" ht="14.4"/>
    <row r="348" ht="14.4"/>
    <row r="349" ht="14.4"/>
    <row r="350" ht="14.4"/>
    <row r="351" ht="14.4"/>
    <row r="352" ht="14.4"/>
    <row r="353" ht="14.4"/>
    <row r="354" ht="14.4"/>
    <row r="355" ht="14.4"/>
    <row r="356" ht="14.4"/>
    <row r="357" ht="14.4"/>
    <row r="358" ht="14.4"/>
    <row r="359" ht="14.4"/>
    <row r="360" ht="14.4"/>
    <row r="361" ht="14.4"/>
    <row r="362" ht="14.4"/>
    <row r="363" ht="14.4"/>
    <row r="364" ht="14.4"/>
    <row r="365" ht="14.4"/>
    <row r="366" ht="14.4"/>
    <row r="367" ht="14.4"/>
    <row r="368" ht="14.4"/>
    <row r="369" ht="14.4"/>
    <row r="370" ht="14.4"/>
    <row r="371" ht="14.4"/>
    <row r="372" ht="14.4"/>
    <row r="373" ht="14.4"/>
    <row r="374" ht="14.4"/>
    <row r="375" ht="14.4"/>
    <row r="376" ht="14.4"/>
    <row r="377" ht="14.4"/>
    <row r="378" ht="14.4"/>
    <row r="379" ht="14.4"/>
    <row r="380" ht="14.4"/>
    <row r="381" ht="14.4"/>
    <row r="382" ht="14.4"/>
    <row r="383" ht="14.4"/>
    <row r="384" ht="14.4"/>
    <row r="385" ht="14.4"/>
    <row r="386" ht="14.4"/>
    <row r="387" ht="14.4"/>
    <row r="388" ht="14.4"/>
    <row r="389" ht="14.4"/>
    <row r="390" ht="14.4"/>
    <row r="391" ht="14.4"/>
    <row r="392" ht="14.4"/>
    <row r="393" ht="14.4"/>
    <row r="394" ht="14.4"/>
    <row r="395" ht="14.4"/>
    <row r="396" ht="14.4"/>
    <row r="397" ht="14.4"/>
    <row r="398" ht="14.4"/>
    <row r="399" ht="14.4"/>
    <row r="400" ht="14.4"/>
    <row r="401" ht="14.4"/>
    <row r="402" ht="14.4"/>
    <row r="403" ht="14.4"/>
    <row r="404" ht="14.4"/>
    <row r="405" ht="14.4"/>
    <row r="406" ht="14.4"/>
    <row r="407" ht="14.4"/>
    <row r="408" ht="14.4"/>
    <row r="409" ht="14.4"/>
    <row r="410" ht="14.4"/>
    <row r="411" ht="14.4"/>
    <row r="412" ht="14.4"/>
    <row r="413" ht="14.4"/>
    <row r="414" ht="14.4"/>
    <row r="415" ht="14.4"/>
    <row r="416" ht="14.4"/>
    <row r="417" ht="14.4"/>
    <row r="418" ht="14.4"/>
    <row r="419" ht="14.4"/>
    <row r="420" ht="14.4"/>
    <row r="421" ht="14.4"/>
    <row r="422" ht="14.4"/>
    <row r="423" ht="14.4"/>
    <row r="424" ht="14.4"/>
    <row r="425" ht="14.4"/>
    <row r="426" ht="14.4"/>
    <row r="427" ht="14.4"/>
    <row r="428" ht="14.4"/>
    <row r="429" ht="14.4"/>
    <row r="430" ht="14.4"/>
    <row r="431" ht="14.4"/>
    <row r="432" ht="14.4"/>
    <row r="433" ht="14.4"/>
    <row r="434" ht="14.4"/>
    <row r="435" ht="14.4"/>
    <row r="436" ht="14.4"/>
    <row r="437" ht="14.4"/>
    <row r="438" ht="14.4"/>
    <row r="439" ht="14.4"/>
    <row r="440" ht="14.4"/>
    <row r="441" ht="14.4"/>
    <row r="442" ht="14.4"/>
    <row r="443" ht="14.4"/>
    <row r="444" ht="14.4"/>
    <row r="445" ht="14.4"/>
    <row r="446" ht="14.4"/>
    <row r="447" ht="14.4"/>
    <row r="448" ht="14.4"/>
    <row r="449" ht="14.4"/>
    <row r="450" ht="14.4"/>
    <row r="451" ht="14.4"/>
    <row r="452" ht="14.4"/>
    <row r="453" ht="14.4"/>
    <row r="454" ht="14.4"/>
    <row r="455" ht="14.4"/>
    <row r="456" ht="14.4"/>
    <row r="457" ht="14.4"/>
    <row r="458" ht="14.4"/>
    <row r="459" ht="14.4"/>
    <row r="460" ht="14.4"/>
    <row r="461" ht="14.4"/>
    <row r="462" ht="14.4"/>
    <row r="463" ht="14.4"/>
    <row r="464" ht="14.4"/>
    <row r="465" ht="14.4"/>
    <row r="466" ht="14.4"/>
    <row r="467" ht="14.4"/>
    <row r="468" ht="14.4"/>
    <row r="469" ht="14.4"/>
    <row r="470" ht="14.4"/>
    <row r="471" ht="14.4"/>
    <row r="472" ht="14.4"/>
    <row r="473" ht="14.4"/>
    <row r="474" ht="14.4"/>
    <row r="475" ht="14.4"/>
    <row r="476" ht="14.4"/>
    <row r="477" ht="14.4"/>
    <row r="478" ht="14.4"/>
    <row r="479" ht="14.4"/>
    <row r="480" ht="14.4"/>
    <row r="481" ht="14.4"/>
    <row r="482" ht="14.4"/>
    <row r="483" ht="14.4"/>
    <row r="484" ht="14.4"/>
    <row r="485" ht="14.4"/>
    <row r="486" ht="14.4"/>
    <row r="487" ht="14.4"/>
    <row r="488" ht="14.4"/>
    <row r="489" ht="14.4"/>
    <row r="490" ht="14.4"/>
    <row r="491" ht="14.4"/>
    <row r="492" ht="14.4"/>
    <row r="493" ht="14.4"/>
    <row r="494" ht="14.4"/>
    <row r="495" ht="14.4"/>
    <row r="496" ht="14.4"/>
    <row r="497" ht="14.4"/>
    <row r="498" ht="14.4"/>
    <row r="499" ht="14.4"/>
    <row r="500" ht="14.4"/>
    <row r="501" ht="14.4"/>
    <row r="502" ht="14.4"/>
    <row r="503" ht="14.4"/>
    <row r="504" ht="14.4"/>
    <row r="505" ht="14.4"/>
    <row r="506" ht="14.4"/>
    <row r="507" ht="14.4"/>
    <row r="508" ht="14.4"/>
    <row r="509" ht="14.4"/>
    <row r="510" ht="14.4"/>
    <row r="511" ht="14.4"/>
    <row r="512" ht="14.4"/>
    <row r="513" ht="14.4"/>
    <row r="514" ht="14.4"/>
    <row r="515" ht="14.4"/>
    <row r="516" ht="14.4"/>
    <row r="517" ht="14.4"/>
    <row r="518" ht="14.4"/>
    <row r="519" ht="14.4"/>
    <row r="520" ht="14.4"/>
    <row r="521" ht="14.4"/>
    <row r="522" ht="14.4"/>
    <row r="523" ht="14.4"/>
    <row r="524" ht="14.4"/>
    <row r="525" ht="14.4"/>
    <row r="526" ht="14.4"/>
    <row r="527" ht="14.4"/>
    <row r="528" ht="14.4"/>
    <row r="529" ht="14.4"/>
    <row r="530" ht="14.4"/>
    <row r="531" ht="14.4"/>
    <row r="532" ht="14.4"/>
    <row r="533" ht="14.4"/>
    <row r="534" ht="14.4"/>
    <row r="535" ht="14.4"/>
    <row r="536" ht="14.4"/>
    <row r="537" ht="14.4"/>
    <row r="538" ht="14.4"/>
    <row r="539" ht="14.4"/>
    <row r="540" ht="14.4"/>
    <row r="541" ht="14.4"/>
    <row r="542" ht="14.4"/>
    <row r="543" ht="14.4"/>
    <row r="544" ht="14.4"/>
    <row r="545" ht="14.4"/>
    <row r="546" ht="14.4"/>
    <row r="547" ht="14.4"/>
    <row r="548" ht="14.4"/>
    <row r="549" ht="14.4"/>
    <row r="550" ht="14.4"/>
    <row r="551" ht="14.4"/>
    <row r="552" ht="14.4"/>
    <row r="553" ht="14.4"/>
    <row r="554" ht="14.4"/>
    <row r="555" ht="14.4"/>
    <row r="556" ht="14.4"/>
    <row r="557" ht="14.4"/>
    <row r="558" ht="14.4"/>
    <row r="559" ht="14.4"/>
    <row r="560" ht="14.4"/>
    <row r="561" ht="14.4"/>
    <row r="562" ht="14.4"/>
    <row r="563" ht="14.4"/>
    <row r="564" ht="14.4"/>
    <row r="565" ht="14.4"/>
    <row r="566" ht="14.4"/>
    <row r="567" ht="14.4"/>
    <row r="568" ht="14.4"/>
    <row r="569" ht="14.4"/>
    <row r="570" ht="14.4"/>
    <row r="571" ht="14.4"/>
    <row r="572" ht="14.4"/>
    <row r="573" ht="14.4"/>
    <row r="574" ht="14.4"/>
    <row r="575" ht="14.4"/>
    <row r="576" ht="14.4"/>
    <row r="577" ht="14.4"/>
    <row r="578" ht="14.4"/>
    <row r="579" ht="14.4"/>
    <row r="580" ht="14.4"/>
    <row r="581" ht="14.4"/>
    <row r="582" ht="14.4"/>
    <row r="583" ht="14.4"/>
    <row r="584" ht="14.4"/>
    <row r="585" ht="14.4"/>
    <row r="586" ht="14.4"/>
    <row r="587" ht="14.4"/>
    <row r="588" ht="14.4"/>
    <row r="589" ht="14.4"/>
    <row r="590" ht="14.4"/>
    <row r="591" ht="14.4"/>
    <row r="592" ht="14.4"/>
    <row r="593" ht="14.4"/>
    <row r="594" ht="14.4"/>
    <row r="595" ht="14.4"/>
    <row r="596" ht="14.4"/>
    <row r="597" ht="14.4"/>
    <row r="598" ht="14.4"/>
    <row r="599" ht="14.4"/>
    <row r="600" ht="14.4"/>
    <row r="601" ht="14.4"/>
    <row r="602" ht="14.4"/>
    <row r="603" ht="14.4"/>
    <row r="604" ht="14.4"/>
    <row r="605" ht="14.4"/>
    <row r="606" ht="14.4"/>
    <row r="607" ht="14.4"/>
    <row r="608" ht="14.4"/>
    <row r="609" ht="14.4"/>
    <row r="610" ht="14.4"/>
    <row r="611" ht="14.4"/>
    <row r="612" ht="14.4"/>
    <row r="613" ht="14.4"/>
    <row r="614" ht="14.4"/>
    <row r="615" ht="14.4"/>
    <row r="616" ht="14.4"/>
    <row r="617" ht="14.4"/>
    <row r="618" ht="14.4"/>
    <row r="619" ht="14.4"/>
    <row r="620" ht="14.4"/>
    <row r="621" ht="14.4"/>
    <row r="622" ht="14.4"/>
    <row r="623" ht="14.4"/>
    <row r="624" ht="14.4"/>
    <row r="625" ht="14.4"/>
    <row r="626" ht="14.4"/>
    <row r="627" ht="14.4"/>
    <row r="628" ht="14.4"/>
    <row r="629" ht="14.4"/>
    <row r="630" ht="14.4"/>
    <row r="631" ht="14.4"/>
    <row r="632" ht="14.4"/>
    <row r="633" ht="14.4"/>
    <row r="634" ht="14.4"/>
    <row r="635" ht="14.4"/>
    <row r="636" ht="14.4"/>
    <row r="637" ht="14.4"/>
    <row r="638" ht="14.4"/>
    <row r="639" ht="14.4"/>
    <row r="640" ht="14.4"/>
    <row r="641" ht="14.4"/>
    <row r="642" ht="14.4"/>
    <row r="643" ht="14.4"/>
    <row r="644" ht="14.4"/>
    <row r="645" ht="14.4"/>
    <row r="646" ht="14.4"/>
    <row r="647" ht="14.4"/>
    <row r="648" ht="14.4"/>
    <row r="649" ht="14.4"/>
    <row r="650" ht="14.4"/>
    <row r="651" ht="14.4"/>
    <row r="652" ht="14.4"/>
    <row r="653" ht="14.4"/>
    <row r="654" ht="14.4"/>
    <row r="655" ht="14.4"/>
    <row r="656" ht="14.4"/>
    <row r="657" ht="14.4"/>
    <row r="658" ht="14.4"/>
    <row r="659" ht="14.4"/>
    <row r="660" ht="14.4"/>
    <row r="661" ht="14.4"/>
    <row r="662" ht="14.4"/>
    <row r="663" ht="14.4"/>
    <row r="664" ht="14.4"/>
    <row r="665" ht="14.4"/>
    <row r="666" ht="14.4"/>
    <row r="667" ht="14.4"/>
    <row r="668" ht="14.4"/>
    <row r="669" ht="14.4"/>
    <row r="670" ht="14.4"/>
    <row r="671" ht="14.4"/>
    <row r="672" ht="14.4"/>
    <row r="673" ht="14.4"/>
    <row r="674" ht="14.4"/>
    <row r="675" ht="14.4"/>
    <row r="676" ht="14.4"/>
    <row r="677" ht="14.4"/>
    <row r="678" ht="14.4"/>
    <row r="679" ht="14.4"/>
    <row r="680" ht="14.4"/>
    <row r="681" ht="14.4"/>
    <row r="682" ht="14.4"/>
    <row r="683" ht="14.4"/>
    <row r="684" ht="14.4"/>
    <row r="685" ht="14.4"/>
    <row r="686" ht="14.4"/>
    <row r="687" ht="14.4"/>
    <row r="688" ht="14.4"/>
    <row r="689" ht="14.4"/>
    <row r="690" ht="14.4"/>
    <row r="691" ht="14.4"/>
    <row r="692" ht="14.4"/>
    <row r="693" ht="14.4"/>
    <row r="694" ht="14.4"/>
    <row r="695" ht="14.4"/>
    <row r="696" ht="14.4"/>
    <row r="697" ht="14.4"/>
    <row r="698" ht="14.4"/>
    <row r="699" ht="14.4"/>
    <row r="700" ht="14.4"/>
    <row r="701" ht="14.4"/>
    <row r="702" ht="14.4"/>
    <row r="703" ht="14.4"/>
    <row r="704" ht="14.4"/>
    <row r="705" ht="14.4"/>
    <row r="706" ht="14.4"/>
    <row r="707" ht="14.4"/>
    <row r="708" ht="14.4"/>
    <row r="709" ht="14.4"/>
    <row r="710" ht="14.4"/>
    <row r="711" ht="14.4"/>
    <row r="712" ht="14.4"/>
    <row r="713" ht="14.4"/>
    <row r="714" ht="14.4"/>
    <row r="715" ht="14.4"/>
    <row r="716" ht="14.4"/>
    <row r="717" ht="14.4"/>
    <row r="718" ht="14.4"/>
    <row r="719" ht="14.4"/>
    <row r="720" ht="14.4"/>
    <row r="721" ht="14.4"/>
    <row r="722" ht="14.4"/>
    <row r="723" ht="14.4"/>
    <row r="724" ht="14.4"/>
    <row r="725" ht="14.4"/>
    <row r="726" ht="14.4"/>
    <row r="727" ht="14.4"/>
    <row r="728" ht="14.4"/>
    <row r="729" ht="14.4"/>
    <row r="730" ht="14.4"/>
    <row r="731" ht="14.4"/>
    <row r="732" ht="14.4"/>
    <row r="733" ht="14.4"/>
    <row r="734" ht="14.4"/>
    <row r="735" ht="14.4"/>
    <row r="736" ht="14.4"/>
    <row r="737" ht="14.4"/>
    <row r="738" ht="14.4"/>
    <row r="739" ht="14.4"/>
    <row r="740" ht="14.4"/>
    <row r="741" ht="14.4"/>
    <row r="742" ht="14.4"/>
    <row r="743" ht="14.4"/>
    <row r="744" ht="14.4"/>
    <row r="745" ht="14.4"/>
    <row r="746" ht="14.4"/>
    <row r="747" ht="14.4"/>
    <row r="748" ht="14.4"/>
    <row r="749" ht="14.4"/>
    <row r="750" ht="14.4"/>
    <row r="751" ht="14.4"/>
    <row r="752" ht="14.4"/>
    <row r="753" ht="14.4"/>
    <row r="754" ht="14.4"/>
    <row r="755" ht="14.4"/>
    <row r="756" ht="14.4"/>
    <row r="757" ht="14.4"/>
    <row r="758" ht="14.4"/>
    <row r="759" ht="14.4"/>
    <row r="760" ht="14.4"/>
    <row r="761" ht="14.4"/>
    <row r="762" ht="14.4"/>
    <row r="763" ht="14.4"/>
    <row r="764" ht="14.4"/>
    <row r="765" ht="14.4"/>
    <row r="766" ht="14.4"/>
    <row r="767" ht="14.4"/>
    <row r="768" ht="14.4"/>
    <row r="769" ht="14.4"/>
    <row r="770" ht="14.4"/>
    <row r="771" ht="14.4"/>
    <row r="772" ht="14.4"/>
    <row r="773" ht="14.4"/>
    <row r="774" ht="14.4"/>
    <row r="775" ht="14.4"/>
    <row r="776" ht="14.4"/>
    <row r="777" ht="14.4"/>
    <row r="778" ht="14.4"/>
    <row r="779" ht="14.4"/>
    <row r="780" ht="14.4"/>
    <row r="781" ht="14.4"/>
    <row r="782" ht="14.4"/>
    <row r="783" ht="14.4"/>
    <row r="784" ht="14.4"/>
    <row r="785" ht="14.4"/>
    <row r="786" ht="14.4"/>
    <row r="787" ht="14.4"/>
    <row r="788" ht="14.4"/>
    <row r="789" ht="14.4"/>
    <row r="790" ht="14.4"/>
    <row r="791" ht="14.4"/>
    <row r="792" ht="14.4"/>
    <row r="793" ht="14.4"/>
    <row r="794" ht="14.4"/>
    <row r="795" ht="14.4"/>
    <row r="796" ht="14.4"/>
    <row r="797" ht="14.4"/>
    <row r="798" ht="14.4"/>
    <row r="799" ht="14.4"/>
    <row r="800" ht="14.4"/>
    <row r="801" ht="14.4"/>
    <row r="802" ht="14.4"/>
    <row r="803" ht="14.4"/>
    <row r="804" ht="14.4"/>
    <row r="805" ht="14.4"/>
    <row r="806" ht="14.4"/>
    <row r="807" ht="14.4"/>
    <row r="808" ht="14.4"/>
    <row r="809" ht="14.4"/>
    <row r="810" ht="14.4"/>
    <row r="811" ht="14.4"/>
    <row r="812" ht="14.4"/>
    <row r="813" ht="14.4"/>
    <row r="814" ht="14.4"/>
    <row r="815" ht="14.4"/>
    <row r="816" ht="14.4"/>
    <row r="817" ht="14.4"/>
    <row r="818" ht="14.4"/>
    <row r="819" ht="14.4"/>
    <row r="820" ht="14.4"/>
    <row r="821" ht="14.4"/>
    <row r="822" ht="14.4"/>
    <row r="823" ht="14.4"/>
    <row r="824" ht="14.4"/>
    <row r="825" ht="14.4"/>
    <row r="826" ht="14.4"/>
    <row r="827" ht="14.4"/>
    <row r="828" ht="14.4"/>
    <row r="829" ht="14.4"/>
    <row r="830" ht="14.4"/>
    <row r="831" ht="14.4"/>
    <row r="832" ht="14.4"/>
    <row r="833" ht="14.4"/>
    <row r="834" ht="14.4"/>
    <row r="835" ht="14.4"/>
    <row r="836" ht="14.4"/>
    <row r="837" ht="14.4"/>
    <row r="838" ht="14.4"/>
    <row r="839" ht="14.4"/>
    <row r="840" ht="14.4"/>
    <row r="841" ht="14.4"/>
    <row r="842" ht="14.4"/>
    <row r="843" ht="14.4"/>
    <row r="844" ht="14.4"/>
    <row r="845" ht="14.4"/>
    <row r="846" ht="14.4"/>
    <row r="847" ht="14.4"/>
    <row r="848" ht="14.4"/>
    <row r="849" ht="14.4"/>
    <row r="850" ht="14.4"/>
    <row r="851" ht="14.4"/>
    <row r="852" ht="14.4"/>
    <row r="853" ht="14.4"/>
    <row r="854" ht="14.4"/>
    <row r="855" ht="14.4"/>
    <row r="856" ht="14.4"/>
    <row r="857" ht="14.4"/>
    <row r="858" ht="14.4"/>
    <row r="859" ht="14.4"/>
    <row r="860" ht="14.4"/>
    <row r="861" ht="14.4"/>
    <row r="862" ht="14.4"/>
    <row r="863" ht="14.4"/>
    <row r="864" ht="14.4"/>
    <row r="865" ht="14.4"/>
    <row r="866" ht="14.4"/>
    <row r="867" ht="14.4"/>
    <row r="868" ht="14.4"/>
    <row r="869" ht="14.4"/>
    <row r="870" ht="14.4"/>
    <row r="871" ht="14.4"/>
    <row r="872" ht="14.4"/>
    <row r="873" ht="14.4"/>
    <row r="874" ht="14.4"/>
    <row r="875" ht="14.4"/>
    <row r="876" ht="14.4"/>
    <row r="877" ht="14.4"/>
    <row r="878" ht="14.4"/>
    <row r="879" ht="14.4"/>
    <row r="880" ht="14.4"/>
    <row r="881" ht="14.4"/>
    <row r="882" ht="14.4"/>
    <row r="883" ht="14.4"/>
    <row r="884" ht="14.4"/>
    <row r="885" ht="14.4"/>
    <row r="886" ht="14.4"/>
    <row r="887" ht="14.4"/>
    <row r="888" ht="14.4"/>
    <row r="889" ht="14.4"/>
    <row r="890" ht="14.4"/>
    <row r="891" ht="14.4"/>
    <row r="892" ht="14.4"/>
    <row r="893" ht="14.4"/>
    <row r="894" ht="14.4"/>
    <row r="895" ht="14.4"/>
    <row r="896" ht="14.4"/>
    <row r="897" ht="14.4"/>
    <row r="898" ht="14.4"/>
    <row r="899" ht="14.4"/>
    <row r="900" ht="14.4"/>
    <row r="901" ht="14.4"/>
    <row r="902" ht="14.4"/>
    <row r="903" ht="14.4"/>
    <row r="904" ht="14.4"/>
    <row r="905" ht="14.4"/>
    <row r="906" ht="14.4"/>
    <row r="907" ht="14.4"/>
    <row r="908" ht="14.4"/>
    <row r="909" ht="14.4"/>
    <row r="910" ht="14.4"/>
    <row r="911" ht="14.4"/>
    <row r="912" ht="14.4"/>
    <row r="913" ht="14.4"/>
    <row r="914" ht="14.4"/>
    <row r="915" ht="14.4"/>
    <row r="916" ht="14.4"/>
    <row r="917" ht="14.4"/>
    <row r="918" ht="14.4"/>
    <row r="919" ht="14.4"/>
    <row r="920" ht="14.4"/>
    <row r="921" ht="14.4"/>
    <row r="922" ht="14.4"/>
    <row r="923" ht="14.4"/>
    <row r="924" ht="14.4"/>
    <row r="925" ht="14.4"/>
    <row r="926" ht="14.4"/>
    <row r="927" ht="14.4"/>
    <row r="928" ht="14.4"/>
    <row r="929" ht="14.4"/>
    <row r="930" ht="14.4"/>
    <row r="931" ht="14.4"/>
    <row r="932" ht="14.4"/>
    <row r="933" ht="14.4"/>
    <row r="934" ht="14.4"/>
    <row r="935" ht="14.4"/>
    <row r="936" ht="14.4"/>
    <row r="937" ht="14.4"/>
    <row r="938" ht="14.4"/>
    <row r="939" ht="14.4"/>
    <row r="940" ht="14.4"/>
    <row r="941" ht="14.4"/>
    <row r="942" ht="14.4"/>
    <row r="943" ht="14.4"/>
    <row r="944" ht="14.4"/>
    <row r="945" ht="14.4"/>
    <row r="946" ht="14.4"/>
    <row r="947" ht="14.4"/>
    <row r="948" ht="14.4"/>
    <row r="949" ht="14.4"/>
    <row r="950" ht="14.4"/>
    <row r="951" ht="14.4"/>
    <row r="952" ht="14.4"/>
    <row r="953" ht="14.4"/>
    <row r="954" ht="14.4"/>
    <row r="955" ht="14.4"/>
    <row r="956" ht="14.4"/>
    <row r="957" ht="14.4"/>
    <row r="958" ht="14.4"/>
    <row r="959" ht="14.4"/>
    <row r="960" ht="14.4"/>
    <row r="961" ht="14.4"/>
    <row r="962" ht="14.4"/>
    <row r="963" ht="14.4"/>
    <row r="964" ht="14.4"/>
    <row r="965" ht="14.4"/>
    <row r="966" ht="14.4"/>
    <row r="967" ht="14.4"/>
    <row r="968" ht="14.4"/>
    <row r="969" ht="14.4"/>
  </sheetData>
  <mergeCells count="56">
    <mergeCell ref="B49:M49"/>
    <mergeCell ref="O49:Z49"/>
    <mergeCell ref="B27:M27"/>
    <mergeCell ref="O27:Z27"/>
    <mergeCell ref="C34:I34"/>
    <mergeCell ref="P34:V34"/>
    <mergeCell ref="C39:I39"/>
    <mergeCell ref="P39:V39"/>
    <mergeCell ref="C40:I40"/>
    <mergeCell ref="P40:V40"/>
    <mergeCell ref="C41:I41"/>
    <mergeCell ref="P41:V41"/>
    <mergeCell ref="C42:I42"/>
    <mergeCell ref="P42:V42"/>
    <mergeCell ref="P47:V47"/>
    <mergeCell ref="C43:I43"/>
    <mergeCell ref="C46:I46"/>
    <mergeCell ref="P46:V46"/>
    <mergeCell ref="C47:I47"/>
    <mergeCell ref="B44:M44"/>
    <mergeCell ref="O44:Z44"/>
    <mergeCell ref="C45:I45"/>
    <mergeCell ref="P45:V45"/>
    <mergeCell ref="C37:I37"/>
    <mergeCell ref="P37:V37"/>
    <mergeCell ref="B33:M33"/>
    <mergeCell ref="O33:Z33"/>
    <mergeCell ref="C38:I38"/>
    <mergeCell ref="P38:V38"/>
    <mergeCell ref="C35:I35"/>
    <mergeCell ref="P35:V35"/>
    <mergeCell ref="C36:I36"/>
    <mergeCell ref="P36:V36"/>
    <mergeCell ref="B6:M6"/>
    <mergeCell ref="O6:Z6"/>
    <mergeCell ref="B8:M8"/>
    <mergeCell ref="E9:M12"/>
    <mergeCell ref="O8:Z8"/>
    <mergeCell ref="R9:Z12"/>
    <mergeCell ref="O13:P13"/>
    <mergeCell ref="R13:T13"/>
    <mergeCell ref="B23:M23"/>
    <mergeCell ref="O23:Z23"/>
    <mergeCell ref="C24:I24"/>
    <mergeCell ref="P24:V24"/>
    <mergeCell ref="C25:I25"/>
    <mergeCell ref="P25:V25"/>
    <mergeCell ref="C26:I26"/>
    <mergeCell ref="P26:V26"/>
    <mergeCell ref="P32:V32"/>
    <mergeCell ref="C30:I30"/>
    <mergeCell ref="P30:V30"/>
    <mergeCell ref="C28:I28"/>
    <mergeCell ref="P28:V28"/>
    <mergeCell ref="C29:I29"/>
    <mergeCell ref="P29:V2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1BA85-A885-4FF9-AA04-4972F1093AC9}">
  <sheetPr>
    <outlinePr summaryBelow="0" summaryRight="0"/>
  </sheetPr>
  <dimension ref="B5:H17"/>
  <sheetViews>
    <sheetView workbookViewId="0">
      <selection activeCell="E18" sqref="E18"/>
    </sheetView>
  </sheetViews>
  <sheetFormatPr defaultColWidth="14.44140625" defaultRowHeight="15" customHeight="1"/>
  <cols>
    <col min="4" max="4" width="16.44140625" customWidth="1"/>
  </cols>
  <sheetData>
    <row r="5" spans="2:8">
      <c r="B5" s="167"/>
      <c r="C5" s="168" t="s">
        <v>221</v>
      </c>
      <c r="D5" s="168" t="s">
        <v>222</v>
      </c>
      <c r="E5" s="168" t="s">
        <v>223</v>
      </c>
    </row>
    <row r="6" spans="2:8">
      <c r="B6" s="164" t="s">
        <v>1</v>
      </c>
      <c r="C6" s="165">
        <v>9053.1</v>
      </c>
      <c r="D6" s="165">
        <v>100</v>
      </c>
      <c r="E6" s="165">
        <f t="shared" ref="E6:E11" si="0">C6*D6</f>
        <v>905310</v>
      </c>
      <c r="F6" s="166"/>
      <c r="G6" s="166"/>
      <c r="H6" s="166"/>
    </row>
    <row r="7" spans="2:8">
      <c r="B7" s="164" t="s">
        <v>0</v>
      </c>
      <c r="C7" s="165">
        <v>829.1</v>
      </c>
      <c r="D7" s="165">
        <v>115</v>
      </c>
      <c r="E7" s="165">
        <f t="shared" si="0"/>
        <v>95346.5</v>
      </c>
      <c r="F7" s="166"/>
      <c r="G7" s="166"/>
      <c r="H7" s="166"/>
    </row>
    <row r="8" spans="2:8">
      <c r="B8" s="164" t="s">
        <v>3</v>
      </c>
      <c r="C8" s="165">
        <v>613</v>
      </c>
      <c r="D8" s="165">
        <v>215</v>
      </c>
      <c r="E8" s="165">
        <f t="shared" si="0"/>
        <v>131795</v>
      </c>
      <c r="F8" s="166"/>
      <c r="G8" s="166"/>
      <c r="H8" s="166"/>
    </row>
    <row r="9" spans="2:8">
      <c r="B9" s="164" t="s">
        <v>4</v>
      </c>
      <c r="C9" s="165">
        <v>1435</v>
      </c>
      <c r="D9" s="165">
        <v>295</v>
      </c>
      <c r="E9" s="165">
        <f t="shared" si="0"/>
        <v>423325</v>
      </c>
      <c r="F9" s="166"/>
      <c r="G9" s="166"/>
      <c r="H9" s="166"/>
    </row>
    <row r="10" spans="2:8">
      <c r="B10" s="164" t="s">
        <v>5</v>
      </c>
      <c r="C10" s="165">
        <v>454.9</v>
      </c>
      <c r="D10" s="165">
        <v>510</v>
      </c>
      <c r="E10" s="165">
        <f t="shared" si="0"/>
        <v>231999</v>
      </c>
      <c r="F10" s="166"/>
      <c r="G10" s="166"/>
      <c r="H10" s="166"/>
    </row>
    <row r="11" spans="2:8">
      <c r="B11" s="164" t="s">
        <v>6</v>
      </c>
      <c r="C11" s="165">
        <v>446.1</v>
      </c>
      <c r="D11" s="165">
        <v>680</v>
      </c>
      <c r="E11" s="165">
        <f t="shared" si="0"/>
        <v>303348</v>
      </c>
      <c r="F11" s="166"/>
      <c r="G11" s="166"/>
      <c r="H11" s="166"/>
    </row>
    <row r="13" spans="2:8">
      <c r="B13" s="311" t="s">
        <v>224</v>
      </c>
      <c r="C13" s="311"/>
      <c r="D13" s="169">
        <f>SUM(E6:E11)</f>
        <v>2091123.5</v>
      </c>
      <c r="E13" s="170" t="s">
        <v>186</v>
      </c>
    </row>
    <row r="14" spans="2:8">
      <c r="B14" s="311" t="s">
        <v>225</v>
      </c>
      <c r="C14" s="311"/>
      <c r="D14" s="171">
        <f>D13*365/10000000</f>
        <v>76.326007750000002</v>
      </c>
      <c r="E14" s="170" t="s">
        <v>187</v>
      </c>
    </row>
    <row r="17" spans="5:5">
      <c r="E17" s="133"/>
    </row>
  </sheetData>
  <mergeCells count="2">
    <mergeCell ref="B13:C13"/>
    <mergeCell ref="B14:C1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40437-DAD4-467A-873C-E376A4EC5658}">
  <dimension ref="B1:T1000"/>
  <sheetViews>
    <sheetView zoomScale="90" zoomScaleNormal="212" workbookViewId="0">
      <selection activeCell="K32" sqref="K32"/>
    </sheetView>
  </sheetViews>
  <sheetFormatPr defaultColWidth="14.44140625" defaultRowHeight="15" customHeight="1"/>
  <cols>
    <col min="1" max="1" width="8.6640625" customWidth="1"/>
    <col min="2" max="2" width="35" customWidth="1"/>
    <col min="3" max="11" width="8.6640625" customWidth="1"/>
    <col min="12" max="12" width="35.109375" customWidth="1"/>
    <col min="13" max="13" width="7" customWidth="1"/>
    <col min="14" max="14" width="12.33203125" customWidth="1"/>
    <col min="15" max="27" width="8.6640625" customWidth="1"/>
  </cols>
  <sheetData>
    <row r="1" spans="2:20" ht="14.25" customHeight="1"/>
    <row r="2" spans="2:20" ht="14.25" customHeight="1"/>
    <row r="3" spans="2:20" ht="14.25" customHeight="1"/>
    <row r="4" spans="2:20" ht="14.25" customHeight="1"/>
    <row r="5" spans="2:20" ht="14.25" customHeight="1"/>
    <row r="6" spans="2:20" ht="14.25" customHeight="1">
      <c r="B6" s="312" t="s">
        <v>24</v>
      </c>
      <c r="C6" s="288"/>
      <c r="D6" s="288"/>
      <c r="E6" s="288"/>
      <c r="F6" s="288"/>
      <c r="G6" s="288"/>
      <c r="H6" s="288"/>
      <c r="I6" s="288"/>
      <c r="J6" s="288"/>
      <c r="L6" s="313" t="s">
        <v>25</v>
      </c>
      <c r="M6" s="288"/>
      <c r="N6" s="288"/>
      <c r="O6" s="288"/>
      <c r="P6" s="288"/>
      <c r="Q6" s="288"/>
      <c r="R6" s="288"/>
      <c r="S6" s="288"/>
      <c r="T6" s="288"/>
    </row>
    <row r="7" spans="2:20" ht="14.25" customHeight="1"/>
    <row r="8" spans="2:20" ht="14.25" customHeight="1">
      <c r="B8" s="59" t="s">
        <v>207</v>
      </c>
      <c r="C8" s="59">
        <v>634.45558785000003</v>
      </c>
      <c r="L8" s="59" t="s">
        <v>207</v>
      </c>
      <c r="M8" s="133">
        <v>981.80337577393186</v>
      </c>
    </row>
    <row r="9" spans="2:20" ht="14.25" customHeight="1">
      <c r="B9" s="59" t="s">
        <v>208</v>
      </c>
      <c r="C9" s="59">
        <v>8.5050000000000008</v>
      </c>
      <c r="L9" s="84" t="s">
        <v>188</v>
      </c>
      <c r="M9" s="59">
        <v>5.67</v>
      </c>
    </row>
    <row r="10" spans="2:20" ht="14.25" customHeight="1">
      <c r="B10" s="134" t="s">
        <v>209</v>
      </c>
      <c r="C10" s="59">
        <v>22.68</v>
      </c>
      <c r="L10" s="84" t="s">
        <v>191</v>
      </c>
      <c r="M10" s="59">
        <v>11.34</v>
      </c>
    </row>
    <row r="11" spans="2:20" ht="14.25" customHeight="1"/>
    <row r="12" spans="2:20" ht="14.25" customHeight="1">
      <c r="B12" s="59" t="s">
        <v>210</v>
      </c>
      <c r="C12" s="135">
        <v>76.326007750000002</v>
      </c>
      <c r="L12" s="59" t="s">
        <v>210</v>
      </c>
      <c r="M12" s="135">
        <v>76.326007750000002</v>
      </c>
    </row>
    <row r="13" spans="2:20" ht="14.25" customHeight="1"/>
    <row r="14" spans="2:20" ht="14.25" customHeight="1"/>
    <row r="15" spans="2:20" ht="14.25" customHeight="1"/>
    <row r="16" spans="2:2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4"/>
    <row r="50" ht="14.4"/>
    <row r="51" ht="14.4"/>
    <row r="52" ht="14.4"/>
    <row r="53" ht="14.4"/>
    <row r="54" ht="14.4"/>
    <row r="55" ht="14.4"/>
    <row r="56" ht="14.4"/>
    <row r="57" ht="14.4"/>
    <row r="58" ht="14.4"/>
    <row r="59" ht="14.4"/>
    <row r="60" ht="14.4"/>
    <row r="61" ht="14.4"/>
    <row r="62" ht="14.4"/>
    <row r="63" ht="14.4"/>
    <row r="64" ht="14.4"/>
    <row r="65" ht="14.4"/>
    <row r="66" ht="14.4"/>
    <row r="67" ht="14.4"/>
    <row r="68" ht="14.4"/>
    <row r="69" ht="14.4"/>
    <row r="70" ht="14.4"/>
    <row r="71" ht="14.4"/>
    <row r="72" ht="14.4"/>
    <row r="73" ht="14.4"/>
    <row r="74" ht="14.4"/>
    <row r="75" ht="14.4"/>
    <row r="76" ht="14.4"/>
    <row r="77" ht="14.4"/>
    <row r="78" ht="14.4"/>
    <row r="79" ht="14.4"/>
    <row r="80" ht="14.4"/>
    <row r="81" ht="14.4"/>
    <row r="82" ht="14.4"/>
    <row r="83" ht="14.4"/>
    <row r="84" ht="14.4"/>
    <row r="85" ht="14.4"/>
    <row r="86" ht="14.4"/>
    <row r="87" ht="14.4"/>
    <row r="88" ht="14.4"/>
    <row r="89" ht="14.4"/>
    <row r="90" ht="14.4"/>
    <row r="91" ht="14.4"/>
    <row r="92" ht="14.4"/>
    <row r="93" ht="14.4"/>
    <row r="94" ht="14.4"/>
    <row r="95" ht="14.4"/>
    <row r="96" ht="14.4"/>
    <row r="97" ht="14.4"/>
    <row r="98" ht="14.4"/>
    <row r="99" ht="14.4"/>
    <row r="100" ht="14.4"/>
    <row r="101" ht="14.4"/>
    <row r="102" ht="14.4"/>
    <row r="103" ht="14.4"/>
    <row r="104" ht="14.4"/>
    <row r="105" ht="14.4"/>
    <row r="106" ht="14.4"/>
    <row r="107" ht="14.4"/>
    <row r="108" ht="14.4"/>
    <row r="109" ht="14.4"/>
    <row r="110" ht="14.4"/>
    <row r="111" ht="14.4"/>
    <row r="112" ht="14.4"/>
    <row r="113" ht="14.4"/>
    <row r="114" ht="14.4"/>
    <row r="115" ht="14.4"/>
    <row r="116" ht="14.4"/>
    <row r="117" ht="14.4"/>
    <row r="118" ht="14.4"/>
    <row r="119" ht="14.4"/>
    <row r="120" ht="14.4"/>
    <row r="121" ht="14.4"/>
    <row r="122" ht="14.4"/>
    <row r="123" ht="14.4"/>
    <row r="124" ht="14.4"/>
    <row r="125" ht="14.4"/>
    <row r="126" ht="14.4"/>
    <row r="127" ht="14.4"/>
    <row r="128" ht="14.4"/>
    <row r="129" ht="14.4"/>
    <row r="130" ht="14.4"/>
    <row r="131" ht="14.4"/>
    <row r="132" ht="14.4"/>
    <row r="133" ht="14.4"/>
    <row r="134" ht="14.4"/>
    <row r="135" ht="14.4"/>
    <row r="136" ht="14.4"/>
    <row r="137" ht="14.4"/>
    <row r="138" ht="14.4"/>
    <row r="139" ht="14.4"/>
    <row r="140" ht="14.4"/>
    <row r="141" ht="14.4"/>
    <row r="142" ht="14.4"/>
    <row r="143" ht="14.4"/>
    <row r="144" ht="14.4"/>
    <row r="145" ht="14.4"/>
    <row r="146" ht="14.4"/>
    <row r="147" ht="14.4"/>
    <row r="148" ht="14.4"/>
    <row r="149" ht="14.4"/>
    <row r="150" ht="14.4"/>
    <row r="151" ht="14.4"/>
    <row r="152" ht="14.4"/>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row r="181" ht="14.4"/>
    <row r="182" ht="14.4"/>
    <row r="183" ht="14.4"/>
    <row r="184" ht="14.4"/>
    <row r="185" ht="14.4"/>
    <row r="186" ht="14.4"/>
    <row r="187" ht="14.4"/>
    <row r="188" ht="14.4"/>
    <row r="189" ht="14.4"/>
    <row r="190" ht="14.4"/>
    <row r="191" ht="14.4"/>
    <row r="192" ht="14.4"/>
    <row r="193" ht="14.4"/>
    <row r="194" ht="14.4"/>
    <row r="195" ht="14.4"/>
    <row r="196" ht="14.4"/>
    <row r="197" ht="14.4"/>
    <row r="198" ht="14.4"/>
    <row r="199" ht="14.4"/>
    <row r="200" ht="14.4"/>
    <row r="201" ht="14.4"/>
    <row r="202" ht="14.4"/>
    <row r="203" ht="14.4"/>
    <row r="204" ht="14.4"/>
    <row r="205" ht="14.4"/>
    <row r="206" ht="14.4"/>
    <row r="207" ht="14.4"/>
    <row r="208" ht="14.4"/>
    <row r="209" ht="14.4"/>
    <row r="210" ht="14.4"/>
    <row r="211" ht="14.4"/>
    <row r="212" ht="14.4"/>
    <row r="213" ht="14.4"/>
    <row r="214" ht="14.4"/>
    <row r="215" ht="14.4"/>
    <row r="216" ht="14.4"/>
    <row r="217" ht="14.4"/>
    <row r="218" ht="14.4"/>
    <row r="219" ht="14.4"/>
    <row r="220" ht="14.4"/>
    <row r="221" ht="14.4"/>
    <row r="222" ht="14.4"/>
    <row r="223" ht="14.4"/>
    <row r="224" ht="14.4"/>
    <row r="225" ht="14.4"/>
    <row r="226" ht="14.4"/>
    <row r="227" ht="14.4"/>
    <row r="228" ht="14.4"/>
    <row r="229" ht="14.4"/>
    <row r="230" ht="14.4"/>
    <row r="231" ht="14.4"/>
    <row r="232" ht="14.4"/>
    <row r="233" ht="14.4"/>
    <row r="234" ht="14.4"/>
    <row r="235" ht="14.4"/>
    <row r="236" ht="14.4"/>
    <row r="237" ht="14.4"/>
    <row r="238" ht="14.4"/>
    <row r="239" ht="14.4"/>
    <row r="240" ht="14.4"/>
    <row r="241" ht="14.4"/>
    <row r="242" ht="14.4"/>
    <row r="243" ht="14.4"/>
    <row r="244" ht="14.4"/>
    <row r="245" ht="14.4"/>
    <row r="246" ht="14.4"/>
    <row r="247" ht="14.4"/>
    <row r="248" ht="14.4"/>
    <row r="249" ht="14.4"/>
    <row r="250" ht="14.4"/>
    <row r="251" ht="14.4"/>
    <row r="252" ht="14.4"/>
    <row r="253" ht="14.4"/>
    <row r="254" ht="14.4"/>
    <row r="255" ht="14.4"/>
    <row r="256" ht="14.4"/>
    <row r="257" ht="14.4"/>
    <row r="258" ht="14.4"/>
    <row r="259" ht="14.4"/>
    <row r="260" ht="14.4"/>
    <row r="261" ht="14.4"/>
    <row r="262" ht="14.4"/>
    <row r="263" ht="14.4"/>
    <row r="264" ht="14.4"/>
    <row r="265" ht="14.4"/>
    <row r="266" ht="14.4"/>
    <row r="267" ht="14.4"/>
    <row r="268" ht="14.4"/>
    <row r="269" ht="14.4"/>
    <row r="270" ht="14.4"/>
    <row r="271" ht="14.4"/>
    <row r="272" ht="14.4"/>
    <row r="273" ht="14.4"/>
    <row r="274" ht="14.4"/>
    <row r="275" ht="14.4"/>
    <row r="276" ht="14.4"/>
    <row r="277" ht="14.4"/>
    <row r="278" ht="14.4"/>
    <row r="279" ht="14.4"/>
    <row r="280" ht="14.4"/>
    <row r="281" ht="14.4"/>
    <row r="282" ht="14.4"/>
    <row r="283" ht="14.4"/>
    <row r="284" ht="14.4"/>
    <row r="285" ht="14.4"/>
    <row r="286" ht="14.4"/>
    <row r="287" ht="14.4"/>
    <row r="288" ht="14.4"/>
    <row r="289" ht="14.4"/>
    <row r="290" ht="14.4"/>
    <row r="291" ht="14.4"/>
    <row r="292" ht="14.4"/>
    <row r="293" ht="14.4"/>
    <row r="294" ht="14.4"/>
    <row r="295" ht="14.4"/>
    <row r="296" ht="14.4"/>
    <row r="297" ht="14.4"/>
    <row r="298" ht="14.4"/>
    <row r="299" ht="14.4"/>
    <row r="300" ht="14.4"/>
    <row r="301" ht="14.4"/>
    <row r="302" ht="14.4"/>
    <row r="303" ht="14.4"/>
    <row r="304" ht="14.4"/>
    <row r="305" ht="14.4"/>
    <row r="306" ht="14.4"/>
    <row r="307" ht="14.4"/>
    <row r="308" ht="14.4"/>
    <row r="309" ht="14.4"/>
    <row r="310" ht="14.4"/>
    <row r="311" ht="14.4"/>
    <row r="312" ht="14.4"/>
    <row r="313" ht="14.4"/>
    <row r="314" ht="14.4"/>
    <row r="315" ht="14.4"/>
    <row r="316" ht="14.4"/>
    <row r="317" ht="14.4"/>
    <row r="318" ht="14.4"/>
    <row r="319" ht="14.4"/>
    <row r="320" ht="14.4"/>
    <row r="321" ht="14.4"/>
    <row r="322" ht="14.4"/>
    <row r="323" ht="14.4"/>
    <row r="324" ht="14.4"/>
    <row r="325" ht="14.4"/>
    <row r="326" ht="14.4"/>
    <row r="327" ht="14.4"/>
    <row r="328" ht="14.4"/>
    <row r="329" ht="14.4"/>
    <row r="330" ht="14.4"/>
    <row r="331" ht="14.4"/>
    <row r="332" ht="14.4"/>
    <row r="333" ht="14.4"/>
    <row r="334" ht="14.4"/>
    <row r="335" ht="14.4"/>
    <row r="336" ht="14.4"/>
    <row r="337" ht="14.4"/>
    <row r="338" ht="14.4"/>
    <row r="339" ht="14.4"/>
    <row r="340" ht="14.4"/>
    <row r="341" ht="14.4"/>
    <row r="342" ht="14.4"/>
    <row r="343" ht="14.4"/>
    <row r="344" ht="14.4"/>
    <row r="345" ht="14.4"/>
    <row r="346" ht="14.4"/>
    <row r="347" ht="14.4"/>
    <row r="348" ht="14.4"/>
    <row r="349" ht="14.4"/>
    <row r="350" ht="14.4"/>
    <row r="351" ht="14.4"/>
    <row r="352" ht="14.4"/>
    <row r="353" ht="14.4"/>
    <row r="354" ht="14.4"/>
    <row r="355" ht="14.4"/>
    <row r="356" ht="14.4"/>
    <row r="357" ht="14.4"/>
    <row r="358" ht="14.4"/>
    <row r="359" ht="14.4"/>
    <row r="360" ht="14.4"/>
    <row r="361" ht="14.4"/>
    <row r="362" ht="14.4"/>
    <row r="363" ht="14.4"/>
    <row r="364" ht="14.4"/>
    <row r="365" ht="14.4"/>
    <row r="366" ht="14.4"/>
    <row r="367" ht="14.4"/>
    <row r="368" ht="14.4"/>
    <row r="369" ht="14.4"/>
    <row r="370" ht="14.4"/>
    <row r="371" ht="14.4"/>
    <row r="372" ht="14.4"/>
    <row r="373" ht="14.4"/>
    <row r="374" ht="14.4"/>
    <row r="375" ht="14.4"/>
    <row r="376" ht="14.4"/>
    <row r="377" ht="14.4"/>
    <row r="378" ht="14.4"/>
    <row r="379" ht="14.4"/>
    <row r="380" ht="14.4"/>
    <row r="381" ht="14.4"/>
    <row r="382" ht="14.4"/>
    <row r="383" ht="14.4"/>
    <row r="384" ht="14.4"/>
    <row r="385" ht="14.4"/>
    <row r="386" ht="14.4"/>
    <row r="387" ht="14.4"/>
    <row r="388" ht="14.4"/>
    <row r="389" ht="14.4"/>
    <row r="390" ht="14.4"/>
    <row r="391" ht="14.4"/>
    <row r="392" ht="14.4"/>
    <row r="393" ht="14.4"/>
    <row r="394" ht="14.4"/>
    <row r="395" ht="14.4"/>
    <row r="396" ht="14.4"/>
    <row r="397" ht="14.4"/>
    <row r="398" ht="14.4"/>
    <row r="399" ht="14.4"/>
    <row r="400" ht="14.4"/>
    <row r="401" ht="14.4"/>
    <row r="402" ht="14.4"/>
    <row r="403" ht="14.4"/>
    <row r="404" ht="14.4"/>
    <row r="405" ht="14.4"/>
    <row r="406" ht="14.4"/>
    <row r="407" ht="14.4"/>
    <row r="408" ht="14.4"/>
    <row r="409" ht="14.4"/>
    <row r="410" ht="14.4"/>
    <row r="411" ht="14.4"/>
    <row r="412" ht="14.4"/>
    <row r="413" ht="14.4"/>
    <row r="414" ht="14.4"/>
    <row r="415" ht="14.4"/>
    <row r="416" ht="14.4"/>
    <row r="417" ht="14.4"/>
    <row r="418" ht="14.4"/>
    <row r="419" ht="14.4"/>
    <row r="420" ht="14.4"/>
    <row r="421" ht="14.4"/>
    <row r="422" ht="14.4"/>
    <row r="423" ht="14.4"/>
    <row r="424" ht="14.4"/>
    <row r="425" ht="14.4"/>
    <row r="426" ht="14.4"/>
    <row r="427" ht="14.4"/>
    <row r="428" ht="14.4"/>
    <row r="429" ht="14.4"/>
    <row r="430" ht="14.4"/>
    <row r="431" ht="14.4"/>
    <row r="432" ht="14.4"/>
    <row r="433" ht="14.4"/>
    <row r="434" ht="14.4"/>
    <row r="435" ht="14.4"/>
    <row r="436" ht="14.4"/>
    <row r="437" ht="14.4"/>
    <row r="438" ht="14.4"/>
    <row r="439" ht="14.4"/>
    <row r="440" ht="14.4"/>
    <row r="441" ht="14.4"/>
    <row r="442" ht="14.4"/>
    <row r="443" ht="14.4"/>
    <row r="444" ht="14.4"/>
    <row r="445" ht="14.4"/>
    <row r="446" ht="14.4"/>
    <row r="447" ht="14.4"/>
    <row r="448" ht="14.4"/>
    <row r="449" ht="14.4"/>
    <row r="450" ht="14.4"/>
    <row r="451" ht="14.4"/>
    <row r="452" ht="14.4"/>
    <row r="453" ht="14.4"/>
    <row r="454" ht="14.4"/>
    <row r="455" ht="14.4"/>
    <row r="456" ht="14.4"/>
    <row r="457" ht="14.4"/>
    <row r="458" ht="14.4"/>
    <row r="459" ht="14.4"/>
    <row r="460" ht="14.4"/>
    <row r="461" ht="14.4"/>
    <row r="462" ht="14.4"/>
    <row r="463" ht="14.4"/>
    <row r="464" ht="14.4"/>
    <row r="465" ht="14.4"/>
    <row r="466" ht="14.4"/>
    <row r="467" ht="14.4"/>
    <row r="468" ht="14.4"/>
    <row r="469" ht="14.4"/>
    <row r="470" ht="14.4"/>
    <row r="471" ht="14.4"/>
    <row r="472" ht="14.4"/>
    <row r="473" ht="14.4"/>
    <row r="474" ht="14.4"/>
    <row r="475" ht="14.4"/>
    <row r="476" ht="14.4"/>
    <row r="477" ht="14.4"/>
    <row r="478" ht="14.4"/>
    <row r="479" ht="14.4"/>
    <row r="480" ht="14.4"/>
    <row r="481" ht="14.4"/>
    <row r="482" ht="14.4"/>
    <row r="483" ht="14.4"/>
    <row r="484" ht="14.4"/>
    <row r="485" ht="14.4"/>
    <row r="486" ht="14.4"/>
    <row r="487" ht="14.4"/>
    <row r="488" ht="14.4"/>
    <row r="489" ht="14.4"/>
    <row r="490" ht="14.4"/>
    <row r="491" ht="14.4"/>
    <row r="492" ht="14.4"/>
    <row r="493" ht="14.4"/>
    <row r="494" ht="14.4"/>
    <row r="495" ht="14.4"/>
    <row r="496" ht="14.4"/>
    <row r="497" ht="14.4"/>
    <row r="498" ht="14.4"/>
    <row r="499" ht="14.4"/>
    <row r="500" ht="14.4"/>
    <row r="501" ht="14.4"/>
    <row r="502" ht="14.4"/>
    <row r="503" ht="14.4"/>
    <row r="504" ht="14.4"/>
    <row r="505" ht="14.4"/>
    <row r="506" ht="14.4"/>
    <row r="507" ht="14.4"/>
    <row r="508" ht="14.4"/>
    <row r="509" ht="14.4"/>
    <row r="510" ht="14.4"/>
    <row r="511" ht="14.4"/>
    <row r="512" ht="14.4"/>
    <row r="513" ht="14.4"/>
    <row r="514" ht="14.4"/>
    <row r="515" ht="14.4"/>
    <row r="516" ht="14.4"/>
    <row r="517" ht="14.4"/>
    <row r="518" ht="14.4"/>
    <row r="519" ht="14.4"/>
    <row r="520" ht="14.4"/>
    <row r="521" ht="14.4"/>
    <row r="522" ht="14.4"/>
    <row r="523" ht="14.4"/>
    <row r="524" ht="14.4"/>
    <row r="525" ht="14.4"/>
    <row r="526" ht="14.4"/>
    <row r="527" ht="14.4"/>
    <row r="528" ht="14.4"/>
    <row r="529" ht="14.4"/>
    <row r="530" ht="14.4"/>
    <row r="531" ht="14.4"/>
    <row r="532" ht="14.4"/>
    <row r="533" ht="14.4"/>
    <row r="534" ht="14.4"/>
    <row r="535" ht="14.4"/>
    <row r="536" ht="14.4"/>
    <row r="537" ht="14.4"/>
    <row r="538" ht="14.4"/>
    <row r="539" ht="14.4"/>
    <row r="540" ht="14.4"/>
    <row r="541" ht="14.4"/>
    <row r="542" ht="14.4"/>
    <row r="543" ht="14.4"/>
    <row r="544" ht="14.4"/>
    <row r="545" ht="14.4"/>
    <row r="546" ht="14.4"/>
    <row r="547" ht="14.4"/>
    <row r="548" ht="14.4"/>
    <row r="549" ht="14.4"/>
    <row r="550" ht="14.4"/>
    <row r="551" ht="14.4"/>
    <row r="552" ht="14.4"/>
    <row r="553" ht="14.4"/>
    <row r="554" ht="14.4"/>
    <row r="555" ht="14.4"/>
    <row r="556" ht="14.4"/>
    <row r="557" ht="14.4"/>
    <row r="558" ht="14.4"/>
    <row r="559" ht="14.4"/>
    <row r="560" ht="14.4"/>
    <row r="561" ht="14.4"/>
    <row r="562" ht="14.4"/>
    <row r="563" ht="14.4"/>
    <row r="564" ht="14.4"/>
    <row r="565" ht="14.4"/>
    <row r="566" ht="14.4"/>
    <row r="567" ht="14.4"/>
    <row r="568" ht="14.4"/>
    <row r="569" ht="14.4"/>
    <row r="570" ht="14.4"/>
    <row r="571" ht="14.4"/>
    <row r="572" ht="14.4"/>
    <row r="573" ht="14.4"/>
    <row r="574" ht="14.4"/>
    <row r="575" ht="14.4"/>
    <row r="576" ht="14.4"/>
    <row r="577" ht="14.4"/>
    <row r="578" ht="14.4"/>
    <row r="579" ht="14.4"/>
    <row r="580" ht="14.4"/>
    <row r="581" ht="14.4"/>
    <row r="582" ht="14.4"/>
    <row r="583" ht="14.4"/>
    <row r="584" ht="14.4"/>
    <row r="585" ht="14.4"/>
    <row r="586" ht="14.4"/>
    <row r="587" ht="14.4"/>
    <row r="588" ht="14.4"/>
    <row r="589" ht="14.4"/>
    <row r="590" ht="14.4"/>
    <row r="591" ht="14.4"/>
    <row r="592" ht="14.4"/>
    <row r="593" ht="14.4"/>
    <row r="594" ht="14.4"/>
    <row r="595" ht="14.4"/>
    <row r="596" ht="14.4"/>
    <row r="597" ht="14.4"/>
    <row r="598" ht="14.4"/>
    <row r="599" ht="14.4"/>
    <row r="600" ht="14.4"/>
    <row r="601" ht="14.4"/>
    <row r="602" ht="14.4"/>
    <row r="603" ht="14.4"/>
    <row r="604" ht="14.4"/>
    <row r="605" ht="14.4"/>
    <row r="606" ht="14.4"/>
    <row r="607" ht="14.4"/>
    <row r="608" ht="14.4"/>
    <row r="609" ht="14.4"/>
    <row r="610" ht="14.4"/>
    <row r="611" ht="14.4"/>
    <row r="612" ht="14.4"/>
    <row r="613" ht="14.4"/>
    <row r="614" ht="14.4"/>
    <row r="615" ht="14.4"/>
    <row r="616" ht="14.4"/>
    <row r="617" ht="14.4"/>
    <row r="618" ht="14.4"/>
    <row r="619" ht="14.4"/>
    <row r="620" ht="14.4"/>
    <row r="621" ht="14.4"/>
    <row r="622" ht="14.4"/>
    <row r="623" ht="14.4"/>
    <row r="624" ht="14.4"/>
    <row r="625" ht="14.4"/>
    <row r="626" ht="14.4"/>
    <row r="627" ht="14.4"/>
    <row r="628" ht="14.4"/>
    <row r="629" ht="14.4"/>
    <row r="630" ht="14.4"/>
    <row r="631" ht="14.4"/>
    <row r="632" ht="14.4"/>
    <row r="633" ht="14.4"/>
    <row r="634" ht="14.4"/>
    <row r="635" ht="14.4"/>
    <row r="636" ht="14.4"/>
    <row r="637" ht="14.4"/>
    <row r="638" ht="14.4"/>
    <row r="639" ht="14.4"/>
    <row r="640" ht="14.4"/>
    <row r="641" ht="14.4"/>
    <row r="642" ht="14.4"/>
    <row r="643" ht="14.4"/>
    <row r="644" ht="14.4"/>
    <row r="645" ht="14.4"/>
    <row r="646" ht="14.4"/>
    <row r="647" ht="14.4"/>
    <row r="648" ht="14.4"/>
    <row r="649" ht="14.4"/>
    <row r="650" ht="14.4"/>
    <row r="651" ht="14.4"/>
    <row r="652" ht="14.4"/>
    <row r="653" ht="14.4"/>
    <row r="654" ht="14.4"/>
    <row r="655" ht="14.4"/>
    <row r="656" ht="14.4"/>
    <row r="657" ht="14.4"/>
    <row r="658" ht="14.4"/>
    <row r="659" ht="14.4"/>
    <row r="660" ht="14.4"/>
    <row r="661" ht="14.4"/>
    <row r="662" ht="14.4"/>
    <row r="663" ht="14.4"/>
    <row r="664" ht="14.4"/>
    <row r="665" ht="14.4"/>
    <row r="666" ht="14.4"/>
    <row r="667" ht="14.4"/>
    <row r="668" ht="14.4"/>
    <row r="669" ht="14.4"/>
    <row r="670" ht="14.4"/>
    <row r="671" ht="14.4"/>
    <row r="672" ht="14.4"/>
    <row r="673" ht="14.4"/>
    <row r="674" ht="14.4"/>
    <row r="675" ht="14.4"/>
    <row r="676" ht="14.4"/>
    <row r="677" ht="14.4"/>
    <row r="678" ht="14.4"/>
    <row r="679" ht="14.4"/>
    <row r="680" ht="14.4"/>
    <row r="681" ht="14.4"/>
    <row r="682" ht="14.4"/>
    <row r="683" ht="14.4"/>
    <row r="684" ht="14.4"/>
    <row r="685" ht="14.4"/>
    <row r="686" ht="14.4"/>
    <row r="687" ht="14.4"/>
    <row r="688" ht="14.4"/>
    <row r="689" ht="14.4"/>
    <row r="690" ht="14.4"/>
    <row r="691" ht="14.4"/>
    <row r="692" ht="14.4"/>
    <row r="693" ht="14.4"/>
    <row r="694" ht="14.4"/>
    <row r="695" ht="14.4"/>
    <row r="696" ht="14.4"/>
    <row r="697" ht="14.4"/>
    <row r="698" ht="14.4"/>
    <row r="699" ht="14.4"/>
    <row r="700" ht="14.4"/>
    <row r="701" ht="14.4"/>
    <row r="702" ht="14.4"/>
    <row r="703" ht="14.4"/>
    <row r="704" ht="14.4"/>
    <row r="705" ht="14.4"/>
    <row r="706" ht="14.4"/>
    <row r="707" ht="14.4"/>
    <row r="708" ht="14.4"/>
    <row r="709" ht="14.4"/>
    <row r="710" ht="14.4"/>
    <row r="711" ht="14.4"/>
    <row r="712" ht="14.4"/>
    <row r="713" ht="14.4"/>
    <row r="714" ht="14.4"/>
    <row r="715" ht="14.4"/>
    <row r="716" ht="14.4"/>
    <row r="717" ht="14.4"/>
    <row r="718" ht="14.4"/>
    <row r="719" ht="14.4"/>
    <row r="720" ht="14.4"/>
    <row r="721" ht="14.4"/>
    <row r="722" ht="14.4"/>
    <row r="723" ht="14.4"/>
    <row r="724" ht="14.4"/>
    <row r="725" ht="14.4"/>
    <row r="726" ht="14.4"/>
    <row r="727" ht="14.4"/>
    <row r="728" ht="14.4"/>
    <row r="729" ht="14.4"/>
    <row r="730" ht="14.4"/>
    <row r="731" ht="14.4"/>
    <row r="732" ht="14.4"/>
    <row r="733" ht="14.4"/>
    <row r="734" ht="14.4"/>
    <row r="735" ht="14.4"/>
    <row r="736" ht="14.4"/>
    <row r="737" ht="14.4"/>
    <row r="738" ht="14.4"/>
    <row r="739" ht="14.4"/>
    <row r="740" ht="14.4"/>
    <row r="741" ht="14.4"/>
    <row r="742" ht="14.4"/>
    <row r="743" ht="14.4"/>
    <row r="744" ht="14.4"/>
    <row r="745" ht="14.4"/>
    <row r="746" ht="14.4"/>
    <row r="747" ht="14.4"/>
    <row r="748" ht="14.4"/>
    <row r="749" ht="14.4"/>
    <row r="750" ht="14.4"/>
    <row r="751" ht="14.4"/>
    <row r="752" ht="14.4"/>
    <row r="753" ht="14.4"/>
    <row r="754" ht="14.4"/>
    <row r="755" ht="14.4"/>
    <row r="756" ht="14.4"/>
    <row r="757" ht="14.4"/>
    <row r="758" ht="14.4"/>
    <row r="759" ht="14.4"/>
    <row r="760" ht="14.4"/>
    <row r="761" ht="14.4"/>
    <row r="762" ht="14.4"/>
    <row r="763" ht="14.4"/>
    <row r="764" ht="14.4"/>
    <row r="765" ht="14.4"/>
    <row r="766" ht="14.4"/>
    <row r="767" ht="14.4"/>
    <row r="768" ht="14.4"/>
    <row r="769" ht="14.4"/>
    <row r="770" ht="14.4"/>
    <row r="771" ht="14.4"/>
    <row r="772" ht="14.4"/>
    <row r="773" ht="14.4"/>
    <row r="774" ht="14.4"/>
    <row r="775" ht="14.4"/>
    <row r="776" ht="14.4"/>
    <row r="777" ht="14.4"/>
    <row r="778" ht="14.4"/>
    <row r="779" ht="14.4"/>
    <row r="780" ht="14.4"/>
    <row r="781" ht="14.4"/>
    <row r="782" ht="14.4"/>
    <row r="783" ht="14.4"/>
    <row r="784" ht="14.4"/>
    <row r="785" ht="14.4"/>
    <row r="786" ht="14.4"/>
    <row r="787" ht="14.4"/>
    <row r="788" ht="14.4"/>
    <row r="789" ht="14.4"/>
    <row r="790" ht="14.4"/>
    <row r="791" ht="14.4"/>
    <row r="792" ht="14.4"/>
    <row r="793" ht="14.4"/>
    <row r="794" ht="14.4"/>
    <row r="795" ht="14.4"/>
    <row r="796" ht="14.4"/>
    <row r="797" ht="14.4"/>
    <row r="798" ht="14.4"/>
    <row r="799" ht="14.4"/>
    <row r="800" ht="14.4"/>
    <row r="801" ht="14.4"/>
    <row r="802" ht="14.4"/>
    <row r="803" ht="14.4"/>
    <row r="804" ht="14.4"/>
    <row r="805" ht="14.4"/>
    <row r="806" ht="14.4"/>
    <row r="807" ht="14.4"/>
    <row r="808" ht="14.4"/>
    <row r="809" ht="14.4"/>
    <row r="810" ht="14.4"/>
    <row r="811" ht="14.4"/>
    <row r="812" ht="14.4"/>
    <row r="813" ht="14.4"/>
    <row r="814" ht="14.4"/>
    <row r="815" ht="14.4"/>
    <row r="816" ht="14.4"/>
    <row r="817" ht="14.4"/>
    <row r="818" ht="14.4"/>
    <row r="819" ht="14.4"/>
    <row r="820" ht="14.4"/>
    <row r="821" ht="14.4"/>
    <row r="822" ht="14.4"/>
    <row r="823" ht="14.4"/>
    <row r="824" ht="14.4"/>
    <row r="825" ht="14.4"/>
    <row r="826" ht="14.4"/>
    <row r="827" ht="14.4"/>
    <row r="828" ht="14.4"/>
    <row r="829" ht="14.4"/>
    <row r="830" ht="14.4"/>
    <row r="831" ht="14.4"/>
    <row r="832" ht="14.4"/>
    <row r="833" ht="14.4"/>
    <row r="834" ht="14.4"/>
    <row r="835" ht="14.4"/>
    <row r="836" ht="14.4"/>
    <row r="837" ht="14.4"/>
    <row r="838" ht="14.4"/>
    <row r="839" ht="14.4"/>
    <row r="840" ht="14.4"/>
    <row r="841" ht="14.4"/>
    <row r="842" ht="14.4"/>
    <row r="843" ht="14.4"/>
    <row r="844" ht="14.4"/>
    <row r="845" ht="14.4"/>
    <row r="846" ht="14.4"/>
    <row r="847" ht="14.4"/>
    <row r="848" ht="14.4"/>
    <row r="849" ht="14.4"/>
    <row r="850" ht="14.4"/>
    <row r="851" ht="14.4"/>
    <row r="852" ht="14.4"/>
    <row r="853" ht="14.4"/>
    <row r="854" ht="14.4"/>
    <row r="855" ht="14.4"/>
    <row r="856" ht="14.4"/>
    <row r="857" ht="14.4"/>
    <row r="858" ht="14.4"/>
    <row r="859" ht="14.4"/>
    <row r="860" ht="14.4"/>
    <row r="861" ht="14.4"/>
    <row r="862" ht="14.4"/>
    <row r="863" ht="14.4"/>
    <row r="864" ht="14.4"/>
    <row r="865" ht="14.4"/>
    <row r="866" ht="14.4"/>
    <row r="867" ht="14.4"/>
    <row r="868" ht="14.4"/>
    <row r="869" ht="14.4"/>
    <row r="870" ht="14.4"/>
    <row r="871" ht="14.4"/>
    <row r="872" ht="14.4"/>
    <row r="873" ht="14.4"/>
    <row r="874" ht="14.4"/>
    <row r="875" ht="14.4"/>
    <row r="876" ht="14.4"/>
    <row r="877" ht="14.4"/>
    <row r="878" ht="14.4"/>
    <row r="879" ht="14.4"/>
    <row r="880" ht="14.4"/>
    <row r="881" ht="14.4"/>
    <row r="882" ht="14.4"/>
    <row r="883" ht="14.4"/>
    <row r="884" ht="14.4"/>
    <row r="885" ht="14.4"/>
    <row r="886" ht="14.4"/>
    <row r="887" ht="14.4"/>
    <row r="888" ht="14.4"/>
    <row r="889" ht="14.4"/>
    <row r="890" ht="14.4"/>
    <row r="891" ht="14.4"/>
    <row r="892" ht="14.4"/>
    <row r="893" ht="14.4"/>
    <row r="894" ht="14.4"/>
    <row r="895" ht="14.4"/>
    <row r="896" ht="14.4"/>
    <row r="897" ht="14.4"/>
    <row r="898" ht="14.4"/>
    <row r="899" ht="14.4"/>
    <row r="900" ht="14.4"/>
    <row r="901" ht="14.4"/>
    <row r="902" ht="14.4"/>
    <row r="903" ht="14.4"/>
    <row r="904" ht="14.4"/>
    <row r="905" ht="14.4"/>
    <row r="906" ht="14.4"/>
    <row r="907" ht="14.4"/>
    <row r="908" ht="14.4"/>
    <row r="909" ht="14.4"/>
    <row r="910" ht="14.4"/>
    <row r="911" ht="14.4"/>
    <row r="912" ht="14.4"/>
    <row r="913" ht="14.4"/>
    <row r="914" ht="14.4"/>
    <row r="915" ht="14.4"/>
    <row r="916" ht="14.4"/>
    <row r="917" ht="14.4"/>
    <row r="918" ht="14.4"/>
    <row r="919" ht="14.4"/>
    <row r="920" ht="14.4"/>
    <row r="921" ht="14.4"/>
    <row r="922" ht="14.4"/>
    <row r="923" ht="14.4"/>
    <row r="924" ht="14.4"/>
    <row r="925" ht="14.4"/>
    <row r="926" ht="14.4"/>
    <row r="927" ht="14.4"/>
    <row r="928" ht="14.4"/>
    <row r="929" ht="14.4"/>
    <row r="930" ht="14.4"/>
    <row r="931" ht="14.4"/>
    <row r="932" ht="14.4"/>
    <row r="933" ht="14.4"/>
    <row r="934" ht="14.4"/>
    <row r="935" ht="14.4"/>
    <row r="936" ht="14.4"/>
    <row r="937" ht="14.4"/>
    <row r="938" ht="14.4"/>
    <row r="939" ht="14.4"/>
    <row r="940" ht="14.4"/>
    <row r="941" ht="14.4"/>
    <row r="942" ht="14.4"/>
    <row r="943" ht="14.4"/>
    <row r="944" ht="14.4"/>
    <row r="945" ht="14.4"/>
    <row r="946" ht="14.4"/>
    <row r="947" ht="14.4"/>
    <row r="948" ht="14.4"/>
    <row r="949" ht="14.4"/>
    <row r="950" ht="14.4"/>
    <row r="951" ht="14.4"/>
    <row r="952" ht="14.4"/>
    <row r="953" ht="14.4"/>
    <row r="954" ht="14.4"/>
    <row r="955" ht="14.4"/>
    <row r="956" ht="14.4"/>
    <row r="957" ht="14.4"/>
    <row r="958" ht="14.4"/>
    <row r="959" ht="14.4"/>
    <row r="960" ht="14.4"/>
    <row r="961" ht="14.4"/>
    <row r="962" ht="14.4"/>
    <row r="963" ht="14.4"/>
    <row r="964" ht="14.4"/>
    <row r="965" ht="14.4"/>
    <row r="966" ht="14.4"/>
    <row r="967" ht="14.4"/>
    <row r="968" ht="14.4"/>
    <row r="969" ht="14.4"/>
    <row r="970" ht="14.4"/>
    <row r="971" ht="14.4"/>
    <row r="972" ht="14.4"/>
    <row r="973" ht="14.4"/>
    <row r="974" ht="14.4"/>
    <row r="975" ht="14.4"/>
    <row r="976" ht="14.4"/>
    <row r="977" ht="14.4"/>
    <row r="978" ht="14.4"/>
    <row r="979" ht="14.4"/>
    <row r="980" ht="14.4"/>
    <row r="981" ht="14.4"/>
    <row r="982" ht="14.4"/>
    <row r="983" ht="14.4"/>
    <row r="984" ht="14.4"/>
    <row r="985" ht="14.4"/>
    <row r="986" ht="14.4"/>
    <row r="987" ht="14.4"/>
    <row r="988" ht="14.4"/>
    <row r="989" ht="14.4"/>
    <row r="990" ht="14.4"/>
    <row r="991" ht="14.4"/>
    <row r="992" ht="14.4"/>
    <row r="993" ht="14.4"/>
    <row r="994" ht="14.4"/>
    <row r="995" ht="14.4"/>
    <row r="996" ht="14.4"/>
    <row r="997" ht="14.4"/>
    <row r="998" ht="14.4"/>
    <row r="999" ht="14.4"/>
    <row r="1000" ht="14.4"/>
  </sheetData>
  <mergeCells count="2">
    <mergeCell ref="B6:J6"/>
    <mergeCell ref="L6:T6"/>
  </mergeCells>
  <dataValidations count="1">
    <dataValidation type="list" allowBlank="1" showInputMessage="1" showErrorMessage="1" sqref="C12:C16" xr:uid="{B9232FC6-7DE9-40ED-8DB6-3788AE0C04B4}">
      <formula1>"cost, revenue"</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B019-54EC-4FEE-90AA-A464A4146CB7}">
  <dimension ref="A1:AA1001"/>
  <sheetViews>
    <sheetView zoomScale="72" workbookViewId="0">
      <selection activeCell="AA35" sqref="AA35"/>
    </sheetView>
  </sheetViews>
  <sheetFormatPr defaultColWidth="14.44140625" defaultRowHeight="15" customHeight="1"/>
  <cols>
    <col min="1" max="2" width="8.6640625" customWidth="1"/>
    <col min="3" max="3" width="11.77734375" customWidth="1"/>
    <col min="4" max="4" width="10" customWidth="1"/>
    <col min="5" max="14" width="8.6640625" hidden="1" customWidth="1"/>
    <col min="15" max="15" width="8.6640625" customWidth="1"/>
    <col min="16" max="16" width="9.5546875" customWidth="1"/>
    <col min="17" max="17" width="11.33203125" customWidth="1"/>
    <col min="18" max="27" width="8.6640625" customWidth="1"/>
  </cols>
  <sheetData>
    <row r="1" spans="1:27" ht="14.25" customHeight="1">
      <c r="A1" s="175"/>
      <c r="B1" s="175"/>
      <c r="C1" s="175"/>
      <c r="D1" s="175"/>
      <c r="E1" s="175"/>
      <c r="F1" s="175"/>
      <c r="G1" s="175"/>
      <c r="H1" s="175"/>
      <c r="I1" s="175"/>
      <c r="J1" s="175"/>
      <c r="K1" s="175"/>
      <c r="L1" s="175"/>
      <c r="M1" s="175"/>
      <c r="N1" s="175"/>
      <c r="O1" s="175"/>
      <c r="P1" s="175"/>
      <c r="Q1" s="175"/>
      <c r="R1" s="175"/>
      <c r="S1" s="175"/>
      <c r="T1" s="175"/>
      <c r="U1" s="175"/>
      <c r="V1" s="175"/>
      <c r="W1" s="175"/>
      <c r="X1" s="175"/>
      <c r="Y1" s="175"/>
      <c r="Z1" s="175"/>
      <c r="AA1" s="175"/>
    </row>
    <row r="2" spans="1:27" ht="14.25" customHeight="1">
      <c r="A2" s="175"/>
      <c r="B2" s="175"/>
      <c r="C2" s="175"/>
      <c r="D2" s="175"/>
      <c r="E2" s="175"/>
      <c r="F2" s="175"/>
      <c r="G2" s="175"/>
      <c r="H2" s="175"/>
      <c r="I2" s="175"/>
      <c r="J2" s="175"/>
      <c r="K2" s="175"/>
      <c r="L2" s="175"/>
      <c r="M2" s="175"/>
      <c r="N2" s="175"/>
      <c r="O2" s="175"/>
      <c r="P2" s="175"/>
      <c r="Q2" s="175"/>
      <c r="R2" s="175"/>
      <c r="S2" s="175"/>
      <c r="T2" s="175"/>
      <c r="U2" s="175"/>
      <c r="V2" s="175"/>
      <c r="W2" s="175"/>
      <c r="X2" s="175"/>
      <c r="Y2" s="175"/>
      <c r="Z2" s="175"/>
      <c r="AA2" s="175"/>
    </row>
    <row r="3" spans="1:27" ht="14.25" customHeight="1">
      <c r="A3" s="175"/>
      <c r="B3" s="175"/>
      <c r="C3" s="175"/>
      <c r="D3" s="175"/>
      <c r="E3" s="175"/>
      <c r="F3" s="175"/>
      <c r="G3" s="175"/>
      <c r="H3" s="175"/>
      <c r="I3" s="175"/>
      <c r="J3" s="175"/>
      <c r="K3" s="175"/>
      <c r="L3" s="175"/>
      <c r="M3" s="175"/>
      <c r="N3" s="175"/>
      <c r="O3" s="175"/>
      <c r="P3" s="175"/>
      <c r="Q3" s="175"/>
      <c r="R3" s="175"/>
      <c r="S3" s="175"/>
      <c r="T3" s="175"/>
      <c r="U3" s="175"/>
      <c r="V3" s="175"/>
      <c r="W3" s="175"/>
      <c r="X3" s="175"/>
      <c r="Y3" s="175"/>
      <c r="Z3" s="175"/>
      <c r="AA3" s="175"/>
    </row>
    <row r="4" spans="1:27" ht="14.25" customHeight="1">
      <c r="A4" s="175"/>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row>
    <row r="5" spans="1:27" ht="14.4" customHeight="1">
      <c r="A5" s="175"/>
      <c r="B5" s="175"/>
      <c r="C5" s="175"/>
      <c r="D5" s="175"/>
      <c r="E5" s="175"/>
      <c r="F5" s="175"/>
      <c r="G5" s="175"/>
      <c r="H5" s="175"/>
      <c r="I5" s="175"/>
      <c r="J5" s="175"/>
      <c r="K5" s="175"/>
      <c r="L5" s="175"/>
      <c r="M5" s="175"/>
      <c r="N5" s="175"/>
      <c r="O5" s="175"/>
      <c r="P5" s="175"/>
      <c r="Q5" s="175"/>
      <c r="R5" s="175"/>
      <c r="S5" s="175"/>
      <c r="T5" s="175"/>
      <c r="U5" s="175"/>
      <c r="V5" s="175"/>
      <c r="W5" s="175"/>
      <c r="X5" s="175"/>
      <c r="Y5" s="175"/>
      <c r="Z5" s="175"/>
      <c r="AA5" s="175"/>
    </row>
    <row r="6" spans="1:27" ht="14.4" customHeight="1">
      <c r="A6" s="175"/>
      <c r="B6" s="175"/>
      <c r="C6" s="314" t="s">
        <v>211</v>
      </c>
      <c r="D6" s="314"/>
      <c r="E6" s="314"/>
      <c r="F6" s="314"/>
      <c r="G6" s="314"/>
      <c r="H6" s="175"/>
      <c r="I6" s="175"/>
      <c r="J6" s="175"/>
      <c r="K6" s="175"/>
      <c r="L6" s="175"/>
      <c r="M6" s="175"/>
      <c r="N6" s="175"/>
      <c r="O6" s="175"/>
      <c r="P6" s="175"/>
      <c r="Q6" s="175"/>
      <c r="R6" s="314" t="s">
        <v>212</v>
      </c>
      <c r="S6" s="314"/>
      <c r="T6" s="314"/>
      <c r="U6" s="314"/>
      <c r="V6" s="175"/>
      <c r="W6" s="175"/>
      <c r="X6" s="175"/>
      <c r="Y6" s="175"/>
      <c r="Z6" s="175"/>
      <c r="AA6" s="175"/>
    </row>
    <row r="7" spans="1:27" ht="43.2" customHeight="1">
      <c r="A7" s="175"/>
      <c r="B7" s="175"/>
      <c r="C7" s="175"/>
      <c r="D7" s="175"/>
      <c r="E7" s="175"/>
      <c r="F7" s="175"/>
      <c r="G7" s="175"/>
      <c r="H7" s="175"/>
      <c r="I7" s="175"/>
      <c r="J7" s="175"/>
      <c r="K7" s="175"/>
      <c r="L7" s="175"/>
      <c r="M7" s="175"/>
      <c r="N7" s="175"/>
      <c r="O7" s="175"/>
      <c r="P7" s="175"/>
      <c r="Q7" s="175"/>
      <c r="R7" s="175"/>
      <c r="S7" s="175"/>
      <c r="T7" s="175"/>
      <c r="U7" s="175"/>
      <c r="V7" s="175"/>
      <c r="W7" s="175"/>
      <c r="X7" s="175"/>
      <c r="Y7" s="175"/>
      <c r="Z7" s="175"/>
      <c r="AA7" s="175"/>
    </row>
    <row r="8" spans="1:27" ht="28.8" customHeight="1">
      <c r="A8" s="175"/>
      <c r="B8" s="175"/>
      <c r="D8" s="175"/>
      <c r="E8" s="175"/>
      <c r="F8" s="175"/>
      <c r="G8" s="175"/>
      <c r="H8" s="175"/>
      <c r="I8" s="175"/>
      <c r="J8" s="175"/>
      <c r="K8" s="175"/>
      <c r="L8" s="175"/>
      <c r="M8" s="175"/>
      <c r="N8" s="175"/>
      <c r="O8" s="175"/>
      <c r="Q8" s="175"/>
      <c r="R8" s="175"/>
      <c r="S8" s="175"/>
      <c r="T8" s="175"/>
      <c r="U8" s="175"/>
      <c r="V8" s="175"/>
      <c r="W8" s="175"/>
      <c r="X8" s="175"/>
      <c r="Y8" s="175"/>
      <c r="Z8" s="175"/>
      <c r="AA8" s="175"/>
    </row>
    <row r="9" spans="1:27" ht="28.8" customHeight="1">
      <c r="A9" s="175"/>
      <c r="B9" s="175"/>
      <c r="C9" s="175"/>
      <c r="D9" s="175"/>
      <c r="E9" s="175"/>
      <c r="F9" s="175"/>
      <c r="G9" s="175"/>
      <c r="H9" s="175"/>
      <c r="I9" s="175"/>
      <c r="J9" s="175"/>
      <c r="K9" s="175"/>
      <c r="L9" s="175"/>
      <c r="M9" s="175"/>
      <c r="N9" s="175"/>
      <c r="O9" s="175"/>
      <c r="P9" s="175"/>
      <c r="Q9" s="175"/>
      <c r="R9" s="175"/>
      <c r="S9" s="175"/>
      <c r="T9" s="175"/>
      <c r="U9" s="175"/>
      <c r="V9" s="175"/>
      <c r="W9" s="175"/>
      <c r="X9" s="175"/>
      <c r="Y9" s="175"/>
      <c r="Z9" s="175"/>
      <c r="AA9" s="175"/>
    </row>
    <row r="10" spans="1:27" ht="14.4" customHeight="1">
      <c r="A10" s="175"/>
      <c r="B10" s="175"/>
      <c r="C10" s="175"/>
      <c r="D10" s="175"/>
      <c r="E10" s="175"/>
      <c r="F10" s="175"/>
      <c r="G10" s="175"/>
      <c r="H10" s="175"/>
      <c r="I10" s="175"/>
      <c r="J10" s="175"/>
      <c r="K10" s="175"/>
      <c r="L10" s="175"/>
      <c r="M10" s="175"/>
      <c r="N10" s="175"/>
      <c r="O10" s="175"/>
      <c r="P10" s="175"/>
      <c r="Q10" s="175"/>
      <c r="R10" s="175"/>
      <c r="S10" s="175"/>
      <c r="T10" s="175"/>
      <c r="U10" s="175"/>
      <c r="V10" s="175"/>
      <c r="W10" s="175"/>
      <c r="X10" s="175"/>
      <c r="Y10" s="175"/>
      <c r="Z10" s="175"/>
      <c r="AA10" s="175"/>
    </row>
    <row r="11" spans="1:27" ht="14.25" customHeight="1">
      <c r="A11" s="175"/>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5"/>
      <c r="AA11" s="175"/>
    </row>
    <row r="12" spans="1:27" ht="14.4" customHeight="1">
      <c r="A12" s="175"/>
      <c r="B12" s="175"/>
      <c r="C12" s="175"/>
      <c r="D12" s="175"/>
      <c r="E12" s="175"/>
      <c r="F12" s="175"/>
      <c r="G12" s="175"/>
      <c r="H12" s="175"/>
      <c r="I12" s="175"/>
      <c r="J12" s="175"/>
      <c r="K12" s="175"/>
      <c r="L12" s="175"/>
      <c r="M12" s="175"/>
      <c r="N12" s="175"/>
      <c r="O12" s="175"/>
      <c r="P12" s="175"/>
      <c r="Q12" s="175"/>
      <c r="R12" s="175"/>
      <c r="S12" s="175"/>
      <c r="T12" s="175"/>
      <c r="U12" s="175"/>
      <c r="V12" s="175"/>
      <c r="W12" s="175"/>
      <c r="X12" s="175"/>
      <c r="Y12" s="175"/>
      <c r="Z12" s="175"/>
      <c r="AA12" s="175"/>
    </row>
    <row r="13" spans="1:27" ht="14.25" customHeight="1">
      <c r="A13" s="175"/>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row>
    <row r="14" spans="1:27" ht="14.25" customHeight="1">
      <c r="A14" s="175"/>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row>
    <row r="15" spans="1:27" ht="14.25" customHeight="1">
      <c r="A15" s="175"/>
      <c r="B15" s="175"/>
      <c r="C15" s="175"/>
      <c r="D15" s="175"/>
      <c r="E15" s="175"/>
      <c r="F15" s="175"/>
      <c r="G15" s="175"/>
      <c r="H15" s="175"/>
      <c r="I15" s="175"/>
      <c r="J15" s="175"/>
      <c r="K15" s="175"/>
      <c r="L15" s="175"/>
      <c r="M15" s="175"/>
      <c r="N15" s="175"/>
      <c r="O15" s="175"/>
      <c r="P15" s="175"/>
      <c r="Q15" s="175"/>
      <c r="R15" s="175"/>
      <c r="S15" s="175"/>
      <c r="T15" s="175"/>
      <c r="U15" s="175"/>
      <c r="V15" s="175"/>
      <c r="W15" s="175"/>
      <c r="X15" s="175"/>
      <c r="Y15" s="175"/>
      <c r="Z15" s="175"/>
      <c r="AA15" s="175"/>
    </row>
    <row r="16" spans="1:27" ht="14.25" customHeight="1">
      <c r="A16" s="175"/>
      <c r="B16" s="175"/>
      <c r="C16" s="175"/>
      <c r="D16" s="175"/>
      <c r="E16" s="175"/>
      <c r="F16" s="175"/>
      <c r="G16" s="175"/>
      <c r="H16" s="175"/>
      <c r="I16" s="175"/>
      <c r="J16" s="175"/>
      <c r="K16" s="175"/>
      <c r="L16" s="175"/>
      <c r="M16" s="175"/>
      <c r="N16" s="175"/>
      <c r="O16" s="175"/>
      <c r="P16" s="175"/>
      <c r="Q16" s="175"/>
      <c r="R16" s="175"/>
      <c r="S16" s="175"/>
      <c r="T16" s="175"/>
      <c r="U16" s="175"/>
      <c r="V16" s="175"/>
      <c r="W16" s="175"/>
      <c r="X16" s="175"/>
      <c r="Y16" s="175"/>
      <c r="Z16" s="175"/>
      <c r="AA16" s="175"/>
    </row>
    <row r="17" spans="1:27" ht="14.25" customHeight="1">
      <c r="A17" s="175"/>
      <c r="B17" s="175"/>
      <c r="C17" s="175"/>
      <c r="D17" s="175"/>
      <c r="E17" s="175"/>
      <c r="F17" s="175"/>
      <c r="G17" s="175"/>
      <c r="H17" s="175"/>
      <c r="I17" s="175"/>
      <c r="J17" s="175"/>
      <c r="K17" s="175"/>
      <c r="L17" s="175"/>
      <c r="M17" s="175"/>
      <c r="N17" s="175"/>
      <c r="O17" s="175"/>
      <c r="P17" s="175"/>
      <c r="Q17" s="175"/>
      <c r="R17" s="175"/>
      <c r="S17" s="175"/>
      <c r="T17" s="175"/>
      <c r="U17" s="175"/>
      <c r="V17" s="175"/>
      <c r="W17" s="175"/>
      <c r="X17" s="175"/>
      <c r="Y17" s="175"/>
      <c r="Z17" s="175"/>
      <c r="AA17" s="175"/>
    </row>
    <row r="18" spans="1:27" ht="14.25" customHeight="1">
      <c r="A18" s="175"/>
      <c r="B18" s="175"/>
      <c r="C18" s="175"/>
      <c r="D18" s="175"/>
      <c r="E18" s="175"/>
      <c r="F18" s="175"/>
      <c r="G18" s="175"/>
      <c r="H18" s="175"/>
      <c r="I18" s="175"/>
      <c r="J18" s="175"/>
      <c r="K18" s="175"/>
      <c r="L18" s="175"/>
      <c r="M18" s="175"/>
      <c r="N18" s="175"/>
      <c r="O18" s="175"/>
      <c r="P18" s="175"/>
      <c r="Q18" s="175"/>
      <c r="R18" s="175"/>
      <c r="S18" s="175"/>
      <c r="T18" s="175"/>
      <c r="U18" s="175"/>
      <c r="V18" s="175"/>
      <c r="W18" s="175"/>
      <c r="X18" s="175"/>
      <c r="Y18" s="175"/>
      <c r="Z18" s="175"/>
      <c r="AA18" s="175"/>
    </row>
    <row r="19" spans="1:27" ht="14.25" customHeight="1">
      <c r="A19" s="175"/>
      <c r="B19" s="175"/>
      <c r="C19" s="316" t="s">
        <v>213</v>
      </c>
      <c r="D19" s="316"/>
      <c r="E19" s="316"/>
      <c r="F19" s="316"/>
      <c r="G19" s="316"/>
      <c r="H19" s="316"/>
      <c r="I19" s="316"/>
      <c r="J19" s="316"/>
      <c r="K19" s="316"/>
      <c r="L19" s="316"/>
      <c r="M19" s="316"/>
      <c r="N19" s="316"/>
      <c r="O19" s="316"/>
      <c r="P19" s="316"/>
      <c r="Q19" s="316"/>
      <c r="R19" s="175"/>
      <c r="S19" s="175"/>
      <c r="T19" s="175"/>
      <c r="U19" s="175"/>
      <c r="V19" s="175"/>
      <c r="W19" s="175"/>
      <c r="X19" s="175"/>
      <c r="Y19" s="175"/>
      <c r="Z19" s="175"/>
      <c r="AA19" s="175"/>
    </row>
    <row r="20" spans="1:27" ht="17.399999999999999" customHeight="1">
      <c r="A20" s="175"/>
      <c r="B20" s="175"/>
      <c r="C20" s="315" t="s">
        <v>262</v>
      </c>
      <c r="D20" s="315"/>
      <c r="E20" s="175"/>
      <c r="F20" s="175"/>
      <c r="G20" s="175"/>
      <c r="H20" s="175"/>
      <c r="I20" s="175"/>
      <c r="J20" s="175"/>
      <c r="K20" s="175"/>
      <c r="L20" s="175"/>
      <c r="M20" s="175"/>
      <c r="N20" s="175"/>
      <c r="O20" s="175"/>
      <c r="P20" s="315" t="s">
        <v>263</v>
      </c>
      <c r="Q20" s="315"/>
      <c r="R20" s="175"/>
      <c r="S20" s="175"/>
      <c r="T20" s="175"/>
      <c r="U20" s="175"/>
      <c r="V20" s="175"/>
      <c r="W20" s="175"/>
      <c r="X20" s="175"/>
      <c r="Y20" s="175"/>
      <c r="Z20" s="175"/>
      <c r="AA20" s="175"/>
    </row>
    <row r="21" spans="1:27" ht="14.25" customHeight="1">
      <c r="A21" s="175"/>
      <c r="B21" s="175"/>
      <c r="C21" s="176"/>
      <c r="D21" s="176"/>
      <c r="E21" s="175"/>
      <c r="F21" s="175"/>
      <c r="G21" s="175"/>
      <c r="H21" s="175"/>
      <c r="I21" s="175"/>
      <c r="J21" s="175"/>
      <c r="K21" s="175"/>
      <c r="L21" s="175"/>
      <c r="M21" s="175"/>
      <c r="N21" s="175"/>
      <c r="O21" s="175"/>
      <c r="P21" s="176"/>
      <c r="Q21" s="176"/>
      <c r="R21" s="175"/>
      <c r="S21" s="175"/>
      <c r="T21" s="175"/>
      <c r="U21" s="175"/>
      <c r="V21" s="175"/>
      <c r="W21" s="175"/>
      <c r="X21" s="175"/>
      <c r="Y21" s="175"/>
      <c r="Z21" s="175"/>
      <c r="AA21" s="175"/>
    </row>
    <row r="22" spans="1:27" ht="14.25" customHeight="1">
      <c r="A22" s="175"/>
      <c r="B22" s="175"/>
      <c r="C22" s="176" t="s">
        <v>198</v>
      </c>
      <c r="D22" s="177">
        <v>634.54999999999995</v>
      </c>
      <c r="E22" s="175"/>
      <c r="F22" s="175"/>
      <c r="G22" s="175"/>
      <c r="H22" s="175"/>
      <c r="I22" s="175"/>
      <c r="J22" s="175"/>
      <c r="K22" s="175"/>
      <c r="L22" s="175"/>
      <c r="M22" s="175"/>
      <c r="N22" s="175"/>
      <c r="O22" s="175"/>
      <c r="P22" s="176" t="s">
        <v>198</v>
      </c>
      <c r="Q22" s="177">
        <v>981.8</v>
      </c>
      <c r="R22" s="175"/>
      <c r="S22" s="175"/>
      <c r="T22" s="175"/>
      <c r="U22" s="175"/>
      <c r="V22" s="175"/>
      <c r="W22" s="175"/>
      <c r="X22" s="175"/>
      <c r="Y22" s="175"/>
      <c r="Z22" s="175"/>
      <c r="AA22" s="175"/>
    </row>
    <row r="23" spans="1:27" ht="14.25" customHeight="1">
      <c r="A23" s="175"/>
      <c r="B23" s="175"/>
      <c r="C23" s="176" t="s">
        <v>199</v>
      </c>
      <c r="D23" s="177">
        <v>8.5050000000000008</v>
      </c>
      <c r="E23" s="175"/>
      <c r="F23" s="175"/>
      <c r="G23" s="175"/>
      <c r="H23" s="175"/>
      <c r="I23" s="175"/>
      <c r="J23" s="175"/>
      <c r="K23" s="175"/>
      <c r="L23" s="175"/>
      <c r="M23" s="175"/>
      <c r="N23" s="175"/>
      <c r="O23" s="175"/>
      <c r="P23" s="176" t="s">
        <v>199</v>
      </c>
      <c r="Q23" s="177">
        <v>5.67</v>
      </c>
      <c r="R23" s="175"/>
      <c r="S23" s="175"/>
      <c r="T23" s="175"/>
      <c r="U23" s="175"/>
      <c r="V23" s="175"/>
      <c r="W23" s="175"/>
      <c r="X23" s="175"/>
      <c r="Y23" s="175"/>
      <c r="Z23" s="175"/>
      <c r="AA23" s="175"/>
    </row>
    <row r="24" spans="1:27" ht="14.25" customHeight="1">
      <c r="A24" s="175"/>
      <c r="B24" s="175"/>
      <c r="C24" s="176" t="s">
        <v>214</v>
      </c>
      <c r="D24" s="177">
        <v>22.68</v>
      </c>
      <c r="E24" s="175"/>
      <c r="F24" s="175"/>
      <c r="G24" s="175"/>
      <c r="H24" s="175"/>
      <c r="I24" s="175"/>
      <c r="J24" s="175"/>
      <c r="K24" s="175"/>
      <c r="L24" s="175"/>
      <c r="M24" s="175"/>
      <c r="N24" s="175"/>
      <c r="O24" s="175"/>
      <c r="P24" s="176" t="s">
        <v>214</v>
      </c>
      <c r="Q24" s="177">
        <v>11.34</v>
      </c>
      <c r="R24" s="175"/>
      <c r="S24" s="175"/>
      <c r="T24" s="175"/>
      <c r="U24" s="175"/>
      <c r="V24" s="175"/>
      <c r="W24" s="175"/>
      <c r="X24" s="175"/>
      <c r="Y24" s="175"/>
      <c r="Z24" s="175"/>
      <c r="AA24" s="175"/>
    </row>
    <row r="25" spans="1:27" ht="14.25" customHeight="1">
      <c r="A25" s="175"/>
      <c r="B25" s="175"/>
      <c r="C25" s="176" t="s">
        <v>201</v>
      </c>
      <c r="D25" s="177">
        <v>76.33</v>
      </c>
      <c r="E25" s="175"/>
      <c r="F25" s="175"/>
      <c r="G25" s="175"/>
      <c r="H25" s="175"/>
      <c r="I25" s="175"/>
      <c r="J25" s="175"/>
      <c r="K25" s="175"/>
      <c r="L25" s="175"/>
      <c r="M25" s="175"/>
      <c r="N25" s="175"/>
      <c r="O25" s="175"/>
      <c r="P25" s="176" t="s">
        <v>201</v>
      </c>
      <c r="Q25" s="177">
        <v>76.33</v>
      </c>
      <c r="R25" s="175"/>
      <c r="S25" s="175"/>
      <c r="T25" s="175"/>
      <c r="U25" s="175"/>
      <c r="V25" s="175"/>
      <c r="W25" s="175"/>
      <c r="X25" s="175"/>
      <c r="Y25" s="175"/>
      <c r="Z25" s="175"/>
      <c r="AA25" s="175"/>
    </row>
    <row r="26" spans="1:27" ht="14.25" customHeight="1">
      <c r="A26" s="175"/>
      <c r="B26" s="175"/>
      <c r="C26" s="176"/>
      <c r="D26" s="176"/>
      <c r="E26" s="175"/>
      <c r="F26" s="175"/>
      <c r="G26" s="175"/>
      <c r="H26" s="175"/>
      <c r="I26" s="175"/>
      <c r="J26" s="175"/>
      <c r="K26" s="175"/>
      <c r="L26" s="175"/>
      <c r="M26" s="175"/>
      <c r="N26" s="175"/>
      <c r="O26" s="175"/>
      <c r="P26" s="176"/>
      <c r="Q26" s="176"/>
      <c r="R26" s="175"/>
      <c r="S26" s="175"/>
      <c r="T26" s="175"/>
      <c r="U26" s="175"/>
      <c r="V26" s="175"/>
      <c r="W26" s="175"/>
      <c r="X26" s="175"/>
      <c r="Y26" s="175"/>
      <c r="Z26" s="175"/>
      <c r="AA26" s="175"/>
    </row>
    <row r="27" spans="1:27" ht="14.25" customHeight="1">
      <c r="A27" s="175"/>
      <c r="B27" s="175"/>
      <c r="C27" s="176" t="s">
        <v>215</v>
      </c>
      <c r="D27" s="177">
        <v>10.53</v>
      </c>
      <c r="E27" s="175"/>
      <c r="F27" s="175"/>
      <c r="G27" s="175"/>
      <c r="H27" s="175"/>
      <c r="I27" s="175"/>
      <c r="J27" s="175"/>
      <c r="K27" s="175"/>
      <c r="L27" s="175"/>
      <c r="M27" s="175"/>
      <c r="N27" s="175"/>
      <c r="O27" s="175"/>
      <c r="P27" s="176" t="s">
        <v>215</v>
      </c>
      <c r="Q27" s="177">
        <v>14.36</v>
      </c>
      <c r="R27" s="175"/>
      <c r="S27" s="175"/>
      <c r="T27" s="175"/>
      <c r="U27" s="175"/>
      <c r="V27" s="175"/>
      <c r="W27" s="175"/>
      <c r="X27" s="175"/>
      <c r="Y27" s="175"/>
      <c r="Z27" s="175"/>
      <c r="AA27" s="175"/>
    </row>
    <row r="28" spans="1:27" ht="14.25" customHeight="1">
      <c r="A28" s="175"/>
      <c r="B28" s="175"/>
      <c r="C28" s="176" t="s">
        <v>216</v>
      </c>
      <c r="D28" s="177">
        <v>0</v>
      </c>
      <c r="E28" s="175"/>
      <c r="F28" s="175"/>
      <c r="G28" s="175"/>
      <c r="H28" s="175"/>
      <c r="I28" s="175"/>
      <c r="J28" s="175"/>
      <c r="K28" s="175"/>
      <c r="L28" s="175"/>
      <c r="M28" s="175"/>
      <c r="N28" s="175"/>
      <c r="O28" s="175"/>
      <c r="P28" s="176" t="s">
        <v>216</v>
      </c>
      <c r="Q28" s="177">
        <v>0</v>
      </c>
      <c r="R28" s="175"/>
      <c r="S28" s="175"/>
      <c r="T28" s="175"/>
      <c r="U28" s="175"/>
      <c r="V28" s="175"/>
      <c r="W28" s="175"/>
      <c r="X28" s="175"/>
      <c r="Y28" s="175"/>
      <c r="Z28" s="175"/>
      <c r="AA28" s="175"/>
    </row>
    <row r="29" spans="1:27" s="175" customFormat="1" ht="14.25" customHeight="1"/>
    <row r="30" spans="1:27" ht="13.8" customHeight="1">
      <c r="A30" s="175"/>
      <c r="B30" s="175"/>
      <c r="C30" s="316" t="s">
        <v>267</v>
      </c>
      <c r="D30" s="316"/>
      <c r="E30" s="316"/>
      <c r="F30" s="316"/>
      <c r="G30" s="316"/>
      <c r="H30" s="316"/>
      <c r="I30" s="316"/>
      <c r="J30" s="316"/>
      <c r="K30" s="316"/>
      <c r="L30" s="316"/>
      <c r="M30" s="316"/>
      <c r="N30" s="316"/>
      <c r="O30" s="316"/>
      <c r="P30" s="316"/>
      <c r="Q30" s="316"/>
      <c r="R30" s="175"/>
      <c r="S30" s="175"/>
      <c r="T30" s="175"/>
      <c r="U30" s="175"/>
      <c r="V30" s="175"/>
      <c r="W30" s="175"/>
      <c r="X30" s="175"/>
      <c r="Y30" s="175"/>
      <c r="Z30" s="175"/>
      <c r="AA30" s="175"/>
    </row>
    <row r="31" spans="1:27" ht="14.25" customHeight="1">
      <c r="A31" s="175"/>
      <c r="B31" s="175"/>
      <c r="C31" s="315" t="s">
        <v>262</v>
      </c>
      <c r="D31" s="315"/>
      <c r="E31" s="175"/>
      <c r="F31" s="175"/>
      <c r="G31" s="175"/>
      <c r="H31" s="175"/>
      <c r="I31" s="175"/>
      <c r="J31" s="175"/>
      <c r="K31" s="175"/>
      <c r="L31" s="175"/>
      <c r="M31" s="175"/>
      <c r="N31" s="175"/>
      <c r="O31" s="175"/>
      <c r="P31" s="315" t="s">
        <v>263</v>
      </c>
      <c r="Q31" s="315"/>
      <c r="R31" s="175"/>
      <c r="S31" s="175"/>
      <c r="T31" s="175"/>
      <c r="U31" s="175"/>
      <c r="V31" s="175"/>
      <c r="W31" s="175"/>
      <c r="X31" s="175"/>
      <c r="Y31" s="175"/>
      <c r="Z31" s="175"/>
      <c r="AA31" s="175"/>
    </row>
    <row r="32" spans="1:27" ht="14.25" customHeight="1">
      <c r="A32" s="175"/>
      <c r="B32" s="175"/>
      <c r="C32" s="176" t="s">
        <v>264</v>
      </c>
      <c r="D32" s="176" t="s">
        <v>265</v>
      </c>
      <c r="E32" s="175"/>
      <c r="F32" s="175"/>
      <c r="G32" s="175"/>
      <c r="H32" s="175"/>
      <c r="I32" s="175"/>
      <c r="J32" s="175"/>
      <c r="K32" s="175"/>
      <c r="L32" s="175"/>
      <c r="M32" s="175"/>
      <c r="N32" s="175"/>
      <c r="O32" s="175"/>
      <c r="P32" s="176" t="s">
        <v>264</v>
      </c>
      <c r="Q32" s="176" t="s">
        <v>265</v>
      </c>
      <c r="R32" s="175"/>
      <c r="S32" s="175"/>
      <c r="T32" s="175"/>
      <c r="U32" s="175"/>
      <c r="V32" s="175"/>
      <c r="W32" s="175"/>
      <c r="X32" s="175"/>
      <c r="Y32" s="175"/>
      <c r="Z32" s="175"/>
      <c r="AA32" s="175"/>
    </row>
    <row r="33" spans="1:27" ht="14.25" customHeight="1">
      <c r="A33" s="175"/>
      <c r="B33" s="175"/>
      <c r="C33" s="177">
        <v>0</v>
      </c>
      <c r="D33" s="177">
        <v>-634.54999999999995</v>
      </c>
      <c r="E33" s="175"/>
      <c r="F33" s="175"/>
      <c r="G33" s="175"/>
      <c r="H33" s="175"/>
      <c r="I33" s="175"/>
      <c r="J33" s="175"/>
      <c r="K33" s="175"/>
      <c r="L33" s="175"/>
      <c r="M33" s="175"/>
      <c r="N33" s="175"/>
      <c r="O33" s="175"/>
      <c r="P33" s="177">
        <v>0</v>
      </c>
      <c r="Q33" s="177">
        <v>-981.8</v>
      </c>
      <c r="R33" s="175"/>
      <c r="S33" s="175"/>
      <c r="T33" s="175"/>
      <c r="U33" s="175"/>
      <c r="V33" s="175"/>
      <c r="W33" s="175"/>
      <c r="X33" s="175"/>
      <c r="Y33" s="175"/>
      <c r="Z33" s="175"/>
      <c r="AA33" s="175"/>
    </row>
    <row r="34" spans="1:27" ht="14.25" customHeight="1">
      <c r="A34" s="175"/>
      <c r="B34" s="175"/>
      <c r="C34" s="177">
        <v>1</v>
      </c>
      <c r="D34" s="177">
        <v>67.819999999999993</v>
      </c>
      <c r="E34" s="175"/>
      <c r="F34" s="175"/>
      <c r="G34" s="175"/>
      <c r="H34" s="175"/>
      <c r="I34" s="175"/>
      <c r="J34" s="175"/>
      <c r="K34" s="175"/>
      <c r="L34" s="175"/>
      <c r="M34" s="175"/>
      <c r="N34" s="175"/>
      <c r="O34" s="175"/>
      <c r="P34" s="177">
        <v>1</v>
      </c>
      <c r="Q34" s="177">
        <v>70.66</v>
      </c>
      <c r="R34" s="175"/>
      <c r="S34" s="175"/>
      <c r="T34" s="175"/>
      <c r="U34" s="175"/>
      <c r="V34" s="175"/>
      <c r="W34" s="175"/>
      <c r="X34" s="175"/>
      <c r="Y34" s="175"/>
      <c r="Z34" s="175"/>
      <c r="AA34" s="175"/>
    </row>
    <row r="35" spans="1:27" ht="14.25" customHeight="1">
      <c r="A35" s="175"/>
      <c r="B35" s="175"/>
      <c r="C35" s="177">
        <v>2</v>
      </c>
      <c r="D35" s="177">
        <v>67.819999999999993</v>
      </c>
      <c r="E35" s="175"/>
      <c r="F35" s="175"/>
      <c r="G35" s="175"/>
      <c r="H35" s="175"/>
      <c r="I35" s="175"/>
      <c r="J35" s="175"/>
      <c r="K35" s="175"/>
      <c r="L35" s="175"/>
      <c r="M35" s="175"/>
      <c r="N35" s="175"/>
      <c r="O35" s="175"/>
      <c r="P35" s="177">
        <v>2</v>
      </c>
      <c r="Q35" s="177">
        <v>70.66</v>
      </c>
      <c r="R35" s="175"/>
      <c r="S35" s="175"/>
      <c r="T35" s="175"/>
      <c r="U35" s="175"/>
      <c r="V35" s="175"/>
      <c r="W35" s="175"/>
      <c r="X35" s="175"/>
      <c r="Y35" s="175"/>
      <c r="Z35" s="175"/>
      <c r="AA35" s="175"/>
    </row>
    <row r="36" spans="1:27" ht="14.25" customHeight="1">
      <c r="A36" s="175"/>
      <c r="B36" s="175"/>
      <c r="C36" s="177">
        <v>3</v>
      </c>
      <c r="D36" s="177">
        <v>45.14</v>
      </c>
      <c r="E36" s="175"/>
      <c r="F36" s="175"/>
      <c r="G36" s="175"/>
      <c r="H36" s="175"/>
      <c r="I36" s="175"/>
      <c r="J36" s="175"/>
      <c r="K36" s="175"/>
      <c r="L36" s="175"/>
      <c r="M36" s="175"/>
      <c r="N36" s="175"/>
      <c r="O36" s="175"/>
      <c r="P36" s="177">
        <v>3</v>
      </c>
      <c r="Q36" s="177">
        <v>70.66</v>
      </c>
      <c r="R36" s="175"/>
      <c r="S36" s="175"/>
      <c r="T36" s="175"/>
      <c r="U36" s="175"/>
      <c r="V36" s="175"/>
      <c r="W36" s="175"/>
      <c r="X36" s="175"/>
      <c r="Y36" s="175"/>
      <c r="Z36" s="175"/>
      <c r="AA36" s="175"/>
    </row>
    <row r="37" spans="1:27" ht="14.25" customHeight="1">
      <c r="A37" s="175"/>
      <c r="B37" s="175"/>
      <c r="C37" s="177">
        <v>4</v>
      </c>
      <c r="D37" s="177">
        <v>67.819999999999993</v>
      </c>
      <c r="E37" s="175"/>
      <c r="F37" s="175"/>
      <c r="G37" s="175"/>
      <c r="H37" s="175"/>
      <c r="I37" s="175"/>
      <c r="J37" s="175"/>
      <c r="K37" s="175"/>
      <c r="L37" s="175"/>
      <c r="M37" s="175"/>
      <c r="N37" s="175"/>
      <c r="O37" s="175"/>
      <c r="P37" s="177">
        <v>4</v>
      </c>
      <c r="Q37" s="177">
        <v>70.66</v>
      </c>
      <c r="R37" s="175"/>
      <c r="S37" s="175"/>
      <c r="T37" s="175"/>
      <c r="U37" s="175"/>
      <c r="V37" s="175"/>
      <c r="W37" s="175"/>
      <c r="X37" s="175"/>
      <c r="Y37" s="175"/>
      <c r="Z37" s="175"/>
      <c r="AA37" s="175"/>
    </row>
    <row r="38" spans="1:27" ht="14.25" customHeight="1">
      <c r="A38" s="175"/>
      <c r="B38" s="175"/>
      <c r="C38" s="177">
        <v>5</v>
      </c>
      <c r="D38" s="177">
        <v>67.819999999999993</v>
      </c>
      <c r="E38" s="175"/>
      <c r="F38" s="175"/>
      <c r="G38" s="175"/>
      <c r="H38" s="175"/>
      <c r="I38" s="175"/>
      <c r="J38" s="175"/>
      <c r="K38" s="175"/>
      <c r="L38" s="175"/>
      <c r="M38" s="175"/>
      <c r="N38" s="175"/>
      <c r="O38" s="175"/>
      <c r="P38" s="177">
        <v>5</v>
      </c>
      <c r="Q38" s="177">
        <v>59.32</v>
      </c>
      <c r="R38" s="175"/>
      <c r="S38" s="175"/>
      <c r="T38" s="175"/>
      <c r="U38" s="175"/>
      <c r="V38" s="175"/>
      <c r="W38" s="175"/>
      <c r="X38" s="175"/>
      <c r="Y38" s="175"/>
      <c r="Z38" s="175"/>
      <c r="AA38" s="175"/>
    </row>
    <row r="39" spans="1:27" ht="14.25" customHeight="1">
      <c r="A39" s="175"/>
      <c r="B39" s="175"/>
      <c r="C39" s="177">
        <v>6</v>
      </c>
      <c r="D39" s="177">
        <v>45.14</v>
      </c>
      <c r="E39" s="175"/>
      <c r="F39" s="175"/>
      <c r="G39" s="175"/>
      <c r="H39" s="175"/>
      <c r="I39" s="175"/>
      <c r="J39" s="175"/>
      <c r="K39" s="175"/>
      <c r="L39" s="175"/>
      <c r="M39" s="175"/>
      <c r="N39" s="175"/>
      <c r="O39" s="175"/>
      <c r="P39" s="177">
        <v>6</v>
      </c>
      <c r="Q39" s="177">
        <v>70.66</v>
      </c>
      <c r="R39" s="175"/>
      <c r="S39" s="175"/>
      <c r="T39" s="175"/>
      <c r="U39" s="175"/>
      <c r="V39" s="175"/>
      <c r="W39" s="175"/>
      <c r="X39" s="175"/>
      <c r="Y39" s="175"/>
      <c r="Z39" s="175"/>
      <c r="AA39" s="175"/>
    </row>
    <row r="40" spans="1:27" ht="14.25" customHeight="1">
      <c r="A40" s="175"/>
      <c r="B40" s="175"/>
      <c r="C40" s="177">
        <v>7</v>
      </c>
      <c r="D40" s="177">
        <v>67.819999999999993</v>
      </c>
      <c r="E40" s="175"/>
      <c r="F40" s="175"/>
      <c r="G40" s="175"/>
      <c r="H40" s="175"/>
      <c r="I40" s="175"/>
      <c r="J40" s="175"/>
      <c r="K40" s="175"/>
      <c r="L40" s="175"/>
      <c r="M40" s="175"/>
      <c r="N40" s="175"/>
      <c r="O40" s="175"/>
      <c r="P40" s="177">
        <v>7</v>
      </c>
      <c r="Q40" s="177">
        <v>70.66</v>
      </c>
      <c r="R40" s="175"/>
      <c r="S40" s="175"/>
      <c r="T40" s="175"/>
      <c r="U40" s="175"/>
      <c r="V40" s="175"/>
      <c r="W40" s="175"/>
      <c r="X40" s="175"/>
      <c r="Y40" s="175"/>
      <c r="Z40" s="175"/>
      <c r="AA40" s="175"/>
    </row>
    <row r="41" spans="1:27" ht="14.25" customHeight="1">
      <c r="A41" s="175"/>
      <c r="B41" s="175"/>
      <c r="C41" s="177">
        <v>8</v>
      </c>
      <c r="D41" s="177">
        <v>67.819999999999993</v>
      </c>
      <c r="E41" s="175"/>
      <c r="F41" s="175"/>
      <c r="G41" s="175"/>
      <c r="H41" s="175"/>
      <c r="I41" s="175"/>
      <c r="J41" s="175"/>
      <c r="K41" s="175"/>
      <c r="L41" s="175"/>
      <c r="M41" s="175"/>
      <c r="N41" s="175"/>
      <c r="O41" s="175"/>
      <c r="P41" s="177">
        <v>8</v>
      </c>
      <c r="Q41" s="177">
        <v>70.66</v>
      </c>
      <c r="R41" s="175"/>
      <c r="S41" s="175"/>
      <c r="T41" s="175"/>
      <c r="U41" s="175"/>
      <c r="V41" s="175"/>
      <c r="W41" s="175"/>
      <c r="X41" s="175"/>
      <c r="Y41" s="175"/>
      <c r="Z41" s="175"/>
      <c r="AA41" s="175"/>
    </row>
    <row r="42" spans="1:27" ht="14.25" customHeight="1">
      <c r="A42" s="175"/>
      <c r="B42" s="175"/>
      <c r="C42" s="177">
        <v>9</v>
      </c>
      <c r="D42" s="177">
        <v>45.14</v>
      </c>
      <c r="E42" s="175"/>
      <c r="F42" s="175"/>
      <c r="G42" s="175"/>
      <c r="H42" s="175"/>
      <c r="I42" s="175"/>
      <c r="J42" s="175"/>
      <c r="K42" s="175"/>
      <c r="L42" s="175"/>
      <c r="M42" s="175"/>
      <c r="N42" s="175"/>
      <c r="O42" s="175"/>
      <c r="P42" s="177">
        <v>9</v>
      </c>
      <c r="Q42" s="177">
        <v>70.66</v>
      </c>
      <c r="R42" s="175"/>
      <c r="S42" s="175"/>
      <c r="T42" s="175"/>
      <c r="U42" s="175"/>
      <c r="V42" s="175"/>
      <c r="W42" s="175"/>
      <c r="X42" s="175"/>
      <c r="Y42" s="175"/>
      <c r="Z42" s="175"/>
      <c r="AA42" s="175"/>
    </row>
    <row r="43" spans="1:27" ht="14.25" customHeight="1">
      <c r="A43" s="175"/>
      <c r="B43" s="175"/>
      <c r="C43" s="177">
        <v>10</v>
      </c>
      <c r="D43" s="177">
        <v>67.819999999999993</v>
      </c>
      <c r="E43" s="175"/>
      <c r="F43" s="175"/>
      <c r="G43" s="175"/>
      <c r="H43" s="175"/>
      <c r="I43" s="175"/>
      <c r="J43" s="175"/>
      <c r="K43" s="175"/>
      <c r="L43" s="175"/>
      <c r="M43" s="175"/>
      <c r="N43" s="175"/>
      <c r="O43" s="175"/>
      <c r="P43" s="177">
        <v>10</v>
      </c>
      <c r="Q43" s="177">
        <v>59.32</v>
      </c>
      <c r="R43" s="175"/>
      <c r="S43" s="175"/>
      <c r="T43" s="175"/>
      <c r="U43" s="175"/>
      <c r="V43" s="175"/>
      <c r="W43" s="175"/>
      <c r="X43" s="175"/>
      <c r="Y43" s="175"/>
      <c r="Z43" s="175"/>
      <c r="AA43" s="175"/>
    </row>
    <row r="44" spans="1:27" ht="14.25" customHeight="1">
      <c r="A44" s="175"/>
      <c r="B44" s="175"/>
      <c r="C44" s="177">
        <v>11</v>
      </c>
      <c r="D44" s="177">
        <v>67.819999999999993</v>
      </c>
      <c r="E44" s="175"/>
      <c r="F44" s="175"/>
      <c r="G44" s="175"/>
      <c r="H44" s="175"/>
      <c r="I44" s="175"/>
      <c r="J44" s="175"/>
      <c r="K44" s="175"/>
      <c r="L44" s="175"/>
      <c r="M44" s="175"/>
      <c r="N44" s="175"/>
      <c r="O44" s="175"/>
      <c r="P44" s="177">
        <v>11</v>
      </c>
      <c r="Q44" s="177">
        <v>70.66</v>
      </c>
      <c r="R44" s="175"/>
      <c r="S44" s="175"/>
      <c r="T44" s="175"/>
      <c r="U44" s="175"/>
      <c r="V44" s="175"/>
      <c r="W44" s="175"/>
      <c r="X44" s="175"/>
      <c r="Y44" s="175"/>
      <c r="Z44" s="175"/>
      <c r="AA44" s="175"/>
    </row>
    <row r="45" spans="1:27" ht="14.25" customHeight="1">
      <c r="A45" s="175"/>
      <c r="B45" s="175"/>
      <c r="C45" s="177">
        <v>12</v>
      </c>
      <c r="D45" s="177">
        <v>45.14</v>
      </c>
      <c r="E45" s="175"/>
      <c r="F45" s="175"/>
      <c r="G45" s="175"/>
      <c r="H45" s="175"/>
      <c r="I45" s="175"/>
      <c r="J45" s="175"/>
      <c r="K45" s="175"/>
      <c r="L45" s="175"/>
      <c r="M45" s="175"/>
      <c r="N45" s="175"/>
      <c r="O45" s="175"/>
      <c r="P45" s="177">
        <v>12</v>
      </c>
      <c r="Q45" s="177">
        <v>70.66</v>
      </c>
      <c r="R45" s="175"/>
      <c r="S45" s="175"/>
      <c r="T45" s="175"/>
      <c r="U45" s="175"/>
      <c r="V45" s="175"/>
      <c r="W45" s="175"/>
      <c r="X45" s="175"/>
      <c r="Y45" s="175"/>
      <c r="Z45" s="175"/>
      <c r="AA45" s="175"/>
    </row>
    <row r="46" spans="1:27" ht="14.25" customHeight="1">
      <c r="A46" s="175"/>
      <c r="B46" s="175"/>
      <c r="C46" s="177">
        <v>13</v>
      </c>
      <c r="D46" s="177">
        <v>67.819999999999993</v>
      </c>
      <c r="E46" s="175"/>
      <c r="F46" s="175"/>
      <c r="G46" s="175"/>
      <c r="H46" s="175"/>
      <c r="I46" s="175"/>
      <c r="J46" s="175"/>
      <c r="K46" s="175"/>
      <c r="L46" s="175"/>
      <c r="M46" s="175"/>
      <c r="N46" s="175"/>
      <c r="O46" s="175"/>
      <c r="P46" s="177">
        <v>13</v>
      </c>
      <c r="Q46" s="177">
        <v>70.66</v>
      </c>
      <c r="R46" s="175"/>
      <c r="S46" s="175"/>
      <c r="T46" s="175"/>
      <c r="U46" s="175"/>
      <c r="V46" s="175"/>
      <c r="W46" s="175"/>
      <c r="X46" s="175"/>
      <c r="Y46" s="175"/>
      <c r="Z46" s="175"/>
      <c r="AA46" s="175"/>
    </row>
    <row r="47" spans="1:27" ht="14.25" customHeight="1">
      <c r="A47" s="175"/>
      <c r="B47" s="175"/>
      <c r="C47" s="177">
        <v>14</v>
      </c>
      <c r="D47" s="177">
        <v>67.819999999999993</v>
      </c>
      <c r="E47" s="175"/>
      <c r="F47" s="175"/>
      <c r="G47" s="175"/>
      <c r="H47" s="175"/>
      <c r="I47" s="175"/>
      <c r="J47" s="175"/>
      <c r="K47" s="175"/>
      <c r="L47" s="175"/>
      <c r="M47" s="175"/>
      <c r="N47" s="175"/>
      <c r="O47" s="175"/>
      <c r="P47" s="177">
        <v>14</v>
      </c>
      <c r="Q47" s="177">
        <v>70.66</v>
      </c>
      <c r="R47" s="175"/>
      <c r="S47" s="175"/>
      <c r="T47" s="175"/>
      <c r="U47" s="175"/>
      <c r="V47" s="175"/>
      <c r="W47" s="175"/>
      <c r="X47" s="175"/>
      <c r="Y47" s="175"/>
      <c r="Z47" s="175"/>
      <c r="AA47" s="175"/>
    </row>
    <row r="48" spans="1:27" ht="14.25" customHeight="1">
      <c r="A48" s="175"/>
      <c r="B48" s="175"/>
      <c r="C48" s="177">
        <v>15</v>
      </c>
      <c r="D48" s="177">
        <v>45.14</v>
      </c>
      <c r="E48" s="175"/>
      <c r="F48" s="175"/>
      <c r="G48" s="175"/>
      <c r="H48" s="175"/>
      <c r="I48" s="175"/>
      <c r="J48" s="175"/>
      <c r="K48" s="175"/>
      <c r="L48" s="175"/>
      <c r="M48" s="175"/>
      <c r="N48" s="175"/>
      <c r="O48" s="175"/>
      <c r="P48" s="177">
        <v>15</v>
      </c>
      <c r="Q48" s="177">
        <v>59.32</v>
      </c>
      <c r="R48" s="175"/>
      <c r="S48" s="175"/>
      <c r="T48" s="175"/>
      <c r="U48" s="175"/>
      <c r="V48" s="175"/>
      <c r="W48" s="175"/>
      <c r="X48" s="175"/>
      <c r="Y48" s="175"/>
      <c r="Z48" s="175"/>
      <c r="AA48" s="175"/>
    </row>
    <row r="49" spans="1:27" ht="14.25" customHeight="1">
      <c r="A49" s="175"/>
      <c r="B49" s="175"/>
      <c r="C49" s="177">
        <v>16</v>
      </c>
      <c r="D49" s="177">
        <v>67.819999999999993</v>
      </c>
      <c r="E49" s="175"/>
      <c r="F49" s="175"/>
      <c r="G49" s="175"/>
      <c r="H49" s="175"/>
      <c r="I49" s="175"/>
      <c r="J49" s="175"/>
      <c r="K49" s="175"/>
      <c r="L49" s="175"/>
      <c r="M49" s="175"/>
      <c r="N49" s="175"/>
      <c r="O49" s="175"/>
      <c r="P49" s="177">
        <v>16</v>
      </c>
      <c r="Q49" s="177">
        <v>70.66</v>
      </c>
      <c r="R49" s="175"/>
      <c r="S49" s="175"/>
      <c r="T49" s="175"/>
      <c r="U49" s="175"/>
      <c r="V49" s="175"/>
      <c r="W49" s="175"/>
      <c r="X49" s="175"/>
      <c r="Y49" s="175"/>
      <c r="Z49" s="175"/>
      <c r="AA49" s="175"/>
    </row>
    <row r="50" spans="1:27" ht="14.25" customHeight="1">
      <c r="A50" s="175"/>
      <c r="B50" s="175"/>
      <c r="C50" s="177">
        <v>17</v>
      </c>
      <c r="D50" s="177">
        <v>67.819999999999993</v>
      </c>
      <c r="E50" s="175"/>
      <c r="F50" s="175"/>
      <c r="G50" s="175"/>
      <c r="H50" s="175"/>
      <c r="I50" s="175"/>
      <c r="J50" s="175"/>
      <c r="K50" s="175"/>
      <c r="L50" s="175"/>
      <c r="M50" s="175"/>
      <c r="N50" s="175"/>
      <c r="O50" s="175"/>
      <c r="P50" s="177">
        <v>17</v>
      </c>
      <c r="Q50" s="177">
        <v>70.66</v>
      </c>
      <c r="R50" s="175"/>
      <c r="S50" s="175"/>
      <c r="T50" s="175"/>
      <c r="U50" s="175"/>
      <c r="V50" s="175"/>
      <c r="W50" s="175"/>
      <c r="X50" s="175"/>
      <c r="Y50" s="175"/>
      <c r="Z50" s="175"/>
      <c r="AA50" s="175"/>
    </row>
    <row r="51" spans="1:27" ht="14.25" customHeight="1">
      <c r="A51" s="175"/>
      <c r="B51" s="175"/>
      <c r="C51" s="177">
        <v>18</v>
      </c>
      <c r="D51" s="177">
        <v>45.14</v>
      </c>
      <c r="E51" s="175"/>
      <c r="F51" s="175"/>
      <c r="G51" s="175"/>
      <c r="H51" s="175"/>
      <c r="I51" s="175"/>
      <c r="J51" s="175"/>
      <c r="K51" s="175"/>
      <c r="L51" s="175"/>
      <c r="M51" s="175"/>
      <c r="N51" s="175"/>
      <c r="O51" s="175"/>
      <c r="P51" s="177">
        <v>18</v>
      </c>
      <c r="Q51" s="177">
        <v>70.66</v>
      </c>
      <c r="R51" s="175"/>
      <c r="S51" s="175"/>
      <c r="T51" s="175"/>
      <c r="U51" s="175"/>
      <c r="V51" s="175"/>
      <c r="W51" s="175"/>
      <c r="X51" s="175"/>
      <c r="Y51" s="175"/>
      <c r="Z51" s="175"/>
      <c r="AA51" s="175"/>
    </row>
    <row r="52" spans="1:27" ht="14.25" customHeight="1">
      <c r="A52" s="175"/>
      <c r="B52" s="175"/>
      <c r="C52" s="177">
        <v>19</v>
      </c>
      <c r="D52" s="177">
        <v>67.819999999999993</v>
      </c>
      <c r="E52" s="175"/>
      <c r="F52" s="175"/>
      <c r="G52" s="175"/>
      <c r="H52" s="175"/>
      <c r="I52" s="175"/>
      <c r="J52" s="175"/>
      <c r="K52" s="175"/>
      <c r="L52" s="175"/>
      <c r="M52" s="175"/>
      <c r="N52" s="175"/>
      <c r="O52" s="175"/>
      <c r="P52" s="177">
        <v>19</v>
      </c>
      <c r="Q52" s="177">
        <v>70.66</v>
      </c>
      <c r="R52" s="175"/>
      <c r="S52" s="175"/>
      <c r="T52" s="175"/>
      <c r="U52" s="175"/>
      <c r="V52" s="175"/>
      <c r="W52" s="175"/>
      <c r="X52" s="175"/>
      <c r="Y52" s="175"/>
      <c r="Z52" s="175"/>
      <c r="AA52" s="175"/>
    </row>
    <row r="53" spans="1:27" ht="14.25" customHeight="1">
      <c r="A53" s="175"/>
      <c r="B53" s="175"/>
      <c r="C53" s="177">
        <v>20</v>
      </c>
      <c r="D53" s="177">
        <v>-566.73</v>
      </c>
      <c r="E53" s="175"/>
      <c r="F53" s="175"/>
      <c r="G53" s="175"/>
      <c r="H53" s="175"/>
      <c r="I53" s="175"/>
      <c r="J53" s="175"/>
      <c r="K53" s="175"/>
      <c r="L53" s="175"/>
      <c r="M53" s="175"/>
      <c r="N53" s="175"/>
      <c r="O53" s="175"/>
      <c r="P53" s="177">
        <v>20</v>
      </c>
      <c r="Q53" s="177">
        <v>59.32</v>
      </c>
      <c r="R53" s="175"/>
      <c r="S53" s="175"/>
      <c r="T53" s="175"/>
      <c r="U53" s="175"/>
      <c r="V53" s="175"/>
      <c r="W53" s="175"/>
      <c r="X53" s="175"/>
      <c r="Y53" s="175"/>
      <c r="Z53" s="175"/>
      <c r="AA53" s="175"/>
    </row>
    <row r="54" spans="1:27" ht="14.25" customHeight="1">
      <c r="A54" s="175"/>
      <c r="B54" s="175"/>
      <c r="C54" s="177">
        <v>21</v>
      </c>
      <c r="D54" s="177">
        <v>45.14</v>
      </c>
      <c r="E54" s="175"/>
      <c r="F54" s="175"/>
      <c r="G54" s="175"/>
      <c r="H54" s="175"/>
      <c r="I54" s="175"/>
      <c r="J54" s="175"/>
      <c r="K54" s="175"/>
      <c r="L54" s="175"/>
      <c r="M54" s="175"/>
      <c r="N54" s="175"/>
      <c r="O54" s="175"/>
      <c r="P54" s="177">
        <v>21</v>
      </c>
      <c r="Q54" s="177">
        <v>70.66</v>
      </c>
      <c r="R54" s="175"/>
      <c r="S54" s="175"/>
      <c r="T54" s="175"/>
      <c r="U54" s="175"/>
      <c r="V54" s="175"/>
      <c r="W54" s="175"/>
      <c r="X54" s="175"/>
      <c r="Y54" s="175"/>
      <c r="Z54" s="175"/>
      <c r="AA54" s="175"/>
    </row>
    <row r="55" spans="1:27" ht="14.25" customHeight="1">
      <c r="A55" s="175"/>
      <c r="B55" s="175"/>
      <c r="C55" s="177">
        <v>22</v>
      </c>
      <c r="D55" s="177">
        <v>67.819999999999993</v>
      </c>
      <c r="E55" s="175"/>
      <c r="F55" s="175"/>
      <c r="G55" s="175"/>
      <c r="H55" s="175"/>
      <c r="I55" s="175"/>
      <c r="J55" s="175"/>
      <c r="K55" s="175"/>
      <c r="L55" s="175"/>
      <c r="M55" s="175"/>
      <c r="N55" s="175"/>
      <c r="O55" s="175"/>
      <c r="P55" s="177">
        <v>22</v>
      </c>
      <c r="Q55" s="177">
        <v>70.66</v>
      </c>
      <c r="R55" s="175"/>
      <c r="S55" s="175"/>
      <c r="T55" s="175"/>
      <c r="U55" s="175"/>
      <c r="V55" s="175"/>
      <c r="W55" s="175"/>
      <c r="X55" s="175"/>
      <c r="Y55" s="175"/>
      <c r="Z55" s="175"/>
      <c r="AA55" s="175"/>
    </row>
    <row r="56" spans="1:27" ht="14.25" customHeight="1">
      <c r="A56" s="175"/>
      <c r="B56" s="175"/>
      <c r="C56" s="177">
        <v>23</v>
      </c>
      <c r="D56" s="177">
        <v>67.819999999999993</v>
      </c>
      <c r="E56" s="175"/>
      <c r="F56" s="175"/>
      <c r="G56" s="175"/>
      <c r="H56" s="175"/>
      <c r="I56" s="175"/>
      <c r="J56" s="175"/>
      <c r="K56" s="175"/>
      <c r="L56" s="175"/>
      <c r="M56" s="175"/>
      <c r="N56" s="175"/>
      <c r="O56" s="175"/>
      <c r="P56" s="177">
        <v>23</v>
      </c>
      <c r="Q56" s="177">
        <v>70.66</v>
      </c>
      <c r="R56" s="175"/>
      <c r="S56" s="175"/>
      <c r="T56" s="175"/>
      <c r="U56" s="175"/>
      <c r="V56" s="175"/>
      <c r="W56" s="175"/>
      <c r="X56" s="175"/>
      <c r="Y56" s="175"/>
      <c r="Z56" s="175"/>
      <c r="AA56" s="175"/>
    </row>
    <row r="57" spans="1:27" ht="14.25" customHeight="1">
      <c r="A57" s="175"/>
      <c r="B57" s="175"/>
      <c r="C57" s="177">
        <v>24</v>
      </c>
      <c r="D57" s="177">
        <v>45.14</v>
      </c>
      <c r="E57" s="175"/>
      <c r="F57" s="175"/>
      <c r="G57" s="175"/>
      <c r="H57" s="175"/>
      <c r="I57" s="175"/>
      <c r="J57" s="175"/>
      <c r="K57" s="175"/>
      <c r="L57" s="175"/>
      <c r="M57" s="175"/>
      <c r="N57" s="175"/>
      <c r="O57" s="175"/>
      <c r="P57" s="177">
        <v>24</v>
      </c>
      <c r="Q57" s="177">
        <v>70.66</v>
      </c>
      <c r="R57" s="175"/>
      <c r="S57" s="175"/>
      <c r="T57" s="175"/>
      <c r="U57" s="175"/>
      <c r="V57" s="175"/>
      <c r="W57" s="175"/>
      <c r="X57" s="175"/>
      <c r="Y57" s="175"/>
      <c r="Z57" s="175"/>
      <c r="AA57" s="175"/>
    </row>
    <row r="58" spans="1:27" ht="14.25" customHeight="1">
      <c r="A58" s="175"/>
      <c r="B58" s="175"/>
      <c r="C58" s="177">
        <v>25</v>
      </c>
      <c r="D58" s="177">
        <v>67.819999999999993</v>
      </c>
      <c r="E58" s="175"/>
      <c r="F58" s="175"/>
      <c r="G58" s="175"/>
      <c r="H58" s="175"/>
      <c r="I58" s="175"/>
      <c r="J58" s="175"/>
      <c r="K58" s="175"/>
      <c r="L58" s="175"/>
      <c r="M58" s="175"/>
      <c r="N58" s="175"/>
      <c r="O58" s="175"/>
      <c r="P58" s="177">
        <v>25</v>
      </c>
      <c r="Q58" s="177">
        <v>59.32</v>
      </c>
      <c r="R58" s="175"/>
      <c r="S58" s="175"/>
      <c r="T58" s="175"/>
      <c r="U58" s="175"/>
      <c r="V58" s="175"/>
      <c r="W58" s="175"/>
      <c r="X58" s="175"/>
      <c r="Y58" s="175"/>
      <c r="Z58" s="175"/>
      <c r="AA58" s="175"/>
    </row>
    <row r="59" spans="1:27" ht="14.25" customHeight="1">
      <c r="A59" s="175"/>
      <c r="B59" s="175"/>
      <c r="C59" s="177">
        <v>26</v>
      </c>
      <c r="D59" s="177">
        <v>67.819999999999993</v>
      </c>
      <c r="E59" s="175"/>
      <c r="F59" s="175"/>
      <c r="G59" s="175"/>
      <c r="H59" s="175"/>
      <c r="I59" s="175"/>
      <c r="J59" s="175"/>
      <c r="K59" s="175"/>
      <c r="L59" s="175"/>
      <c r="M59" s="175"/>
      <c r="N59" s="175"/>
      <c r="O59" s="175"/>
      <c r="P59" s="177">
        <v>26</v>
      </c>
      <c r="Q59" s="177">
        <v>70.66</v>
      </c>
      <c r="R59" s="175"/>
      <c r="S59" s="175"/>
      <c r="T59" s="175"/>
      <c r="U59" s="175"/>
      <c r="V59" s="175"/>
      <c r="W59" s="175"/>
      <c r="X59" s="175"/>
      <c r="Y59" s="175"/>
      <c r="Z59" s="175"/>
      <c r="AA59" s="175"/>
    </row>
    <row r="60" spans="1:27" ht="14.25" customHeight="1">
      <c r="A60" s="175"/>
      <c r="B60" s="175"/>
      <c r="C60" s="177">
        <v>27</v>
      </c>
      <c r="D60" s="177">
        <v>45.14</v>
      </c>
      <c r="E60" s="175"/>
      <c r="F60" s="175"/>
      <c r="G60" s="175"/>
      <c r="H60" s="175"/>
      <c r="I60" s="175"/>
      <c r="J60" s="175"/>
      <c r="K60" s="175"/>
      <c r="L60" s="175"/>
      <c r="M60" s="175"/>
      <c r="N60" s="175"/>
      <c r="O60" s="175"/>
      <c r="P60" s="177">
        <v>27</v>
      </c>
      <c r="Q60" s="177">
        <v>70.66</v>
      </c>
      <c r="R60" s="175"/>
      <c r="S60" s="175"/>
      <c r="T60" s="175"/>
      <c r="U60" s="175"/>
      <c r="V60" s="175"/>
      <c r="W60" s="175"/>
      <c r="X60" s="175"/>
      <c r="Y60" s="175"/>
      <c r="Z60" s="175"/>
      <c r="AA60" s="175"/>
    </row>
    <row r="61" spans="1:27" ht="14.25" customHeight="1">
      <c r="A61" s="175"/>
      <c r="B61" s="175"/>
      <c r="C61" s="177">
        <v>28</v>
      </c>
      <c r="D61" s="177">
        <v>67.819999999999993</v>
      </c>
      <c r="E61" s="175"/>
      <c r="F61" s="175"/>
      <c r="G61" s="175"/>
      <c r="H61" s="175"/>
      <c r="I61" s="175"/>
      <c r="J61" s="175"/>
      <c r="K61" s="175"/>
      <c r="L61" s="175"/>
      <c r="M61" s="175"/>
      <c r="N61" s="175"/>
      <c r="O61" s="175"/>
      <c r="P61" s="177">
        <v>28</v>
      </c>
      <c r="Q61" s="177">
        <v>70.66</v>
      </c>
      <c r="R61" s="175"/>
      <c r="S61" s="175"/>
      <c r="T61" s="175"/>
      <c r="U61" s="175"/>
      <c r="V61" s="175"/>
      <c r="W61" s="175"/>
      <c r="X61" s="175"/>
      <c r="Y61" s="175"/>
      <c r="Z61" s="175"/>
      <c r="AA61" s="175"/>
    </row>
    <row r="62" spans="1:27" ht="14.25" customHeight="1">
      <c r="A62" s="175"/>
      <c r="B62" s="175"/>
      <c r="C62" s="177">
        <v>29</v>
      </c>
      <c r="D62" s="177">
        <v>67.819999999999993</v>
      </c>
      <c r="E62" s="175"/>
      <c r="F62" s="175"/>
      <c r="G62" s="175"/>
      <c r="H62" s="175"/>
      <c r="I62" s="175"/>
      <c r="J62" s="175"/>
      <c r="K62" s="175"/>
      <c r="L62" s="175"/>
      <c r="M62" s="175"/>
      <c r="N62" s="175"/>
      <c r="O62" s="175"/>
      <c r="P62" s="177">
        <v>29</v>
      </c>
      <c r="Q62" s="177">
        <v>70.66</v>
      </c>
      <c r="R62" s="175"/>
      <c r="S62" s="175"/>
      <c r="T62" s="175"/>
      <c r="U62" s="175"/>
      <c r="V62" s="175"/>
      <c r="W62" s="175"/>
      <c r="X62" s="175"/>
      <c r="Y62" s="175"/>
      <c r="Z62" s="175"/>
      <c r="AA62" s="175"/>
    </row>
    <row r="63" spans="1:27" ht="14.25" customHeight="1">
      <c r="A63" s="175"/>
      <c r="B63" s="175"/>
      <c r="C63" s="177">
        <v>30</v>
      </c>
      <c r="D63" s="177">
        <v>45.14</v>
      </c>
      <c r="E63" s="175"/>
      <c r="F63" s="175"/>
      <c r="G63" s="175"/>
      <c r="H63" s="175"/>
      <c r="I63" s="175"/>
      <c r="J63" s="175"/>
      <c r="K63" s="175"/>
      <c r="L63" s="175"/>
      <c r="M63" s="175"/>
      <c r="N63" s="175"/>
      <c r="O63" s="175"/>
      <c r="P63" s="177">
        <v>30</v>
      </c>
      <c r="Q63" s="177">
        <v>-922.48</v>
      </c>
      <c r="R63" s="175"/>
      <c r="S63" s="175"/>
      <c r="T63" s="175"/>
      <c r="U63" s="175"/>
      <c r="V63" s="175"/>
      <c r="W63" s="175"/>
      <c r="X63" s="175"/>
      <c r="Y63" s="175"/>
      <c r="Z63" s="175"/>
      <c r="AA63" s="175"/>
    </row>
    <row r="64" spans="1:27" ht="14.25" customHeight="1">
      <c r="A64" s="175"/>
      <c r="B64" s="175"/>
      <c r="C64" s="177">
        <v>31</v>
      </c>
      <c r="D64" s="177">
        <v>67.819999999999993</v>
      </c>
      <c r="E64" s="175"/>
      <c r="F64" s="175"/>
      <c r="G64" s="175"/>
      <c r="H64" s="175"/>
      <c r="I64" s="175"/>
      <c r="J64" s="175"/>
      <c r="K64" s="175"/>
      <c r="L64" s="175"/>
      <c r="M64" s="175"/>
      <c r="N64" s="175"/>
      <c r="O64" s="175"/>
      <c r="P64" s="177">
        <v>31</v>
      </c>
      <c r="Q64" s="177">
        <v>70.66</v>
      </c>
      <c r="R64" s="175"/>
      <c r="S64" s="175"/>
      <c r="T64" s="175"/>
      <c r="U64" s="175"/>
      <c r="V64" s="175"/>
      <c r="W64" s="175"/>
      <c r="X64" s="175"/>
      <c r="Y64" s="175"/>
      <c r="Z64" s="175"/>
      <c r="AA64" s="175"/>
    </row>
    <row r="65" spans="1:27" ht="14.25" customHeight="1">
      <c r="A65" s="175"/>
      <c r="B65" s="175"/>
      <c r="C65" s="177">
        <v>32</v>
      </c>
      <c r="D65" s="177">
        <v>67.819999999999993</v>
      </c>
      <c r="E65" s="175"/>
      <c r="F65" s="175"/>
      <c r="G65" s="175"/>
      <c r="H65" s="175"/>
      <c r="I65" s="175"/>
      <c r="J65" s="175"/>
      <c r="K65" s="175"/>
      <c r="L65" s="175"/>
      <c r="M65" s="175"/>
      <c r="N65" s="175"/>
      <c r="O65" s="175"/>
      <c r="P65" s="177">
        <v>32</v>
      </c>
      <c r="Q65" s="177">
        <v>70.66</v>
      </c>
      <c r="R65" s="175"/>
      <c r="S65" s="175"/>
      <c r="T65" s="175"/>
      <c r="U65" s="175"/>
      <c r="V65" s="175"/>
      <c r="W65" s="175"/>
      <c r="X65" s="175"/>
      <c r="Y65" s="175"/>
      <c r="Z65" s="175"/>
      <c r="AA65" s="175"/>
    </row>
    <row r="66" spans="1:27" ht="14.25" customHeight="1">
      <c r="A66" s="175"/>
      <c r="B66" s="175"/>
      <c r="C66" s="177">
        <v>33</v>
      </c>
      <c r="D66" s="177">
        <v>45.14</v>
      </c>
      <c r="E66" s="175"/>
      <c r="F66" s="175"/>
      <c r="G66" s="175"/>
      <c r="H66" s="175"/>
      <c r="I66" s="175"/>
      <c r="J66" s="175"/>
      <c r="K66" s="175"/>
      <c r="L66" s="175"/>
      <c r="M66" s="175"/>
      <c r="N66" s="175"/>
      <c r="O66" s="175"/>
      <c r="P66" s="177">
        <v>33</v>
      </c>
      <c r="Q66" s="177">
        <v>70.66</v>
      </c>
      <c r="R66" s="175"/>
      <c r="S66" s="175"/>
      <c r="T66" s="175"/>
      <c r="U66" s="175"/>
      <c r="V66" s="175"/>
      <c r="W66" s="175"/>
      <c r="X66" s="175"/>
      <c r="Y66" s="175"/>
      <c r="Z66" s="175"/>
      <c r="AA66" s="175"/>
    </row>
    <row r="67" spans="1:27" ht="14.25" customHeight="1">
      <c r="A67" s="175"/>
      <c r="B67" s="175"/>
      <c r="C67" s="177">
        <v>34</v>
      </c>
      <c r="D67" s="177">
        <v>67.819999999999993</v>
      </c>
      <c r="E67" s="175"/>
      <c r="F67" s="175"/>
      <c r="G67" s="175"/>
      <c r="H67" s="175"/>
      <c r="I67" s="175"/>
      <c r="J67" s="175"/>
      <c r="K67" s="175"/>
      <c r="L67" s="175"/>
      <c r="M67" s="175"/>
      <c r="N67" s="175"/>
      <c r="O67" s="175"/>
      <c r="P67" s="177">
        <v>34</v>
      </c>
      <c r="Q67" s="177">
        <v>70.66</v>
      </c>
      <c r="R67" s="175"/>
      <c r="S67" s="175"/>
      <c r="T67" s="175"/>
      <c r="U67" s="175"/>
      <c r="V67" s="175"/>
      <c r="W67" s="175"/>
      <c r="X67" s="175"/>
      <c r="Y67" s="175"/>
      <c r="Z67" s="175"/>
      <c r="AA67" s="175"/>
    </row>
    <row r="68" spans="1:27" ht="14.25" customHeight="1">
      <c r="A68" s="175"/>
      <c r="B68" s="175"/>
      <c r="C68" s="177">
        <v>35</v>
      </c>
      <c r="D68" s="177">
        <v>67.819999999999993</v>
      </c>
      <c r="E68" s="175"/>
      <c r="F68" s="175"/>
      <c r="G68" s="175"/>
      <c r="H68" s="175"/>
      <c r="I68" s="175"/>
      <c r="J68" s="175"/>
      <c r="K68" s="175"/>
      <c r="L68" s="175"/>
      <c r="M68" s="175"/>
      <c r="N68" s="175"/>
      <c r="O68" s="175"/>
      <c r="P68" s="177">
        <v>35</v>
      </c>
      <c r="Q68" s="177">
        <v>59.32</v>
      </c>
      <c r="R68" s="175"/>
      <c r="S68" s="175"/>
      <c r="T68" s="175"/>
      <c r="U68" s="175"/>
      <c r="V68" s="175"/>
      <c r="W68" s="175"/>
      <c r="X68" s="175"/>
      <c r="Y68" s="175"/>
      <c r="Z68" s="175"/>
      <c r="AA68" s="175"/>
    </row>
    <row r="69" spans="1:27" ht="14.25" customHeight="1">
      <c r="A69" s="175"/>
      <c r="B69" s="175"/>
      <c r="C69" s="177">
        <v>36</v>
      </c>
      <c r="D69" s="177">
        <v>45.14</v>
      </c>
      <c r="E69" s="175"/>
      <c r="F69" s="175"/>
      <c r="G69" s="175"/>
      <c r="H69" s="175"/>
      <c r="I69" s="175"/>
      <c r="J69" s="175"/>
      <c r="K69" s="175"/>
      <c r="L69" s="175"/>
      <c r="M69" s="175"/>
      <c r="N69" s="175"/>
      <c r="O69" s="175"/>
      <c r="P69" s="177">
        <v>36</v>
      </c>
      <c r="Q69" s="177">
        <v>70.66</v>
      </c>
      <c r="R69" s="175"/>
      <c r="S69" s="175"/>
      <c r="T69" s="175"/>
      <c r="U69" s="175"/>
      <c r="V69" s="175"/>
      <c r="W69" s="175"/>
      <c r="X69" s="175"/>
      <c r="Y69" s="175"/>
      <c r="Z69" s="175"/>
      <c r="AA69" s="175"/>
    </row>
    <row r="70" spans="1:27" ht="14.25" customHeight="1">
      <c r="A70" s="175"/>
      <c r="B70" s="175"/>
      <c r="C70" s="177">
        <v>37</v>
      </c>
      <c r="D70" s="177">
        <v>67.819999999999993</v>
      </c>
      <c r="E70" s="175"/>
      <c r="F70" s="175"/>
      <c r="G70" s="175"/>
      <c r="H70" s="175"/>
      <c r="I70" s="175"/>
      <c r="J70" s="175"/>
      <c r="K70" s="175"/>
      <c r="L70" s="175"/>
      <c r="M70" s="175"/>
      <c r="N70" s="175"/>
      <c r="O70" s="175"/>
      <c r="P70" s="177">
        <v>37</v>
      </c>
      <c r="Q70" s="177">
        <v>70.66</v>
      </c>
      <c r="R70" s="175"/>
      <c r="S70" s="175"/>
      <c r="T70" s="175"/>
      <c r="U70" s="175"/>
      <c r="V70" s="175"/>
      <c r="W70" s="175"/>
      <c r="X70" s="175"/>
      <c r="Y70" s="175"/>
      <c r="Z70" s="175"/>
      <c r="AA70" s="175"/>
    </row>
    <row r="71" spans="1:27" ht="14.25" customHeight="1">
      <c r="A71" s="175"/>
      <c r="B71" s="175"/>
      <c r="C71" s="177">
        <v>38</v>
      </c>
      <c r="D71" s="177">
        <v>67.819999999999993</v>
      </c>
      <c r="E71" s="175"/>
      <c r="F71" s="175"/>
      <c r="G71" s="175"/>
      <c r="H71" s="175"/>
      <c r="I71" s="175"/>
      <c r="J71" s="175"/>
      <c r="K71" s="175"/>
      <c r="L71" s="175"/>
      <c r="M71" s="175"/>
      <c r="N71" s="175"/>
      <c r="O71" s="175"/>
      <c r="P71" s="177">
        <v>38</v>
      </c>
      <c r="Q71" s="177">
        <v>70.66</v>
      </c>
      <c r="R71" s="175"/>
      <c r="S71" s="175"/>
      <c r="T71" s="175"/>
      <c r="U71" s="175"/>
      <c r="V71" s="175"/>
      <c r="W71" s="175"/>
      <c r="X71" s="175"/>
      <c r="Y71" s="175"/>
      <c r="Z71" s="175"/>
      <c r="AA71" s="175"/>
    </row>
    <row r="72" spans="1:27" ht="14.25" customHeight="1">
      <c r="A72" s="175"/>
      <c r="B72" s="175"/>
      <c r="C72" s="177">
        <v>39</v>
      </c>
      <c r="D72" s="177">
        <v>45.14</v>
      </c>
      <c r="E72" s="175"/>
      <c r="F72" s="175"/>
      <c r="G72" s="175"/>
      <c r="H72" s="175"/>
      <c r="I72" s="175"/>
      <c r="J72" s="175"/>
      <c r="K72" s="175"/>
      <c r="L72" s="175"/>
      <c r="M72" s="175"/>
      <c r="N72" s="175"/>
      <c r="O72" s="175"/>
      <c r="P72" s="177">
        <v>39</v>
      </c>
      <c r="Q72" s="177">
        <v>70.66</v>
      </c>
      <c r="R72" s="175"/>
      <c r="S72" s="175"/>
      <c r="T72" s="175"/>
      <c r="U72" s="175"/>
      <c r="V72" s="175"/>
      <c r="W72" s="175"/>
      <c r="X72" s="175"/>
      <c r="Y72" s="175"/>
      <c r="Z72" s="175"/>
      <c r="AA72" s="175"/>
    </row>
    <row r="73" spans="1:27" ht="14.25" customHeight="1">
      <c r="A73" s="175"/>
      <c r="B73" s="175"/>
      <c r="C73" s="177">
        <v>40</v>
      </c>
      <c r="D73" s="177">
        <v>-566.73</v>
      </c>
      <c r="E73" s="175"/>
      <c r="F73" s="175"/>
      <c r="G73" s="175"/>
      <c r="H73" s="175"/>
      <c r="I73" s="175"/>
      <c r="J73" s="175"/>
      <c r="K73" s="175"/>
      <c r="L73" s="175"/>
      <c r="M73" s="175"/>
      <c r="N73" s="175"/>
      <c r="O73" s="175"/>
      <c r="P73" s="177">
        <v>40</v>
      </c>
      <c r="Q73" s="177">
        <v>59.32</v>
      </c>
      <c r="R73" s="175"/>
      <c r="S73" s="175"/>
      <c r="T73" s="175"/>
      <c r="U73" s="175"/>
      <c r="V73" s="175"/>
      <c r="W73" s="175"/>
      <c r="X73" s="175"/>
      <c r="Y73" s="175"/>
      <c r="Z73" s="175"/>
      <c r="AA73" s="175"/>
    </row>
    <row r="74" spans="1:27" ht="14.25" customHeight="1">
      <c r="A74" s="175"/>
      <c r="B74" s="175"/>
      <c r="C74" s="177">
        <v>41</v>
      </c>
      <c r="D74" s="177">
        <v>67.819999999999993</v>
      </c>
      <c r="E74" s="175"/>
      <c r="F74" s="175"/>
      <c r="G74" s="175"/>
      <c r="H74" s="175"/>
      <c r="I74" s="175"/>
      <c r="J74" s="175"/>
      <c r="K74" s="175"/>
      <c r="L74" s="175"/>
      <c r="M74" s="175"/>
      <c r="N74" s="175"/>
      <c r="O74" s="175"/>
      <c r="P74" s="177">
        <v>41</v>
      </c>
      <c r="Q74" s="177">
        <v>70.66</v>
      </c>
      <c r="R74" s="175"/>
      <c r="S74" s="175"/>
      <c r="T74" s="175"/>
      <c r="U74" s="175"/>
      <c r="V74" s="175"/>
      <c r="W74" s="175"/>
      <c r="X74" s="175"/>
      <c r="Y74" s="175"/>
      <c r="Z74" s="175"/>
      <c r="AA74" s="175"/>
    </row>
    <row r="75" spans="1:27" ht="14.25" customHeight="1">
      <c r="A75" s="175"/>
      <c r="B75" s="175"/>
      <c r="C75" s="177">
        <v>42</v>
      </c>
      <c r="D75" s="177">
        <v>45.14</v>
      </c>
      <c r="E75" s="175"/>
      <c r="F75" s="175"/>
      <c r="G75" s="175"/>
      <c r="H75" s="175"/>
      <c r="I75" s="175"/>
      <c r="J75" s="175"/>
      <c r="K75" s="175"/>
      <c r="L75" s="175"/>
      <c r="M75" s="175"/>
      <c r="N75" s="175"/>
      <c r="O75" s="175"/>
      <c r="P75" s="177">
        <v>42</v>
      </c>
      <c r="Q75" s="177">
        <v>70.66</v>
      </c>
      <c r="R75" s="175"/>
      <c r="S75" s="175"/>
      <c r="T75" s="175"/>
      <c r="U75" s="175"/>
      <c r="V75" s="175"/>
      <c r="W75" s="175"/>
      <c r="X75" s="175"/>
      <c r="Y75" s="175"/>
      <c r="Z75" s="175"/>
      <c r="AA75" s="175"/>
    </row>
    <row r="76" spans="1:27" ht="14.25" customHeight="1">
      <c r="A76" s="175"/>
      <c r="B76" s="175"/>
      <c r="C76" s="177">
        <v>43</v>
      </c>
      <c r="D76" s="177">
        <v>67.819999999999993</v>
      </c>
      <c r="E76" s="175"/>
      <c r="F76" s="175"/>
      <c r="G76" s="175"/>
      <c r="H76" s="175"/>
      <c r="I76" s="175"/>
      <c r="J76" s="175"/>
      <c r="K76" s="175"/>
      <c r="L76" s="175"/>
      <c r="M76" s="175"/>
      <c r="N76" s="175"/>
      <c r="O76" s="175"/>
      <c r="P76" s="177">
        <v>43</v>
      </c>
      <c r="Q76" s="177">
        <v>70.66</v>
      </c>
      <c r="R76" s="175"/>
      <c r="S76" s="175"/>
      <c r="T76" s="175"/>
      <c r="U76" s="175"/>
      <c r="V76" s="175"/>
      <c r="W76" s="175"/>
      <c r="X76" s="175"/>
      <c r="Y76" s="175"/>
      <c r="Z76" s="175"/>
      <c r="AA76" s="175"/>
    </row>
    <row r="77" spans="1:27" ht="14.25" customHeight="1">
      <c r="A77" s="175"/>
      <c r="B77" s="175"/>
      <c r="C77" s="177">
        <v>44</v>
      </c>
      <c r="D77" s="177">
        <v>67.819999999999993</v>
      </c>
      <c r="E77" s="175"/>
      <c r="F77" s="175"/>
      <c r="G77" s="175"/>
      <c r="H77" s="175"/>
      <c r="I77" s="175"/>
      <c r="J77" s="175"/>
      <c r="K77" s="175"/>
      <c r="L77" s="175"/>
      <c r="M77" s="175"/>
      <c r="N77" s="175"/>
      <c r="O77" s="175"/>
      <c r="P77" s="177">
        <v>44</v>
      </c>
      <c r="Q77" s="177">
        <v>70.66</v>
      </c>
      <c r="R77" s="175"/>
      <c r="S77" s="175"/>
      <c r="T77" s="175"/>
      <c r="U77" s="175"/>
      <c r="V77" s="175"/>
      <c r="W77" s="175"/>
      <c r="X77" s="175"/>
      <c r="Y77" s="175"/>
      <c r="Z77" s="175"/>
      <c r="AA77" s="175"/>
    </row>
    <row r="78" spans="1:27" ht="14.25" customHeight="1">
      <c r="A78" s="175"/>
      <c r="B78" s="175"/>
      <c r="C78" s="177">
        <v>45</v>
      </c>
      <c r="D78" s="177">
        <v>45.14</v>
      </c>
      <c r="E78" s="175"/>
      <c r="F78" s="175"/>
      <c r="G78" s="175"/>
      <c r="H78" s="175"/>
      <c r="I78" s="175"/>
      <c r="J78" s="175"/>
      <c r="K78" s="175"/>
      <c r="L78" s="175"/>
      <c r="M78" s="175"/>
      <c r="N78" s="175"/>
      <c r="O78" s="175"/>
      <c r="P78" s="177">
        <v>45</v>
      </c>
      <c r="Q78" s="177">
        <v>59.32</v>
      </c>
      <c r="R78" s="175"/>
      <c r="S78" s="175"/>
      <c r="T78" s="175"/>
      <c r="U78" s="175"/>
      <c r="V78" s="175"/>
      <c r="W78" s="175"/>
      <c r="X78" s="175"/>
      <c r="Y78" s="175"/>
      <c r="Z78" s="175"/>
      <c r="AA78" s="175"/>
    </row>
    <row r="79" spans="1:27" ht="14.25" customHeight="1">
      <c r="A79" s="175"/>
      <c r="B79" s="175"/>
      <c r="C79" s="177">
        <v>46</v>
      </c>
      <c r="D79" s="177">
        <v>67.819999999999993</v>
      </c>
      <c r="E79" s="175"/>
      <c r="F79" s="175"/>
      <c r="G79" s="175"/>
      <c r="H79" s="175"/>
      <c r="I79" s="175"/>
      <c r="J79" s="175"/>
      <c r="K79" s="175"/>
      <c r="L79" s="175"/>
      <c r="M79" s="175"/>
      <c r="N79" s="175"/>
      <c r="O79" s="175"/>
      <c r="P79" s="177">
        <v>46</v>
      </c>
      <c r="Q79" s="177">
        <v>70.66</v>
      </c>
      <c r="R79" s="175"/>
      <c r="S79" s="175"/>
      <c r="T79" s="175"/>
      <c r="U79" s="175"/>
      <c r="V79" s="175"/>
      <c r="W79" s="175"/>
      <c r="X79" s="175"/>
      <c r="Y79" s="175"/>
      <c r="Z79" s="175"/>
      <c r="AA79" s="175"/>
    </row>
    <row r="80" spans="1:27" ht="14.25" customHeight="1">
      <c r="A80" s="175"/>
      <c r="B80" s="175"/>
      <c r="C80" s="177">
        <v>47</v>
      </c>
      <c r="D80" s="177">
        <v>67.819999999999993</v>
      </c>
      <c r="E80" s="175"/>
      <c r="F80" s="175"/>
      <c r="G80" s="175"/>
      <c r="H80" s="175"/>
      <c r="I80" s="175"/>
      <c r="J80" s="175"/>
      <c r="K80" s="175"/>
      <c r="L80" s="175"/>
      <c r="M80" s="175"/>
      <c r="N80" s="175"/>
      <c r="O80" s="175"/>
      <c r="P80" s="177">
        <v>47</v>
      </c>
      <c r="Q80" s="177">
        <v>70.66</v>
      </c>
      <c r="R80" s="175"/>
      <c r="S80" s="175"/>
      <c r="T80" s="175"/>
      <c r="U80" s="175"/>
      <c r="V80" s="175"/>
      <c r="W80" s="175"/>
      <c r="X80" s="175"/>
      <c r="Y80" s="175"/>
      <c r="Z80" s="175"/>
      <c r="AA80" s="175"/>
    </row>
    <row r="81" spans="1:27" ht="14.25" customHeight="1">
      <c r="A81" s="175"/>
      <c r="B81" s="175"/>
      <c r="C81" s="177">
        <v>48</v>
      </c>
      <c r="D81" s="177">
        <v>45.14</v>
      </c>
      <c r="E81" s="175"/>
      <c r="F81" s="175"/>
      <c r="G81" s="175"/>
      <c r="H81" s="175"/>
      <c r="I81" s="175"/>
      <c r="J81" s="175"/>
      <c r="K81" s="175"/>
      <c r="L81" s="175"/>
      <c r="M81" s="175"/>
      <c r="N81" s="175"/>
      <c r="O81" s="175"/>
      <c r="P81" s="177">
        <v>48</v>
      </c>
      <c r="Q81" s="177">
        <v>70.66</v>
      </c>
      <c r="R81" s="175"/>
      <c r="S81" s="175"/>
      <c r="T81" s="175"/>
      <c r="U81" s="175"/>
      <c r="V81" s="175"/>
      <c r="W81" s="175"/>
      <c r="X81" s="175"/>
      <c r="Y81" s="175"/>
      <c r="Z81" s="175"/>
      <c r="AA81" s="175"/>
    </row>
    <row r="82" spans="1:27" ht="14.25" customHeight="1">
      <c r="A82" s="175"/>
      <c r="B82" s="175"/>
      <c r="C82" s="177">
        <v>49</v>
      </c>
      <c r="D82" s="177">
        <v>67.819999999999993</v>
      </c>
      <c r="E82" s="175"/>
      <c r="F82" s="175"/>
      <c r="G82" s="175"/>
      <c r="H82" s="175"/>
      <c r="I82" s="175"/>
      <c r="J82" s="175"/>
      <c r="K82" s="175"/>
      <c r="L82" s="175"/>
      <c r="M82" s="175"/>
      <c r="N82" s="175"/>
      <c r="O82" s="175"/>
      <c r="P82" s="177">
        <v>49</v>
      </c>
      <c r="Q82" s="177">
        <v>70.66</v>
      </c>
      <c r="R82" s="175"/>
      <c r="S82" s="175"/>
      <c r="T82" s="175"/>
      <c r="U82" s="175"/>
      <c r="V82" s="175"/>
      <c r="W82" s="175"/>
      <c r="X82" s="175"/>
      <c r="Y82" s="175"/>
      <c r="Z82" s="175"/>
      <c r="AA82" s="175"/>
    </row>
    <row r="83" spans="1:27" ht="14.25" customHeight="1">
      <c r="A83" s="175"/>
      <c r="B83" s="175"/>
      <c r="C83" s="177">
        <v>50</v>
      </c>
      <c r="D83" s="177">
        <v>67.819999999999993</v>
      </c>
      <c r="E83" s="175"/>
      <c r="F83" s="175"/>
      <c r="G83" s="175"/>
      <c r="H83" s="175"/>
      <c r="I83" s="175"/>
      <c r="J83" s="175"/>
      <c r="K83" s="175"/>
      <c r="L83" s="175"/>
      <c r="M83" s="175"/>
      <c r="N83" s="175"/>
      <c r="O83" s="175"/>
      <c r="P83" s="177">
        <v>50</v>
      </c>
      <c r="Q83" s="177">
        <v>59.32</v>
      </c>
      <c r="R83" s="175"/>
      <c r="S83" s="175"/>
      <c r="T83" s="175"/>
      <c r="U83" s="175"/>
      <c r="V83" s="175"/>
      <c r="W83" s="175"/>
      <c r="X83" s="175"/>
      <c r="Y83" s="175"/>
      <c r="Z83" s="175"/>
      <c r="AA83" s="175"/>
    </row>
    <row r="84" spans="1:27" ht="14.25" customHeight="1">
      <c r="A84" s="175"/>
      <c r="B84" s="175"/>
      <c r="C84" s="177">
        <v>51</v>
      </c>
      <c r="D84" s="177">
        <v>45.14</v>
      </c>
      <c r="E84" s="175"/>
      <c r="F84" s="175"/>
      <c r="G84" s="175"/>
      <c r="H84" s="175"/>
      <c r="I84" s="175"/>
      <c r="J84" s="175"/>
      <c r="K84" s="175"/>
      <c r="L84" s="175"/>
      <c r="M84" s="175"/>
      <c r="N84" s="175"/>
      <c r="O84" s="175"/>
      <c r="P84" s="177">
        <v>51</v>
      </c>
      <c r="Q84" s="177">
        <v>70.66</v>
      </c>
      <c r="R84" s="175"/>
      <c r="S84" s="175"/>
      <c r="T84" s="175"/>
      <c r="U84" s="175"/>
      <c r="V84" s="175"/>
      <c r="W84" s="175"/>
      <c r="X84" s="175"/>
      <c r="Y84" s="175"/>
      <c r="Z84" s="175"/>
      <c r="AA84" s="175"/>
    </row>
    <row r="85" spans="1:27" ht="14.25" customHeight="1">
      <c r="A85" s="175"/>
      <c r="B85" s="175"/>
      <c r="C85" s="177">
        <v>52</v>
      </c>
      <c r="D85" s="177">
        <v>67.819999999999993</v>
      </c>
      <c r="E85" s="175"/>
      <c r="F85" s="175"/>
      <c r="G85" s="175"/>
      <c r="H85" s="175"/>
      <c r="I85" s="175"/>
      <c r="J85" s="175"/>
      <c r="K85" s="175"/>
      <c r="L85" s="175"/>
      <c r="M85" s="175"/>
      <c r="N85" s="175"/>
      <c r="O85" s="175"/>
      <c r="P85" s="177">
        <v>52</v>
      </c>
      <c r="Q85" s="177">
        <v>70.66</v>
      </c>
      <c r="R85" s="175"/>
      <c r="S85" s="175"/>
      <c r="T85" s="175"/>
      <c r="U85" s="175"/>
      <c r="V85" s="175"/>
      <c r="W85" s="175"/>
      <c r="X85" s="175"/>
      <c r="Y85" s="175"/>
      <c r="Z85" s="175"/>
      <c r="AA85" s="175"/>
    </row>
    <row r="86" spans="1:27" ht="14.25" customHeight="1">
      <c r="A86" s="175"/>
      <c r="B86" s="175"/>
      <c r="C86" s="177">
        <v>53</v>
      </c>
      <c r="D86" s="177">
        <v>67.819999999999993</v>
      </c>
      <c r="E86" s="175"/>
      <c r="F86" s="175"/>
      <c r="G86" s="175"/>
      <c r="H86" s="175"/>
      <c r="I86" s="175"/>
      <c r="J86" s="175"/>
      <c r="K86" s="175"/>
      <c r="L86" s="175"/>
      <c r="M86" s="175"/>
      <c r="N86" s="175"/>
      <c r="O86" s="175"/>
      <c r="P86" s="177">
        <v>53</v>
      </c>
      <c r="Q86" s="177">
        <v>70.66</v>
      </c>
      <c r="R86" s="175"/>
      <c r="S86" s="175"/>
      <c r="T86" s="175"/>
      <c r="U86" s="175"/>
      <c r="V86" s="175"/>
      <c r="W86" s="175"/>
      <c r="X86" s="175"/>
      <c r="Y86" s="175"/>
      <c r="Z86" s="175"/>
      <c r="AA86" s="175"/>
    </row>
    <row r="87" spans="1:27" ht="14.25" customHeight="1">
      <c r="A87" s="175"/>
      <c r="B87" s="175"/>
      <c r="C87" s="177">
        <v>54</v>
      </c>
      <c r="D87" s="177">
        <v>45.14</v>
      </c>
      <c r="E87" s="175"/>
      <c r="F87" s="175"/>
      <c r="G87" s="175"/>
      <c r="H87" s="175"/>
      <c r="I87" s="175"/>
      <c r="J87" s="175"/>
      <c r="K87" s="175"/>
      <c r="L87" s="175"/>
      <c r="M87" s="175"/>
      <c r="N87" s="175"/>
      <c r="O87" s="175"/>
      <c r="P87" s="177">
        <v>54</v>
      </c>
      <c r="Q87" s="177">
        <v>70.66</v>
      </c>
      <c r="R87" s="175"/>
      <c r="S87" s="175"/>
      <c r="T87" s="175"/>
      <c r="U87" s="175"/>
      <c r="V87" s="175"/>
      <c r="W87" s="175"/>
      <c r="X87" s="175"/>
      <c r="Y87" s="175"/>
      <c r="Z87" s="175"/>
      <c r="AA87" s="175"/>
    </row>
    <row r="88" spans="1:27" ht="14.25" customHeight="1">
      <c r="A88" s="175"/>
      <c r="B88" s="175"/>
      <c r="C88" s="177">
        <v>55</v>
      </c>
      <c r="D88" s="177">
        <v>67.819999999999993</v>
      </c>
      <c r="E88" s="175"/>
      <c r="F88" s="175"/>
      <c r="G88" s="175"/>
      <c r="H88" s="175"/>
      <c r="I88" s="175"/>
      <c r="J88" s="175"/>
      <c r="K88" s="175"/>
      <c r="L88" s="175"/>
      <c r="M88" s="175"/>
      <c r="N88" s="175"/>
      <c r="O88" s="175"/>
      <c r="P88" s="177">
        <v>55</v>
      </c>
      <c r="Q88" s="177">
        <v>59.32</v>
      </c>
      <c r="R88" s="175"/>
      <c r="S88" s="175"/>
      <c r="T88" s="175"/>
      <c r="U88" s="175"/>
      <c r="V88" s="175"/>
      <c r="W88" s="175"/>
      <c r="X88" s="175"/>
      <c r="Y88" s="175"/>
      <c r="Z88" s="175"/>
      <c r="AA88" s="175"/>
    </row>
    <row r="89" spans="1:27" ht="14.25" customHeight="1">
      <c r="A89" s="175"/>
      <c r="B89" s="175"/>
      <c r="C89" s="177">
        <v>56</v>
      </c>
      <c r="D89" s="177">
        <v>67.819999999999993</v>
      </c>
      <c r="E89" s="175"/>
      <c r="F89" s="175"/>
      <c r="G89" s="175"/>
      <c r="H89" s="175"/>
      <c r="I89" s="175"/>
      <c r="J89" s="175"/>
      <c r="K89" s="175"/>
      <c r="L89" s="175"/>
      <c r="M89" s="175"/>
      <c r="N89" s="175"/>
      <c r="O89" s="175"/>
      <c r="P89" s="177">
        <v>56</v>
      </c>
      <c r="Q89" s="177">
        <v>70.66</v>
      </c>
      <c r="R89" s="175"/>
      <c r="S89" s="175"/>
      <c r="T89" s="175"/>
      <c r="U89" s="175"/>
      <c r="V89" s="175"/>
      <c r="W89" s="175"/>
      <c r="X89" s="175"/>
      <c r="Y89" s="175"/>
      <c r="Z89" s="175"/>
      <c r="AA89" s="175"/>
    </row>
    <row r="90" spans="1:27" ht="14.25" customHeight="1">
      <c r="A90" s="175"/>
      <c r="B90" s="175"/>
      <c r="C90" s="177">
        <v>57</v>
      </c>
      <c r="D90" s="177">
        <v>45.14</v>
      </c>
      <c r="E90" s="175"/>
      <c r="F90" s="175"/>
      <c r="G90" s="175"/>
      <c r="H90" s="175"/>
      <c r="I90" s="175"/>
      <c r="J90" s="175"/>
      <c r="K90" s="175"/>
      <c r="L90" s="175"/>
      <c r="M90" s="175"/>
      <c r="N90" s="175"/>
      <c r="O90" s="175"/>
      <c r="P90" s="177">
        <v>57</v>
      </c>
      <c r="Q90" s="177">
        <v>70.66</v>
      </c>
      <c r="R90" s="175"/>
      <c r="S90" s="175"/>
      <c r="T90" s="175"/>
      <c r="U90" s="175"/>
      <c r="V90" s="175"/>
      <c r="W90" s="175"/>
      <c r="X90" s="175"/>
      <c r="Y90" s="175"/>
      <c r="Z90" s="175"/>
      <c r="AA90" s="175"/>
    </row>
    <row r="91" spans="1:27" ht="14.25" customHeight="1">
      <c r="A91" s="175"/>
      <c r="B91" s="175"/>
      <c r="C91" s="177">
        <v>58</v>
      </c>
      <c r="D91" s="177">
        <v>67.819999999999993</v>
      </c>
      <c r="E91" s="175"/>
      <c r="F91" s="175"/>
      <c r="G91" s="175"/>
      <c r="H91" s="175"/>
      <c r="I91" s="175"/>
      <c r="J91" s="175"/>
      <c r="K91" s="175"/>
      <c r="L91" s="175"/>
      <c r="M91" s="175"/>
      <c r="N91" s="175"/>
      <c r="O91" s="175"/>
      <c r="P91" s="177">
        <v>58</v>
      </c>
      <c r="Q91" s="177">
        <v>70.66</v>
      </c>
      <c r="R91" s="175"/>
      <c r="S91" s="175"/>
      <c r="T91" s="175"/>
      <c r="U91" s="175"/>
      <c r="V91" s="175"/>
      <c r="W91" s="175"/>
      <c r="X91" s="175"/>
      <c r="Y91" s="175"/>
      <c r="Z91" s="175"/>
      <c r="AA91" s="175"/>
    </row>
    <row r="92" spans="1:27" ht="14.25" customHeight="1">
      <c r="A92" s="175"/>
      <c r="B92" s="175"/>
      <c r="C92" s="177">
        <v>59</v>
      </c>
      <c r="D92" s="177">
        <v>67.819999999999993</v>
      </c>
      <c r="E92" s="175"/>
      <c r="F92" s="175"/>
      <c r="G92" s="175"/>
      <c r="H92" s="175"/>
      <c r="I92" s="175"/>
      <c r="J92" s="175"/>
      <c r="K92" s="175"/>
      <c r="L92" s="175"/>
      <c r="M92" s="175"/>
      <c r="N92" s="175"/>
      <c r="O92" s="175"/>
      <c r="P92" s="177">
        <v>59</v>
      </c>
      <c r="Q92" s="177">
        <v>70.66</v>
      </c>
      <c r="R92" s="175"/>
      <c r="S92" s="175"/>
      <c r="T92" s="175"/>
      <c r="U92" s="175"/>
      <c r="V92" s="175"/>
      <c r="W92" s="175"/>
      <c r="X92" s="175"/>
      <c r="Y92" s="175"/>
      <c r="Z92" s="175"/>
      <c r="AA92" s="175"/>
    </row>
    <row r="93" spans="1:27" ht="14.25" customHeight="1">
      <c r="A93" s="175"/>
      <c r="B93" s="175"/>
      <c r="C93" s="177">
        <v>60</v>
      </c>
      <c r="D93" s="177">
        <v>45.14</v>
      </c>
      <c r="E93" s="175"/>
      <c r="F93" s="175"/>
      <c r="G93" s="175"/>
      <c r="H93" s="175"/>
      <c r="I93" s="175"/>
      <c r="J93" s="175"/>
      <c r="K93" s="175"/>
      <c r="L93" s="175"/>
      <c r="M93" s="175"/>
      <c r="N93" s="175"/>
      <c r="O93" s="175"/>
      <c r="P93" s="177">
        <v>60</v>
      </c>
      <c r="Q93" s="177">
        <v>59.32</v>
      </c>
      <c r="R93" s="175"/>
      <c r="S93" s="175"/>
      <c r="T93" s="175"/>
      <c r="U93" s="175"/>
      <c r="V93" s="175"/>
      <c r="W93" s="175"/>
      <c r="X93" s="175"/>
      <c r="Y93" s="175"/>
      <c r="Z93" s="175"/>
      <c r="AA93" s="175"/>
    </row>
    <row r="94" spans="1:27" ht="14.25" customHeight="1">
      <c r="A94" s="175"/>
      <c r="B94" s="175"/>
      <c r="C94" s="176" t="s">
        <v>266</v>
      </c>
      <c r="D94" s="178">
        <v>7.1900000000000006E-2</v>
      </c>
      <c r="E94" s="175"/>
      <c r="F94" s="175"/>
      <c r="G94" s="175"/>
      <c r="H94" s="175"/>
      <c r="I94" s="175"/>
      <c r="J94" s="175"/>
      <c r="K94" s="175"/>
      <c r="L94" s="175"/>
      <c r="M94" s="175"/>
      <c r="N94" s="175"/>
      <c r="O94" s="175"/>
      <c r="P94" s="176" t="s">
        <v>266</v>
      </c>
      <c r="Q94" s="178">
        <v>5.6399999999999999E-2</v>
      </c>
      <c r="R94" s="175"/>
      <c r="S94" s="175"/>
      <c r="T94" s="175"/>
      <c r="U94" s="175"/>
      <c r="V94" s="175"/>
      <c r="W94" s="175"/>
      <c r="X94" s="175"/>
      <c r="Y94" s="175"/>
      <c r="Z94" s="175"/>
      <c r="AA94" s="175"/>
    </row>
    <row r="95" spans="1:27" ht="14.25"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row>
    <row r="96" spans="1:27" ht="14.25" customHeight="1">
      <c r="A96" s="175"/>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75"/>
      <c r="AA96" s="175"/>
    </row>
    <row r="97" spans="1:27" ht="14.25" customHeight="1">
      <c r="A97" s="175"/>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row>
    <row r="98" spans="1:27" ht="14.25" customHeight="1">
      <c r="A98" s="175"/>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row>
    <row r="99" spans="1:27" ht="14.25" customHeight="1">
      <c r="A99" s="175"/>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row>
    <row r="100" spans="1:27" ht="14.25" customHeight="1">
      <c r="A100" s="175"/>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row>
    <row r="101" spans="1:27" ht="14.25" customHeight="1">
      <c r="A101" s="175"/>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row>
    <row r="102" spans="1:27" ht="14.25" customHeight="1">
      <c r="A102" s="175"/>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row>
    <row r="103" spans="1:27" ht="14.25" customHeight="1">
      <c r="A103" s="175"/>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row>
    <row r="104" spans="1:27" ht="14.25" customHeight="1">
      <c r="A104" s="175"/>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row>
    <row r="105" spans="1:27" ht="14.25" customHeight="1">
      <c r="A105" s="175"/>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row>
    <row r="106" spans="1:27" ht="14.25" customHeight="1">
      <c r="A106" s="175"/>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row>
    <row r="107" spans="1:27" ht="14.25" customHeight="1">
      <c r="A107" s="175"/>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row>
    <row r="108" spans="1:27" ht="14.25" customHeight="1">
      <c r="A108" s="175"/>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row>
    <row r="109" spans="1:27" ht="14.25" customHeight="1">
      <c r="A109" s="175"/>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row>
    <row r="110" spans="1:27" ht="14.25" customHeight="1">
      <c r="A110" s="175"/>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row>
    <row r="111" spans="1:27" ht="14.25" customHeight="1">
      <c r="A111" s="175"/>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row>
    <row r="112" spans="1:27" ht="14.25" customHeight="1">
      <c r="A112" s="175"/>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row>
    <row r="113" spans="1:27" ht="14.25" customHeight="1">
      <c r="A113" s="175"/>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row>
    <row r="114" spans="1:27" ht="14.25" customHeight="1">
      <c r="A114" s="175"/>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row>
    <row r="115" spans="1:27" ht="14.25" customHeight="1">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row>
    <row r="116" spans="1:27" ht="14.25" customHeight="1">
      <c r="A116" s="175"/>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row>
    <row r="117" spans="1:27" ht="14.25" customHeight="1">
      <c r="A117" s="175"/>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row>
    <row r="118" spans="1:27" ht="14.25" customHeight="1">
      <c r="A118" s="175"/>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row>
    <row r="119" spans="1:27" ht="14.25" customHeight="1">
      <c r="A119" s="175"/>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row>
    <row r="120" spans="1:27" ht="14.25" customHeight="1">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row>
    <row r="121" spans="1:27" ht="14.25" customHeight="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row>
    <row r="122" spans="1:27" ht="14.25" customHeight="1">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row>
    <row r="123" spans="1:27" ht="14.25" customHeight="1">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row>
    <row r="124" spans="1:27" ht="14.25" customHeight="1">
      <c r="A124" s="175"/>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row>
    <row r="125" spans="1:27" ht="14.25" customHeight="1">
      <c r="A125" s="175"/>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row>
    <row r="126" spans="1:27" ht="14.25" customHeight="1">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row>
    <row r="127" spans="1:27" ht="14.25" customHeight="1">
      <c r="A127" s="175"/>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row>
    <row r="128" spans="1:27" ht="14.25" customHeight="1">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row>
    <row r="129" spans="1:27" ht="14.25" customHeight="1">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row>
    <row r="130" spans="1:27" ht="14.25" customHeight="1">
      <c r="A130" s="175"/>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row>
    <row r="131" spans="1:27" ht="14.25" customHeight="1">
      <c r="A131" s="175"/>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row>
    <row r="132" spans="1:27" ht="14.25" customHeight="1">
      <c r="A132" s="175"/>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row>
    <row r="133" spans="1:27" ht="14.25" customHeight="1">
      <c r="A133" s="175"/>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row>
    <row r="134" spans="1:27" ht="14.25" customHeight="1">
      <c r="A134" s="175"/>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row>
    <row r="135" spans="1:27" ht="14.25" customHeight="1">
      <c r="A135" s="175"/>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row>
    <row r="136" spans="1:27" ht="14.25" customHeight="1">
      <c r="A136" s="175"/>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row>
    <row r="137" spans="1:27" ht="14.25" customHeight="1">
      <c r="A137" s="175"/>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row>
    <row r="138" spans="1:27" ht="14.25" customHeight="1">
      <c r="A138" s="175"/>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row>
    <row r="139" spans="1:27" ht="14.25" customHeight="1">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row>
    <row r="140" spans="1:27" ht="14.25" customHeight="1">
      <c r="A140" s="175"/>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row>
    <row r="141" spans="1:27" ht="14.25" customHeight="1">
      <c r="A141" s="175"/>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row>
    <row r="142" spans="1:27" ht="14.25" customHeight="1">
      <c r="A142" s="175"/>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row>
    <row r="143" spans="1:27" ht="14.25" customHeight="1">
      <c r="A143" s="175"/>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row>
    <row r="144" spans="1:27" ht="14.25" customHeight="1">
      <c r="A144" s="175"/>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row>
    <row r="145" spans="1:27" ht="14.25" customHeight="1">
      <c r="A145" s="175"/>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row>
    <row r="146" spans="1:27" ht="14.25" customHeight="1">
      <c r="A146" s="175"/>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row>
    <row r="147" spans="1:27" ht="14.25" customHeight="1">
      <c r="A147" s="175"/>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row>
    <row r="148" spans="1:27" ht="14.25" customHeight="1">
      <c r="A148" s="175"/>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row>
    <row r="149" spans="1:27" ht="14.25" customHeight="1">
      <c r="A149" s="175"/>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row>
    <row r="150" spans="1:27" ht="14.25" customHeight="1">
      <c r="A150" s="175"/>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row>
    <row r="151" spans="1:27" ht="14.25" customHeight="1">
      <c r="A151" s="175"/>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row>
    <row r="152" spans="1:27" ht="14.25" customHeight="1">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row>
    <row r="153" spans="1:27" ht="14.25" customHeight="1">
      <c r="A153" s="175"/>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row>
    <row r="154" spans="1:27" ht="14.25" customHeight="1">
      <c r="A154" s="175"/>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row>
    <row r="155" spans="1:27" ht="14.25" customHeight="1">
      <c r="A155" s="175"/>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row>
    <row r="156" spans="1:27" ht="14.25" customHeight="1">
      <c r="A156" s="175"/>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row>
    <row r="157" spans="1:27" ht="14.25" customHeight="1">
      <c r="A157" s="175"/>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row>
    <row r="158" spans="1:27" ht="14.25" customHeight="1">
      <c r="A158" s="175"/>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row>
    <row r="159" spans="1:27" ht="14.25" customHeight="1">
      <c r="A159" s="175"/>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row>
    <row r="160" spans="1:27" ht="14.25" customHeight="1">
      <c r="A160" s="175"/>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row>
    <row r="161" spans="1:27" ht="14.25" customHeight="1">
      <c r="A161" s="175"/>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row>
    <row r="162" spans="1:27" ht="14.25" customHeight="1">
      <c r="A162" s="175"/>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row>
    <row r="163" spans="1:27" ht="14.25" customHeight="1">
      <c r="A163" s="175"/>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row>
    <row r="164" spans="1:27" ht="14.25" customHeight="1">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row>
    <row r="165" spans="1:27" ht="14.25" customHeight="1">
      <c r="A165" s="175"/>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row>
    <row r="166" spans="1:27" ht="14.25" customHeight="1">
      <c r="A166" s="175"/>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row>
    <row r="167" spans="1:27" ht="14.25" customHeight="1">
      <c r="A167" s="175"/>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row>
    <row r="168" spans="1:27" ht="14.25" customHeight="1">
      <c r="A168" s="175"/>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row>
    <row r="169" spans="1:27" ht="14.25" customHeight="1">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row>
    <row r="170" spans="1:27" ht="14.25" customHeight="1">
      <c r="A170" s="175"/>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row>
    <row r="171" spans="1:27" ht="14.25" customHeight="1">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row>
    <row r="172" spans="1:27" ht="14.25" customHeight="1">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row>
    <row r="173" spans="1:27" ht="14.25" customHeight="1">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row>
    <row r="174" spans="1:27" ht="14.25" customHeight="1">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row>
    <row r="175" spans="1:27" ht="14.25" customHeight="1">
      <c r="A175" s="175"/>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row>
    <row r="176" spans="1:27" ht="14.25" customHeight="1">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row>
    <row r="177" spans="1:27" ht="14.25" customHeight="1">
      <c r="A177" s="175"/>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row>
    <row r="178" spans="1:27" ht="14.25" customHeight="1">
      <c r="A178" s="175"/>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row>
    <row r="179" spans="1:27" ht="14.25" customHeight="1">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row>
    <row r="180" spans="1:27" ht="14.25" customHeight="1">
      <c r="A180" s="175"/>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row>
    <row r="181" spans="1:27" ht="14.25" customHeight="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row>
    <row r="182" spans="1:27" ht="14.25" customHeight="1">
      <c r="A182" s="175"/>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row>
    <row r="183" spans="1:27" ht="14.25" customHeight="1">
      <c r="A183" s="175"/>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row>
    <row r="184" spans="1:27" ht="14.25" customHeight="1">
      <c r="A184" s="175"/>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row>
    <row r="185" spans="1:27" ht="14.25" customHeight="1">
      <c r="A185" s="175"/>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row>
    <row r="186" spans="1:27" ht="14.25" customHeight="1">
      <c r="A186" s="175"/>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row>
    <row r="187" spans="1:27" ht="14.25" customHeight="1">
      <c r="A187" s="175"/>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row>
    <row r="188" spans="1:27" ht="14.25" customHeight="1">
      <c r="A188" s="175"/>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row>
    <row r="189" spans="1:27" ht="14.25" customHeight="1">
      <c r="A189" s="175"/>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row>
    <row r="190" spans="1:27" ht="14.25" customHeight="1">
      <c r="A190" s="175"/>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row>
    <row r="191" spans="1:27" ht="14.25" customHeight="1">
      <c r="A191" s="175"/>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row>
    <row r="192" spans="1:27" ht="14.25" customHeight="1">
      <c r="A192" s="175"/>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row>
    <row r="193" spans="1:27" ht="14.25" customHeight="1">
      <c r="A193" s="175"/>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row>
    <row r="194" spans="1:27" ht="14.25" customHeight="1">
      <c r="A194" s="175"/>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row>
    <row r="195" spans="1:27" ht="14.25" customHeight="1">
      <c r="A195" s="175"/>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row>
    <row r="196" spans="1:27" ht="14.25" customHeight="1">
      <c r="A196" s="175"/>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row>
    <row r="197" spans="1:27" ht="14.25" customHeight="1">
      <c r="A197" s="175"/>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row>
    <row r="198" spans="1:27" ht="14.25" customHeight="1">
      <c r="A198" s="175"/>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row>
    <row r="199" spans="1:27" ht="14.25" customHeight="1">
      <c r="A199" s="175"/>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row>
    <row r="200" spans="1:27" ht="14.25" customHeight="1">
      <c r="A200" s="175"/>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row>
    <row r="201" spans="1:27" ht="14.25" customHeight="1">
      <c r="A201" s="175"/>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row>
    <row r="202" spans="1:27" ht="14.25" customHeight="1">
      <c r="A202" s="175"/>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row>
    <row r="203" spans="1:27" ht="14.25" customHeight="1">
      <c r="A203" s="175"/>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row>
    <row r="204" spans="1:27" ht="14.25" customHeight="1">
      <c r="A204" s="175"/>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row>
    <row r="205" spans="1:27" ht="14.25" customHeight="1">
      <c r="A205" s="175"/>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row>
    <row r="206" spans="1:27" ht="14.25" customHeight="1">
      <c r="A206" s="175"/>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row>
    <row r="207" spans="1:27" ht="14.25" customHeight="1">
      <c r="A207" s="175"/>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row>
    <row r="208" spans="1:27" ht="14.25" customHeight="1">
      <c r="A208" s="175"/>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row>
    <row r="209" spans="1:27" ht="14.25" customHeight="1">
      <c r="A209" s="175"/>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row>
    <row r="210" spans="1:27" ht="14.25" customHeight="1">
      <c r="A210" s="175"/>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row>
    <row r="211" spans="1:27" ht="14.25" customHeight="1">
      <c r="A211" s="175"/>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row>
    <row r="212" spans="1:27" ht="14.25" customHeight="1">
      <c r="A212" s="175"/>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row>
    <row r="213" spans="1:27" ht="14.25" customHeight="1">
      <c r="A213" s="175"/>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row>
    <row r="214" spans="1:27" ht="14.25" customHeight="1">
      <c r="A214" s="175"/>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row>
    <row r="215" spans="1:27" ht="14.25" customHeight="1">
      <c r="A215" s="175"/>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row>
    <row r="216" spans="1:27" ht="14.25" customHeight="1">
      <c r="A216" s="17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row>
    <row r="217" spans="1:27" ht="14.25" customHeight="1">
      <c r="A217" s="175"/>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row>
    <row r="218" spans="1:27" ht="14.25" customHeight="1">
      <c r="A218" s="175"/>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row>
    <row r="219" spans="1:27" ht="14.25" customHeight="1">
      <c r="A219" s="175"/>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row>
    <row r="220" spans="1:27" ht="14.25" customHeight="1">
      <c r="A220" s="175"/>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row>
    <row r="221" spans="1:27" ht="14.25" customHeight="1">
      <c r="A221" s="175"/>
      <c r="B221" s="175"/>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row>
    <row r="222" spans="1:27" ht="14.25" customHeight="1">
      <c r="A222" s="175"/>
      <c r="B222" s="175"/>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row>
    <row r="223" spans="1:27" ht="14.25" customHeight="1">
      <c r="A223" s="175"/>
      <c r="B223" s="175"/>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row>
    <row r="224" spans="1:27" ht="14.25" customHeight="1">
      <c r="A224" s="175"/>
      <c r="B224" s="175"/>
      <c r="C224" s="175"/>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c r="AA224" s="175"/>
    </row>
    <row r="225" spans="1:27" ht="14.25" customHeight="1">
      <c r="A225" s="175"/>
      <c r="B225" s="175"/>
      <c r="C225" s="175"/>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c r="AA225" s="175"/>
    </row>
    <row r="226" spans="1:27" ht="14.25" customHeight="1">
      <c r="A226" s="175"/>
      <c r="B226" s="175"/>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c r="AA226" s="175"/>
    </row>
    <row r="227" spans="1:27" ht="14.25" customHeight="1">
      <c r="A227" s="175"/>
      <c r="B227" s="175"/>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row>
    <row r="228" spans="1:27" ht="14.25" customHeight="1">
      <c r="A228" s="175"/>
      <c r="B228" s="175"/>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row>
    <row r="229" spans="1:27" ht="14.25" customHeight="1">
      <c r="A229" s="175"/>
      <c r="B229" s="175"/>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row>
    <row r="230" spans="1:27" ht="14.25" customHeight="1">
      <c r="A230" s="175"/>
      <c r="B230" s="175"/>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row>
    <row r="231" spans="1:27" ht="14.25" customHeight="1">
      <c r="A231" s="175"/>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row>
    <row r="232" spans="1:27" ht="14.25" customHeight="1">
      <c r="A232" s="175"/>
      <c r="B232" s="175"/>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row>
    <row r="233" spans="1:27" ht="14.25" customHeight="1">
      <c r="A233" s="175"/>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row>
    <row r="234" spans="1:27" ht="14.25" customHeight="1">
      <c r="A234" s="175"/>
      <c r="B234" s="175"/>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row>
    <row r="235" spans="1:27" ht="14.25" customHeight="1">
      <c r="A235" s="175"/>
      <c r="B235" s="175"/>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row>
    <row r="236" spans="1:27" ht="14.25" customHeight="1">
      <c r="A236" s="175"/>
      <c r="B236" s="175"/>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row>
    <row r="237" spans="1:27" ht="14.25" customHeight="1">
      <c r="A237" s="175"/>
      <c r="B237" s="175"/>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row>
    <row r="238" spans="1:27" ht="14.25" customHeight="1">
      <c r="A238" s="175"/>
      <c r="B238" s="175"/>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row>
    <row r="239" spans="1:27" ht="14.25" customHeight="1">
      <c r="A239" s="175"/>
      <c r="B239" s="175"/>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row>
    <row r="240" spans="1:27" ht="14.25" customHeight="1">
      <c r="A240" s="175"/>
      <c r="B240" s="175"/>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row>
    <row r="241" spans="1:27" ht="14.25" customHeight="1">
      <c r="A241" s="175"/>
      <c r="B241" s="175"/>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row>
    <row r="242" spans="1:27" ht="14.25" customHeight="1">
      <c r="A242" s="175"/>
      <c r="B242" s="175"/>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row>
    <row r="243" spans="1:27" ht="14.25" customHeight="1">
      <c r="A243" s="175"/>
      <c r="B243" s="175"/>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row>
    <row r="244" spans="1:27" ht="14.25" customHeight="1">
      <c r="A244" s="175"/>
      <c r="B244" s="175"/>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row>
    <row r="245" spans="1:27" ht="14.25" customHeight="1">
      <c r="A245" s="175"/>
      <c r="B245" s="175"/>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row>
    <row r="246" spans="1:27" ht="14.25" customHeight="1">
      <c r="A246" s="175"/>
      <c r="B246" s="175"/>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row>
    <row r="247" spans="1:27" ht="14.25" customHeight="1">
      <c r="A247" s="175"/>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row>
    <row r="248" spans="1:27" ht="14.25" customHeight="1">
      <c r="A248" s="175"/>
      <c r="B248" s="175"/>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row>
    <row r="249" spans="1:27" ht="14.25" customHeight="1">
      <c r="A249" s="175"/>
      <c r="B249" s="175"/>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row>
    <row r="250" spans="1:27" ht="14.25" customHeight="1">
      <c r="A250" s="175"/>
      <c r="B250" s="175"/>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row>
    <row r="251" spans="1:27" ht="14.25" customHeight="1">
      <c r="A251" s="175"/>
      <c r="B251" s="175"/>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row>
    <row r="252" spans="1:27" ht="14.25" customHeight="1">
      <c r="A252" s="175"/>
      <c r="B252" s="175"/>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row>
    <row r="253" spans="1:27" ht="14.25" customHeight="1">
      <c r="A253" s="175"/>
      <c r="B253" s="175"/>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row>
    <row r="254" spans="1:27" ht="14.25" customHeight="1">
      <c r="A254" s="175"/>
      <c r="B254" s="175"/>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row>
    <row r="255" spans="1:27" ht="14.25" customHeight="1">
      <c r="A255" s="175"/>
      <c r="B255" s="175"/>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row>
    <row r="256" spans="1:27" ht="14.25" customHeight="1">
      <c r="A256" s="175"/>
      <c r="B256" s="175"/>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row>
    <row r="257" spans="1:27" ht="14.25" customHeight="1">
      <c r="A257" s="175"/>
      <c r="B257" s="175"/>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row>
    <row r="258" spans="1:27" ht="14.25" customHeight="1">
      <c r="A258" s="175"/>
      <c r="B258" s="175"/>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row>
    <row r="259" spans="1:27" ht="14.25" customHeight="1">
      <c r="A259" s="175"/>
      <c r="B259" s="175"/>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row>
    <row r="260" spans="1:27" ht="14.25" customHeight="1">
      <c r="A260" s="175"/>
      <c r="B260" s="175"/>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row>
    <row r="261" spans="1:27" ht="14.25" customHeight="1">
      <c r="A261" s="175"/>
      <c r="B261" s="175"/>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row>
    <row r="262" spans="1:27" ht="14.25" customHeight="1">
      <c r="A262" s="175"/>
      <c r="B262" s="175"/>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row>
    <row r="263" spans="1:27" ht="14.25" customHeight="1">
      <c r="A263" s="175"/>
      <c r="B263" s="175"/>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row>
    <row r="264" spans="1:27" ht="14.25" customHeight="1">
      <c r="A264" s="175"/>
      <c r="B264" s="175"/>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row>
    <row r="265" spans="1:27" ht="14.25" customHeight="1">
      <c r="A265" s="175"/>
      <c r="B265" s="175"/>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row>
    <row r="266" spans="1:27" ht="14.25" customHeight="1">
      <c r="A266" s="175"/>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row>
    <row r="267" spans="1:27" ht="14.25" customHeight="1">
      <c r="A267" s="175"/>
      <c r="B267" s="175"/>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row>
    <row r="268" spans="1:27" ht="14.25" customHeight="1">
      <c r="A268" s="175"/>
      <c r="B268" s="175"/>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row>
    <row r="269" spans="1:27" ht="14.25" customHeight="1">
      <c r="A269" s="175"/>
      <c r="B269" s="175"/>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row>
    <row r="270" spans="1:27" ht="14.25" customHeight="1">
      <c r="A270" s="175"/>
      <c r="B270" s="175"/>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row>
    <row r="271" spans="1:27" ht="14.25" customHeight="1">
      <c r="A271" s="175"/>
      <c r="B271" s="175"/>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row>
    <row r="272" spans="1:27" ht="14.25" customHeight="1">
      <c r="A272" s="175"/>
      <c r="B272" s="175"/>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row>
    <row r="273" spans="1:27" ht="14.25" customHeight="1">
      <c r="A273" s="175"/>
      <c r="B273" s="175"/>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row>
    <row r="274" spans="1:27" ht="14.25" customHeight="1">
      <c r="A274" s="175"/>
      <c r="B274" s="175"/>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row>
    <row r="275" spans="1:27" ht="14.25" customHeight="1">
      <c r="A275" s="175"/>
      <c r="B275" s="175"/>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row>
    <row r="276" spans="1:27" ht="14.25" customHeight="1">
      <c r="A276" s="175"/>
      <c r="B276" s="175"/>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row>
    <row r="277" spans="1:27" ht="14.25" customHeight="1">
      <c r="A277" s="175"/>
      <c r="B277" s="175"/>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row>
    <row r="278" spans="1:27" ht="14.25" customHeight="1">
      <c r="A278" s="175"/>
      <c r="B278" s="175"/>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row>
    <row r="279" spans="1:27" ht="14.25" customHeight="1">
      <c r="A279" s="175"/>
      <c r="B279" s="175"/>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row>
    <row r="280" spans="1:27" ht="14.25" customHeight="1">
      <c r="A280" s="175"/>
      <c r="B280" s="175"/>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row>
    <row r="281" spans="1:27" ht="14.25" customHeight="1">
      <c r="A281" s="175"/>
      <c r="B281" s="175"/>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row>
    <row r="282" spans="1:27" ht="14.25" customHeight="1">
      <c r="A282" s="175"/>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row>
    <row r="283" spans="1:27" ht="14.25" customHeight="1">
      <c r="A283" s="175"/>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row>
    <row r="284" spans="1:27" ht="14.25" customHeight="1">
      <c r="A284" s="175"/>
      <c r="B284" s="175"/>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row>
    <row r="285" spans="1:27" ht="14.25" customHeight="1">
      <c r="A285" s="175"/>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row>
    <row r="286" spans="1:27" ht="14.25" customHeight="1">
      <c r="A286" s="175"/>
      <c r="B286" s="175"/>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row>
    <row r="287" spans="1:27" ht="14.25" customHeight="1">
      <c r="A287" s="175"/>
      <c r="B287" s="175"/>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row>
    <row r="288" spans="1:27" ht="14.25" customHeight="1">
      <c r="A288" s="175"/>
      <c r="B288" s="175"/>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row>
    <row r="289" spans="1:27" ht="14.25" customHeight="1">
      <c r="A289" s="175"/>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row>
    <row r="290" spans="1:27" ht="14.25" customHeight="1">
      <c r="A290" s="175"/>
      <c r="B290" s="175"/>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row>
    <row r="291" spans="1:27" ht="14.25" customHeight="1">
      <c r="A291" s="175"/>
      <c r="B291" s="175"/>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row>
    <row r="292" spans="1:27" ht="14.25" customHeight="1">
      <c r="A292" s="175"/>
      <c r="B292" s="175"/>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row>
    <row r="293" spans="1:27" ht="14.25" customHeight="1">
      <c r="A293" s="175"/>
      <c r="B293" s="175"/>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row>
    <row r="294" spans="1:27" ht="14.25" customHeight="1">
      <c r="A294" s="175"/>
      <c r="B294" s="175"/>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row>
    <row r="295" spans="1:27" ht="14.25" customHeight="1">
      <c r="A295" s="175"/>
      <c r="B295" s="175"/>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row>
    <row r="296" spans="1:27" ht="14.25" customHeight="1">
      <c r="A296" s="175"/>
      <c r="B296" s="175"/>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row>
    <row r="297" spans="1:27" ht="14.25" customHeight="1">
      <c r="A297" s="175"/>
      <c r="B297" s="175"/>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row>
    <row r="298" spans="1:27" ht="14.25" customHeight="1">
      <c r="A298" s="175"/>
      <c r="B298" s="175"/>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row>
    <row r="299" spans="1:27" ht="14.25" customHeight="1">
      <c r="A299" s="175"/>
      <c r="B299" s="175"/>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row>
    <row r="300" spans="1:27" ht="14.25" customHeight="1">
      <c r="A300" s="175"/>
      <c r="B300" s="175"/>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row>
    <row r="301" spans="1:27" ht="14.25" customHeight="1">
      <c r="A301" s="175"/>
      <c r="B301" s="175"/>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row>
    <row r="302" spans="1:27" ht="14.25" customHeight="1">
      <c r="A302" s="175"/>
      <c r="B302" s="175"/>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row>
    <row r="303" spans="1:27" ht="14.25" customHeight="1">
      <c r="A303" s="175"/>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row>
    <row r="304" spans="1:27" ht="14.25" customHeight="1">
      <c r="A304" s="175"/>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row>
    <row r="305" spans="1:27" ht="14.25" customHeight="1">
      <c r="A305" s="175"/>
      <c r="B305" s="175"/>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row>
    <row r="306" spans="1:27" ht="14.25" customHeight="1">
      <c r="A306" s="175"/>
      <c r="B306" s="175"/>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row>
    <row r="307" spans="1:27" ht="14.25" customHeight="1">
      <c r="A307" s="175"/>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row>
    <row r="308" spans="1:27" ht="14.25" customHeight="1">
      <c r="A308" s="175"/>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row>
    <row r="309" spans="1:27" ht="14.25" customHeight="1">
      <c r="A309" s="175"/>
      <c r="B309" s="175"/>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row>
    <row r="310" spans="1:27" ht="14.25" customHeight="1">
      <c r="A310" s="175"/>
      <c r="B310" s="175"/>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row>
    <row r="311" spans="1:27" ht="14.25" customHeight="1">
      <c r="A311" s="175"/>
      <c r="B311" s="175"/>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row>
    <row r="312" spans="1:27" ht="14.25" customHeight="1">
      <c r="A312" s="175"/>
      <c r="B312" s="175"/>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row>
    <row r="313" spans="1:27" ht="14.25" customHeight="1">
      <c r="A313" s="175"/>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row>
    <row r="314" spans="1:27" ht="14.25" customHeight="1">
      <c r="A314" s="175"/>
      <c r="B314" s="175"/>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row>
    <row r="315" spans="1:27" ht="14.25" customHeight="1">
      <c r="A315" s="175"/>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row>
    <row r="316" spans="1:27" ht="14.25" customHeight="1">
      <c r="A316" s="175"/>
      <c r="B316" s="175"/>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row>
    <row r="317" spans="1:27" ht="14.25" customHeight="1">
      <c r="A317" s="175"/>
      <c r="B317" s="175"/>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row>
    <row r="318" spans="1:27" ht="14.25" customHeight="1">
      <c r="A318" s="175"/>
      <c r="B318" s="175"/>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row>
    <row r="319" spans="1:27" ht="14.25" customHeight="1">
      <c r="A319" s="175"/>
      <c r="B319" s="175"/>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row>
    <row r="320" spans="1:27" ht="14.25" customHeight="1">
      <c r="A320" s="175"/>
      <c r="B320" s="175"/>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row>
    <row r="321" spans="1:27" ht="14.25" customHeight="1">
      <c r="A321" s="175"/>
      <c r="B321" s="175"/>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row>
    <row r="322" spans="1:27" ht="14.25" customHeight="1">
      <c r="A322" s="175"/>
      <c r="B322" s="175"/>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row>
    <row r="323" spans="1:27" ht="14.25" customHeight="1">
      <c r="A323" s="175"/>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row>
    <row r="324" spans="1:27" ht="14.25" customHeight="1">
      <c r="A324" s="175"/>
      <c r="B324" s="175"/>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row>
    <row r="325" spans="1:27" ht="14.25" customHeight="1">
      <c r="A325" s="175"/>
      <c r="B325" s="175"/>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row>
    <row r="326" spans="1:27" ht="14.25" customHeight="1">
      <c r="A326" s="175"/>
      <c r="B326" s="175"/>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row>
    <row r="327" spans="1:27" ht="14.25" customHeight="1">
      <c r="A327" s="175"/>
      <c r="B327" s="175"/>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row>
    <row r="328" spans="1:27" ht="14.25" customHeight="1">
      <c r="A328" s="175"/>
      <c r="B328" s="175"/>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row>
    <row r="329" spans="1:27" ht="14.25" customHeight="1">
      <c r="A329" s="175"/>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row>
    <row r="330" spans="1:27" ht="14.25" customHeight="1">
      <c r="A330" s="175"/>
      <c r="B330" s="175"/>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row>
    <row r="331" spans="1:27" ht="14.25" customHeight="1">
      <c r="A331" s="175"/>
      <c r="B331" s="175"/>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row>
    <row r="332" spans="1:27" ht="14.25" customHeight="1">
      <c r="A332" s="175"/>
      <c r="B332" s="175"/>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row>
    <row r="333" spans="1:27" ht="14.25" customHeight="1">
      <c r="A333" s="175"/>
      <c r="B333" s="175"/>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row>
    <row r="334" spans="1:27" ht="14.25" customHeight="1">
      <c r="A334" s="175"/>
      <c r="B334" s="175"/>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row>
    <row r="335" spans="1:27" ht="14.25" customHeight="1">
      <c r="A335" s="175"/>
      <c r="B335" s="175"/>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row>
    <row r="336" spans="1:27" ht="14.25" customHeight="1">
      <c r="A336" s="175"/>
      <c r="B336" s="175"/>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row>
    <row r="337" spans="1:27" ht="14.25" customHeight="1">
      <c r="A337" s="175"/>
      <c r="B337" s="175"/>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row>
    <row r="338" spans="1:27" ht="14.25" customHeight="1">
      <c r="A338" s="175"/>
      <c r="B338" s="175"/>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row>
    <row r="339" spans="1:27" ht="14.25" customHeight="1">
      <c r="A339" s="175"/>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row>
    <row r="340" spans="1:27" ht="14.25" customHeight="1">
      <c r="A340" s="175"/>
      <c r="B340" s="175"/>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row>
    <row r="341" spans="1:27" ht="14.25" customHeight="1">
      <c r="A341" s="175"/>
      <c r="B341" s="175"/>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row>
    <row r="342" spans="1:27" ht="14.25" customHeight="1">
      <c r="A342" s="175"/>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row>
    <row r="343" spans="1:27" ht="14.25" customHeight="1">
      <c r="A343" s="175"/>
      <c r="B343" s="175"/>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row>
    <row r="344" spans="1:27" ht="14.25" customHeight="1">
      <c r="A344" s="175"/>
      <c r="B344" s="175"/>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row>
    <row r="345" spans="1:27" ht="14.25" customHeight="1">
      <c r="A345" s="175"/>
      <c r="B345" s="175"/>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row>
    <row r="346" spans="1:27" ht="14.25" customHeight="1">
      <c r="A346" s="175"/>
      <c r="B346" s="175"/>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row>
    <row r="347" spans="1:27" ht="14.25" customHeight="1">
      <c r="A347" s="175"/>
      <c r="B347" s="175"/>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row>
    <row r="348" spans="1:27" ht="14.25" customHeight="1">
      <c r="A348" s="175"/>
      <c r="B348" s="175"/>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row>
    <row r="349" spans="1:27" ht="14.25" customHeight="1">
      <c r="A349" s="175"/>
      <c r="B349" s="175"/>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row>
    <row r="350" spans="1:27" ht="14.25" customHeight="1">
      <c r="A350" s="175"/>
      <c r="B350" s="175"/>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row>
    <row r="351" spans="1:27" ht="14.25" customHeight="1">
      <c r="A351" s="175"/>
      <c r="B351" s="175"/>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row>
    <row r="352" spans="1:27" ht="14.25" customHeight="1">
      <c r="A352" s="175"/>
      <c r="B352" s="175"/>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row>
    <row r="353" spans="1:27" ht="14.25" customHeight="1">
      <c r="A353" s="175"/>
      <c r="B353" s="175"/>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row>
    <row r="354" spans="1:27" ht="14.25" customHeight="1">
      <c r="A354" s="175"/>
      <c r="B354" s="175"/>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row>
    <row r="355" spans="1:27" ht="14.25" customHeight="1">
      <c r="A355" s="175"/>
      <c r="B355" s="175"/>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row>
    <row r="356" spans="1:27" ht="14.25" customHeight="1">
      <c r="A356" s="175"/>
      <c r="B356" s="175"/>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row>
    <row r="357" spans="1:27" ht="14.25" customHeight="1">
      <c r="A357" s="175"/>
      <c r="B357" s="175"/>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row>
    <row r="358" spans="1:27" ht="14.25" customHeight="1">
      <c r="A358" s="175"/>
      <c r="B358" s="175"/>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row>
    <row r="359" spans="1:27" ht="14.25" customHeight="1">
      <c r="A359" s="175"/>
      <c r="B359" s="175"/>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row>
    <row r="360" spans="1:27" ht="14.25" customHeight="1">
      <c r="A360" s="175"/>
      <c r="B360" s="175"/>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row>
    <row r="361" spans="1:27" ht="14.25" customHeight="1">
      <c r="A361" s="175"/>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row>
    <row r="362" spans="1:27" ht="14.25" customHeight="1">
      <c r="A362" s="175"/>
      <c r="B362" s="175"/>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row>
    <row r="363" spans="1:27" ht="14.25" customHeight="1">
      <c r="A363" s="175"/>
      <c r="B363" s="175"/>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row>
    <row r="364" spans="1:27" ht="14.25" customHeight="1">
      <c r="A364" s="175"/>
      <c r="B364" s="175"/>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row>
    <row r="365" spans="1:27" ht="14.25" customHeight="1">
      <c r="A365" s="175"/>
      <c r="B365" s="175"/>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row>
    <row r="366" spans="1:27" ht="14.25" customHeight="1">
      <c r="A366" s="175"/>
      <c r="B366" s="175"/>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row>
    <row r="367" spans="1:27" ht="14.25" customHeight="1">
      <c r="A367" s="175"/>
      <c r="B367" s="175"/>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row>
    <row r="368" spans="1:27" ht="14.25" customHeight="1">
      <c r="A368" s="175"/>
      <c r="B368" s="175"/>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row>
    <row r="369" spans="1:27" ht="14.25" customHeight="1">
      <c r="A369" s="175"/>
      <c r="B369" s="175"/>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row>
    <row r="370" spans="1:27" ht="14.25" customHeight="1">
      <c r="A370" s="175"/>
      <c r="B370" s="175"/>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row>
    <row r="371" spans="1:27" ht="14.25" customHeight="1">
      <c r="A371" s="175"/>
      <c r="B371" s="175"/>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row>
    <row r="372" spans="1:27" ht="14.25" customHeight="1">
      <c r="A372" s="175"/>
      <c r="B372" s="175"/>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row>
    <row r="373" spans="1:27" ht="14.25" customHeight="1">
      <c r="A373" s="175"/>
      <c r="B373" s="175"/>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row>
    <row r="374" spans="1:27" ht="14.25" customHeight="1">
      <c r="A374" s="175"/>
      <c r="B374" s="175"/>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row>
    <row r="375" spans="1:27" ht="14.25" customHeight="1">
      <c r="A375" s="175"/>
      <c r="B375" s="175"/>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row>
    <row r="376" spans="1:27" ht="14.25" customHeight="1">
      <c r="A376" s="175"/>
      <c r="B376" s="175"/>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row>
    <row r="377" spans="1:27" ht="14.25" customHeight="1">
      <c r="A377" s="175"/>
      <c r="B377" s="175"/>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row>
    <row r="378" spans="1:27" ht="14.25" customHeight="1">
      <c r="A378" s="175"/>
      <c r="B378" s="175"/>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row>
    <row r="379" spans="1:27" ht="14.25" customHeight="1">
      <c r="A379" s="175"/>
      <c r="B379" s="175"/>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row>
    <row r="380" spans="1:27" ht="14.25" customHeight="1">
      <c r="A380" s="175"/>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row>
    <row r="381" spans="1:27" ht="14.25" customHeight="1">
      <c r="A381" s="175"/>
      <c r="B381" s="175"/>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row>
    <row r="382" spans="1:27" ht="14.25" customHeight="1">
      <c r="A382" s="175"/>
      <c r="B382" s="175"/>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row>
    <row r="383" spans="1:27" ht="14.25" customHeight="1">
      <c r="A383" s="175"/>
      <c r="B383" s="175"/>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row>
    <row r="384" spans="1:27" ht="14.25" customHeight="1">
      <c r="A384" s="175"/>
      <c r="B384" s="175"/>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row>
    <row r="385" spans="1:27" ht="14.25" customHeight="1">
      <c r="A385" s="175"/>
      <c r="B385" s="175"/>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row>
    <row r="386" spans="1:27" ht="14.25" customHeight="1">
      <c r="A386" s="175"/>
      <c r="B386" s="175"/>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row>
    <row r="387" spans="1:27" ht="14.25" customHeight="1">
      <c r="A387" s="175"/>
      <c r="B387" s="175"/>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row>
    <row r="388" spans="1:27" ht="14.25" customHeight="1">
      <c r="A388" s="175"/>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row>
    <row r="389" spans="1:27" ht="14.25" customHeight="1">
      <c r="A389" s="175"/>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row>
    <row r="390" spans="1:27" ht="14.25" customHeight="1">
      <c r="A390" s="175"/>
      <c r="B390" s="175"/>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row>
    <row r="391" spans="1:27" ht="14.25" customHeight="1">
      <c r="A391" s="175"/>
      <c r="B391" s="175"/>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row>
    <row r="392" spans="1:27" ht="14.25" customHeight="1">
      <c r="A392" s="175"/>
      <c r="B392" s="175"/>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row>
    <row r="393" spans="1:27" ht="14.25" customHeight="1">
      <c r="A393" s="175"/>
      <c r="B393" s="175"/>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row>
    <row r="394" spans="1:27" ht="14.25" customHeight="1">
      <c r="A394" s="175"/>
      <c r="B394" s="175"/>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row>
    <row r="395" spans="1:27" ht="14.25" customHeight="1">
      <c r="A395" s="175"/>
      <c r="B395" s="175"/>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row>
    <row r="396" spans="1:27" ht="14.25" customHeight="1">
      <c r="A396" s="175"/>
      <c r="B396" s="175"/>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row>
    <row r="397" spans="1:27" ht="14.25" customHeight="1">
      <c r="A397" s="175"/>
      <c r="B397" s="175"/>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row>
    <row r="398" spans="1:27" ht="14.25" customHeight="1">
      <c r="A398" s="175"/>
      <c r="B398" s="175"/>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row>
    <row r="399" spans="1:27" ht="14.25" customHeight="1">
      <c r="A399" s="175"/>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row>
    <row r="400" spans="1:27" ht="14.25" customHeight="1">
      <c r="A400" s="175"/>
      <c r="B400" s="175"/>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row>
    <row r="401" spans="1:27" ht="14.25" customHeight="1">
      <c r="A401" s="175"/>
      <c r="B401" s="175"/>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row>
    <row r="402" spans="1:27" ht="14.25" customHeight="1">
      <c r="A402" s="175"/>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row>
    <row r="403" spans="1:27" ht="14.25" customHeight="1">
      <c r="A403" s="175"/>
      <c r="B403" s="175"/>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row>
    <row r="404" spans="1:27" ht="14.25" customHeight="1">
      <c r="A404" s="175"/>
      <c r="B404" s="175"/>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row>
    <row r="405" spans="1:27" ht="14.25" customHeight="1">
      <c r="A405" s="175"/>
      <c r="B405" s="175"/>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row>
    <row r="406" spans="1:27" ht="14.25" customHeight="1">
      <c r="A406" s="175"/>
      <c r="B406" s="175"/>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row>
    <row r="407" spans="1:27" ht="14.25" customHeight="1">
      <c r="A407" s="175"/>
      <c r="B407" s="175"/>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row>
    <row r="408" spans="1:27" ht="14.25" customHeight="1">
      <c r="A408" s="175"/>
      <c r="B408" s="175"/>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row>
    <row r="409" spans="1:27" ht="14.25" customHeight="1">
      <c r="A409" s="175"/>
      <c r="B409" s="175"/>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row>
    <row r="410" spans="1:27" ht="14.25" customHeight="1">
      <c r="A410" s="175"/>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row>
    <row r="411" spans="1:27" ht="14.25" customHeight="1">
      <c r="A411" s="175"/>
      <c r="B411" s="175"/>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row>
    <row r="412" spans="1:27" ht="14.25" customHeight="1">
      <c r="A412" s="175"/>
      <c r="B412" s="175"/>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row>
    <row r="413" spans="1:27" ht="14.25" customHeight="1">
      <c r="A413" s="175"/>
      <c r="B413" s="175"/>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row>
    <row r="414" spans="1:27" ht="14.25" customHeight="1">
      <c r="A414" s="175"/>
      <c r="B414" s="175"/>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row>
    <row r="415" spans="1:27" ht="14.25" customHeight="1">
      <c r="A415" s="175"/>
      <c r="B415" s="175"/>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row>
    <row r="416" spans="1:27" ht="14.25" customHeight="1">
      <c r="A416" s="175"/>
      <c r="B416" s="175"/>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row>
    <row r="417" spans="1:27" ht="14.25" customHeight="1">
      <c r="A417" s="175"/>
      <c r="B417" s="175"/>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row>
    <row r="418" spans="1:27" ht="14.25" customHeight="1">
      <c r="A418" s="175"/>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row>
    <row r="419" spans="1:27" ht="14.25" customHeight="1">
      <c r="A419" s="175"/>
      <c r="B419" s="175"/>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row>
    <row r="420" spans="1:27" ht="14.25" customHeight="1">
      <c r="A420" s="175"/>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row>
    <row r="421" spans="1:27" ht="14.25" customHeight="1">
      <c r="A421" s="175"/>
      <c r="B421" s="175"/>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row>
    <row r="422" spans="1:27" ht="14.25" customHeight="1">
      <c r="A422" s="175"/>
      <c r="B422" s="175"/>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row>
    <row r="423" spans="1:27" ht="14.25" customHeight="1">
      <c r="A423" s="175"/>
      <c r="B423" s="175"/>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row>
    <row r="424" spans="1:27" ht="14.25" customHeight="1">
      <c r="A424" s="175"/>
      <c r="B424" s="175"/>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row>
    <row r="425" spans="1:27" ht="14.25" customHeight="1">
      <c r="A425" s="175"/>
      <c r="B425" s="175"/>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row>
    <row r="426" spans="1:27" ht="14.2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row>
    <row r="427" spans="1:27" ht="14.2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row>
    <row r="428" spans="1:27" ht="14.2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row>
    <row r="429" spans="1:27" ht="14.2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row>
    <row r="430" spans="1:27" ht="14.2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row>
    <row r="431" spans="1:27" ht="14.2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row>
    <row r="432" spans="1:27" ht="14.2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row>
    <row r="433" spans="1:27" ht="14.2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row>
    <row r="434" spans="1:27" ht="14.2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row>
    <row r="435" spans="1:27" ht="14.2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row>
    <row r="436" spans="1:27" ht="14.2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row>
    <row r="437" spans="1:27" ht="14.2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row>
    <row r="438" spans="1:27" ht="14.2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row>
    <row r="439" spans="1:27" ht="14.2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row>
    <row r="440" spans="1:27" ht="14.2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row>
    <row r="441" spans="1:27" ht="14.2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row>
    <row r="442" spans="1:27" ht="14.2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row>
    <row r="443" spans="1:27" ht="14.2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row>
    <row r="444" spans="1:27" ht="14.2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row>
    <row r="445" spans="1:27" ht="14.2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row>
    <row r="446" spans="1:27" ht="14.2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row>
    <row r="447" spans="1:27" ht="14.2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row>
    <row r="448" spans="1:27" ht="14.2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row>
    <row r="449" spans="1:27" ht="14.2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row>
    <row r="450" spans="1:27" ht="14.2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row>
    <row r="451" spans="1:27" ht="14.2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row>
    <row r="452" spans="1:27" ht="14.2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row>
    <row r="453" spans="1:27" ht="14.2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row>
    <row r="454" spans="1:27" ht="14.2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row>
    <row r="455" spans="1:27" ht="14.2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row>
    <row r="456" spans="1:27" ht="14.2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row>
    <row r="457" spans="1:27" ht="14.2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row>
    <row r="458" spans="1:27" ht="14.2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row>
    <row r="459" spans="1:27" ht="14.2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row>
    <row r="460" spans="1:27" ht="14.2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row>
    <row r="461" spans="1:27" ht="14.2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row>
    <row r="462" spans="1:27" ht="14.2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row>
    <row r="463" spans="1:27" ht="14.2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row>
    <row r="464" spans="1:27" ht="14.2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row>
    <row r="465" spans="1:27" ht="14.2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row>
    <row r="466" spans="1:27" ht="14.2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row>
    <row r="467" spans="1:27" ht="14.2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row>
    <row r="468" spans="1:27" ht="14.2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row>
    <row r="469" spans="1:27" ht="14.2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row>
    <row r="470" spans="1:27" ht="14.2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row>
    <row r="471" spans="1:27" ht="14.2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row>
    <row r="472" spans="1:27" ht="14.2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row>
    <row r="473" spans="1:27" ht="14.2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row>
    <row r="474" spans="1:27" ht="14.2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row>
    <row r="475" spans="1:27" ht="14.2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row>
    <row r="476" spans="1:27" ht="14.2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row>
    <row r="477" spans="1:27" ht="14.2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row>
    <row r="478" spans="1:27" ht="14.2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row>
    <row r="479" spans="1:27" ht="14.2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row>
    <row r="480" spans="1:27" ht="14.2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row>
    <row r="481" spans="1:27" ht="14.2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row>
    <row r="482" spans="1:27" ht="14.2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row>
    <row r="483" spans="1:27" ht="14.2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row>
    <row r="484" spans="1:27" ht="14.2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row>
    <row r="485" spans="1:27" ht="14.2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row>
    <row r="486" spans="1:27" ht="14.2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row>
    <row r="487" spans="1:27" ht="14.2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row>
    <row r="488" spans="1:27" ht="14.2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row>
    <row r="489" spans="1:27" ht="14.2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row>
    <row r="490" spans="1:27" ht="14.2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row>
    <row r="491" spans="1:27" ht="14.2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row>
    <row r="492" spans="1:27" ht="14.2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row>
    <row r="493" spans="1:27" ht="14.2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row>
    <row r="494" spans="1:27" ht="14.2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row>
    <row r="495" spans="1:27" ht="14.2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row>
    <row r="496" spans="1:27" ht="14.2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row>
    <row r="497" spans="1:27" ht="14.2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row>
    <row r="498" spans="1:27" ht="14.2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row>
    <row r="499" spans="1:27" ht="14.2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row>
    <row r="500" spans="1:27" ht="14.2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row>
    <row r="501" spans="1:27" ht="14.2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row>
    <row r="502" spans="1:27" ht="14.2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row>
    <row r="503" spans="1:27" ht="14.2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row>
    <row r="504" spans="1:27" ht="14.2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row>
    <row r="505" spans="1:27" ht="14.2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row>
    <row r="506" spans="1:27" ht="14.2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row>
    <row r="507" spans="1:27" ht="14.2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row>
    <row r="508" spans="1:27" ht="14.2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row>
    <row r="509" spans="1:27" ht="14.2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row>
    <row r="510" spans="1:27" ht="14.2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row>
    <row r="511" spans="1:27" ht="14.2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row>
    <row r="512" spans="1:27" ht="14.2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row>
    <row r="513" spans="1:27" ht="14.2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row>
    <row r="514" spans="1:27" ht="14.2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row>
    <row r="515" spans="1:27" ht="14.2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row>
    <row r="516" spans="1:27" ht="14.2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row>
    <row r="517" spans="1:27" ht="14.2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row>
    <row r="518" spans="1:27" ht="14.2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row>
    <row r="519" spans="1:27" ht="14.2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row>
    <row r="520" spans="1:27" ht="14.2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row>
    <row r="521" spans="1:27" ht="14.2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row>
    <row r="522" spans="1:27" ht="14.2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row>
    <row r="523" spans="1:27" ht="14.2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row>
    <row r="524" spans="1:27" ht="14.2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row>
    <row r="525" spans="1:27" ht="14.2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row>
    <row r="526" spans="1:27" ht="14.2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row>
    <row r="527" spans="1:27" ht="14.2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row>
    <row r="528" spans="1:27" ht="14.2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row>
    <row r="529" spans="1:27" ht="14.2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row>
    <row r="530" spans="1:27" ht="14.2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row>
    <row r="531" spans="1:27" ht="14.2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row>
    <row r="532" spans="1:27" ht="14.2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row>
    <row r="533" spans="1:27" ht="14.2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row>
    <row r="534" spans="1:27" ht="14.2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row>
    <row r="535" spans="1:27" ht="14.2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row>
    <row r="536" spans="1:27" ht="14.2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row>
    <row r="537" spans="1:27" ht="14.2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row>
    <row r="538" spans="1:27" ht="14.2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row>
    <row r="539" spans="1:27" ht="14.2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row>
    <row r="540" spans="1:27" ht="14.2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row>
    <row r="541" spans="1:27" ht="14.2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row>
    <row r="542" spans="1:27" ht="14.2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row>
    <row r="543" spans="1:27" ht="14.2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row>
    <row r="544" spans="1:27" ht="14.2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row>
    <row r="545" spans="1:27" ht="14.2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row>
    <row r="546" spans="1:27" ht="14.2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row>
    <row r="547" spans="1:27" ht="14.2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row>
    <row r="548" spans="1:27" ht="14.2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row>
    <row r="549" spans="1:27" ht="14.2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row>
    <row r="550" spans="1:27" ht="14.2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row>
    <row r="551" spans="1:27" ht="14.2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row>
    <row r="552" spans="1:27" ht="14.2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row>
    <row r="553" spans="1:27" ht="14.2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row>
    <row r="554" spans="1:27" ht="14.2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row>
    <row r="555" spans="1:27" ht="14.2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row>
    <row r="556" spans="1:27" ht="14.2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row>
    <row r="557" spans="1:27" ht="14.2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row>
    <row r="558" spans="1:27" ht="14.2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row>
    <row r="559" spans="1:27" ht="14.2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row>
    <row r="560" spans="1:27" ht="14.2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row>
    <row r="561" spans="1:27" ht="14.2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row>
    <row r="562" spans="1:27" ht="14.2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row>
    <row r="563" spans="1:27" ht="14.2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row>
    <row r="564" spans="1:27" ht="14.2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row>
    <row r="565" spans="1:27" ht="14.2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row>
    <row r="566" spans="1:27" ht="14.2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row>
    <row r="567" spans="1:27" ht="14.2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row>
    <row r="568" spans="1:27" ht="14.2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row>
    <row r="569" spans="1:27" ht="14.2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row>
    <row r="570" spans="1:27" ht="14.2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row>
    <row r="571" spans="1:27" ht="14.2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row>
    <row r="572" spans="1:27" ht="14.2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row>
    <row r="573" spans="1:27" ht="14.2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row>
    <row r="574" spans="1:27" ht="14.2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row>
    <row r="575" spans="1:27" ht="14.2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row>
    <row r="576" spans="1:27" ht="14.2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row>
    <row r="577" spans="1:27" ht="14.2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row>
    <row r="578" spans="1:27" ht="14.2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row>
    <row r="579" spans="1:27" ht="14.2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row>
    <row r="580" spans="1:27" ht="14.2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row>
    <row r="581" spans="1:27" ht="14.2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row>
    <row r="582" spans="1:27" ht="14.2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row>
    <row r="583" spans="1:27" ht="14.2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row>
    <row r="584" spans="1:27" ht="14.2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row>
    <row r="585" spans="1:27" ht="14.2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row>
    <row r="586" spans="1:27" ht="14.2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row>
    <row r="587" spans="1:27" ht="14.2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row>
    <row r="588" spans="1:27" ht="14.2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row>
    <row r="589" spans="1:27" ht="14.2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row>
    <row r="590" spans="1:27" ht="14.2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row>
    <row r="591" spans="1:27" ht="14.2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row>
    <row r="592" spans="1:27" ht="14.2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row>
    <row r="593" spans="1:27" ht="14.2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row>
    <row r="594" spans="1:27" ht="14.2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row>
    <row r="595" spans="1:27" ht="14.2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row>
    <row r="596" spans="1:27" ht="14.2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row>
    <row r="597" spans="1:27" ht="14.2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row>
    <row r="598" spans="1:27" ht="14.2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row>
    <row r="599" spans="1:27" ht="14.2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row>
    <row r="600" spans="1:27" ht="14.2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row>
    <row r="601" spans="1:27" ht="14.2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row>
    <row r="602" spans="1:27" ht="14.2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row>
    <row r="603" spans="1:27" ht="14.2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row>
    <row r="604" spans="1:27" ht="14.2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row>
    <row r="605" spans="1:27" ht="14.2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row>
    <row r="606" spans="1:27" ht="14.2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row>
    <row r="607" spans="1:27" ht="14.2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row>
    <row r="608" spans="1:27" ht="14.2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row>
    <row r="609" spans="1:27" ht="14.2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row>
    <row r="610" spans="1:27" ht="14.2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row>
    <row r="611" spans="1:27" ht="14.2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row>
    <row r="612" spans="1:27" ht="14.2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row>
    <row r="613" spans="1:27" ht="14.2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row>
    <row r="614" spans="1:27" ht="14.2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row>
    <row r="615" spans="1:27" ht="14.2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row>
    <row r="616" spans="1:27" ht="14.2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row>
    <row r="617" spans="1:27" ht="14.2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row>
    <row r="618" spans="1:27" ht="14.2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row>
    <row r="619" spans="1:27" ht="14.2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row>
    <row r="620" spans="1:27" ht="14.2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row>
    <row r="621" spans="1:27" ht="14.2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row>
    <row r="622" spans="1:27" ht="14.2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row>
    <row r="623" spans="1:27" ht="14.2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row>
    <row r="624" spans="1:27" ht="14.2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row>
    <row r="625" spans="1:27" ht="14.2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row>
    <row r="626" spans="1:27" ht="14.2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row>
    <row r="627" spans="1:27" ht="14.2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row>
    <row r="628" spans="1:27" ht="14.2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row>
    <row r="629" spans="1:27" ht="14.2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row>
    <row r="630" spans="1:27" ht="14.2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row>
    <row r="631" spans="1:27" ht="14.2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row>
    <row r="632" spans="1:27" ht="14.2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row>
    <row r="633" spans="1:27" ht="14.2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row>
    <row r="634" spans="1:27" ht="14.2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row>
    <row r="635" spans="1:27" ht="14.2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row>
    <row r="636" spans="1:27" ht="14.2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row>
    <row r="637" spans="1:27" ht="14.2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row>
    <row r="638" spans="1:27" ht="14.2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row>
    <row r="639" spans="1:27" ht="14.2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row>
    <row r="640" spans="1:27" ht="14.2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row>
    <row r="641" spans="1:27" ht="14.2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row>
    <row r="642" spans="1:27" ht="14.2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row>
    <row r="643" spans="1:27" ht="14.2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row>
    <row r="644" spans="1:27" ht="14.2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row>
    <row r="645" spans="1:27" ht="14.2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row>
    <row r="646" spans="1:27" ht="14.2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row>
    <row r="647" spans="1:27" ht="14.2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row>
    <row r="648" spans="1:27" ht="14.2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row>
    <row r="649" spans="1:27" ht="14.2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row>
    <row r="650" spans="1:27" ht="14.2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row>
    <row r="651" spans="1:27" ht="14.2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row>
    <row r="652" spans="1:27" ht="14.2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row>
    <row r="653" spans="1:27" ht="14.2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row>
    <row r="654" spans="1:27" ht="14.2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row>
    <row r="655" spans="1:27" ht="14.2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row>
    <row r="656" spans="1:27" ht="14.2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row>
    <row r="657" spans="1:27" ht="14.2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row>
    <row r="658" spans="1:27" ht="14.2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row>
    <row r="659" spans="1:27" ht="14.2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row>
    <row r="660" spans="1:27" ht="14.2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row>
    <row r="661" spans="1:27" ht="14.2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row>
    <row r="662" spans="1:27" ht="14.2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row>
    <row r="663" spans="1:27" ht="14.2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row>
    <row r="664" spans="1:27" ht="14.2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row>
    <row r="665" spans="1:27" ht="14.2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row>
    <row r="666" spans="1:27" ht="14.2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row>
    <row r="667" spans="1:27" ht="14.2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row>
    <row r="668" spans="1:27" ht="14.2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row>
    <row r="669" spans="1:27" ht="14.2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row>
    <row r="670" spans="1:27" ht="14.2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row>
    <row r="671" spans="1:27" ht="14.2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row>
    <row r="672" spans="1:27" ht="14.2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row>
    <row r="673" spans="1:27" ht="14.2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row>
    <row r="674" spans="1:27" ht="14.2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row>
    <row r="675" spans="1:27" ht="14.2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row>
    <row r="676" spans="1:27" ht="14.2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row>
    <row r="677" spans="1:27" ht="14.2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row>
    <row r="678" spans="1:27" ht="14.2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row>
    <row r="679" spans="1:27" ht="14.2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row>
    <row r="680" spans="1:27" ht="14.2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row>
    <row r="681" spans="1:27" ht="14.2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row>
    <row r="682" spans="1:27" ht="14.2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row>
    <row r="683" spans="1:27" ht="14.2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row>
    <row r="684" spans="1:27" ht="14.2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row>
    <row r="685" spans="1:27" ht="14.2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row>
    <row r="686" spans="1:27" ht="14.2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row>
    <row r="687" spans="1:27" ht="14.2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row>
    <row r="688" spans="1:27" ht="14.2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row>
    <row r="689" spans="1:27" ht="14.2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row>
    <row r="690" spans="1:27" ht="14.2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row>
    <row r="691" spans="1:27" ht="14.2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row>
    <row r="692" spans="1:27" ht="14.2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row>
    <row r="693" spans="1:27" ht="14.2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row>
    <row r="694" spans="1:27" ht="14.2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row>
    <row r="695" spans="1:27" ht="14.2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row>
    <row r="696" spans="1:27" ht="14.2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row>
    <row r="697" spans="1:27" ht="14.2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row>
    <row r="698" spans="1:27" ht="14.2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row>
    <row r="699" spans="1:27" ht="14.2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row>
    <row r="700" spans="1:27" ht="14.2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row>
    <row r="701" spans="1:27" ht="14.2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row>
    <row r="702" spans="1:27" ht="14.2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row>
    <row r="703" spans="1:27" ht="14.2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row>
    <row r="704" spans="1:27" ht="14.2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row>
    <row r="705" spans="1:27" ht="14.2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row>
    <row r="706" spans="1:27" ht="14.2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row>
    <row r="707" spans="1:27" ht="14.2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row>
    <row r="708" spans="1:27" ht="14.2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row>
    <row r="709" spans="1:27" ht="14.2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row>
    <row r="710" spans="1:27" ht="14.2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row>
    <row r="711" spans="1:27" ht="14.2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row>
    <row r="712" spans="1:27" ht="14.2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row>
    <row r="713" spans="1:27" ht="14.2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row>
    <row r="714" spans="1:27" ht="14.2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row>
    <row r="715" spans="1:27" ht="14.2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row>
    <row r="716" spans="1:27" ht="14.2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row>
    <row r="717" spans="1:27" ht="14.2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row>
    <row r="718" spans="1:27" ht="14.2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row>
    <row r="719" spans="1:27" ht="14.2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row>
    <row r="720" spans="1:27" ht="14.2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row>
    <row r="721" spans="1:27" ht="14.2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row>
    <row r="722" spans="1:27" ht="14.2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row>
    <row r="723" spans="1:27" ht="14.2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row>
    <row r="724" spans="1:27" ht="14.2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row>
    <row r="725" spans="1:27" ht="14.2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row>
    <row r="726" spans="1:27" ht="14.2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row>
    <row r="727" spans="1:27" ht="14.2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row>
    <row r="728" spans="1:27" ht="14.2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row>
    <row r="729" spans="1:27" ht="14.2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row>
    <row r="730" spans="1:27" ht="14.2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row>
    <row r="731" spans="1:27" ht="14.2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row>
    <row r="732" spans="1:27" ht="14.2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row>
    <row r="733" spans="1:27" ht="14.2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row>
    <row r="734" spans="1:27" ht="14.2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row>
    <row r="735" spans="1:27" ht="14.2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row>
    <row r="736" spans="1:27" ht="14.2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row>
    <row r="737" spans="1:27" ht="14.2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row>
    <row r="738" spans="1:27" ht="14.2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row>
    <row r="739" spans="1:27" ht="14.2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row>
    <row r="740" spans="1:27" ht="14.2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row>
    <row r="741" spans="1:27" ht="14.2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row>
    <row r="742" spans="1:27" ht="14.2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row>
    <row r="743" spans="1:27" ht="14.2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row>
    <row r="744" spans="1:27" ht="14.2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row>
    <row r="745" spans="1:27" ht="14.2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row>
    <row r="746" spans="1:27" ht="14.2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row>
    <row r="747" spans="1:27" ht="14.2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row>
    <row r="748" spans="1:27" ht="14.2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row>
    <row r="749" spans="1:27" ht="14.2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row>
    <row r="750" spans="1:27" ht="14.2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row>
    <row r="751" spans="1:27" ht="14.2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row>
    <row r="752" spans="1:27" ht="14.2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row>
    <row r="753" spans="1:27" ht="14.2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row>
    <row r="754" spans="1:27" ht="14.2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row>
    <row r="755" spans="1:27" ht="14.2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row>
    <row r="756" spans="1:27" ht="14.2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row>
    <row r="757" spans="1:27" ht="14.2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row>
    <row r="758" spans="1:27" ht="14.2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row>
    <row r="759" spans="1:27" ht="14.2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row>
    <row r="760" spans="1:27" ht="14.2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row>
    <row r="761" spans="1:27" ht="14.2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row>
    <row r="762" spans="1:27" ht="14.2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row>
    <row r="763" spans="1:27" ht="14.2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row>
    <row r="764" spans="1:27" ht="14.2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row>
    <row r="765" spans="1:27" ht="14.2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row>
    <row r="766" spans="1:27" ht="14.2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row>
    <row r="767" spans="1:27" ht="14.2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row>
    <row r="768" spans="1:27" ht="14.2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row>
    <row r="769" spans="1:27" ht="14.2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row>
    <row r="770" spans="1:27" ht="14.2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row>
    <row r="771" spans="1:27" ht="14.2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row>
    <row r="772" spans="1:27" ht="14.2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row>
    <row r="773" spans="1:27" ht="14.2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row>
    <row r="774" spans="1:27" ht="14.2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row>
    <row r="775" spans="1:27" ht="14.2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row>
    <row r="776" spans="1:27" ht="14.2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row>
    <row r="777" spans="1:27" ht="14.2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row>
    <row r="778" spans="1:27" ht="14.2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row>
    <row r="779" spans="1:27" ht="14.2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row>
    <row r="780" spans="1:27" ht="14.2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row>
    <row r="781" spans="1:27" ht="14.2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row>
    <row r="782" spans="1:27" ht="14.2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row>
    <row r="783" spans="1:27" ht="14.2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row>
    <row r="784" spans="1:27" ht="14.2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row>
    <row r="785" spans="1:27" ht="14.2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row>
    <row r="786" spans="1:27" ht="14.2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row>
    <row r="787" spans="1:27" ht="14.2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row>
    <row r="788" spans="1:27" ht="14.2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row>
    <row r="789" spans="1:27" ht="14.2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row>
    <row r="790" spans="1:27" ht="14.2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row>
    <row r="791" spans="1:27" ht="14.2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row>
    <row r="792" spans="1:27" ht="14.2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row>
    <row r="793" spans="1:27" ht="14.2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row>
    <row r="794" spans="1:27" ht="14.2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row>
    <row r="795" spans="1:27" ht="14.2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row>
    <row r="796" spans="1:27" ht="14.2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row>
    <row r="797" spans="1:27" ht="14.2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row>
    <row r="798" spans="1:27" ht="14.2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row>
    <row r="799" spans="1:27" ht="14.2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row>
    <row r="800" spans="1:27" ht="14.2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row>
    <row r="801" spans="1:27" ht="14.2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row>
    <row r="802" spans="1:27" ht="14.2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row>
    <row r="803" spans="1:27" ht="14.2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row>
    <row r="804" spans="1:27" ht="14.2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row>
    <row r="805" spans="1:27" ht="14.2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row>
    <row r="806" spans="1:27" ht="14.2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row>
    <row r="807" spans="1:27" ht="14.2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row>
    <row r="808" spans="1:27" ht="14.2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row>
    <row r="809" spans="1:27" ht="14.2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row>
    <row r="810" spans="1:27" ht="14.2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row>
    <row r="811" spans="1:27" ht="14.2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row>
    <row r="812" spans="1:27" ht="14.2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row>
    <row r="813" spans="1:27" ht="14.2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row>
    <row r="814" spans="1:27" ht="14.2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row>
    <row r="815" spans="1:27" ht="14.2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row>
    <row r="816" spans="1:27" ht="14.2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row>
    <row r="817" spans="1:27" ht="14.2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row>
    <row r="818" spans="1:27" ht="14.2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row>
    <row r="819" spans="1:27" ht="14.2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row>
    <row r="820" spans="1:27" ht="14.2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row>
    <row r="821" spans="1:27" ht="14.2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row>
    <row r="822" spans="1:27" ht="14.2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row>
    <row r="823" spans="1:27" ht="14.2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row>
    <row r="824" spans="1:27" ht="14.2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row>
    <row r="825" spans="1:27" ht="14.2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row>
    <row r="826" spans="1:27" ht="14.2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row>
    <row r="827" spans="1:27" ht="14.2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row>
    <row r="828" spans="1:27" ht="14.2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row>
    <row r="829" spans="1:27" ht="14.2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row>
    <row r="830" spans="1:27" ht="14.2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row>
    <row r="831" spans="1:27" ht="14.2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row>
    <row r="832" spans="1:27" ht="14.2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row>
    <row r="833" spans="1:27" ht="14.2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row>
    <row r="834" spans="1:27" ht="14.2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row>
    <row r="835" spans="1:27" ht="14.2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row>
    <row r="836" spans="1:27" ht="14.2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row>
    <row r="837" spans="1:27" ht="14.2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row>
    <row r="838" spans="1:27" ht="14.2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row>
    <row r="839" spans="1:27" ht="14.2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row>
    <row r="840" spans="1:27" ht="14.2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row>
    <row r="841" spans="1:27" ht="14.2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row>
    <row r="842" spans="1:27" ht="14.2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row>
    <row r="843" spans="1:27" ht="14.2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row>
    <row r="844" spans="1:27" ht="14.2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row>
    <row r="845" spans="1:27" ht="14.2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row>
    <row r="846" spans="1:27" ht="14.2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row>
    <row r="847" spans="1:27" ht="14.2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row>
    <row r="848" spans="1:27" ht="14.2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row>
    <row r="849" spans="1:27" ht="14.2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row>
    <row r="850" spans="1:27" ht="14.2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row>
    <row r="851" spans="1:27" ht="14.2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row>
    <row r="852" spans="1:27" ht="14.2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row>
    <row r="853" spans="1:27" ht="14.2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row>
    <row r="854" spans="1:27" ht="14.2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row>
    <row r="855" spans="1:27" ht="14.2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row>
    <row r="856" spans="1:27" ht="14.2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row>
    <row r="857" spans="1:27" ht="14.2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row>
    <row r="858" spans="1:27" ht="14.2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row>
    <row r="859" spans="1:27" ht="14.2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row>
    <row r="860" spans="1:27" ht="14.2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row>
    <row r="861" spans="1:27" ht="14.2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row>
    <row r="862" spans="1:27" ht="14.2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row>
    <row r="863" spans="1:27" ht="14.2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row>
    <row r="864" spans="1:27" ht="14.2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row>
    <row r="865" spans="1:27" ht="14.2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row>
    <row r="866" spans="1:27" ht="14.2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row>
    <row r="867" spans="1:27" ht="14.2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row>
    <row r="868" spans="1:27" ht="14.2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row>
    <row r="869" spans="1:27" ht="14.2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row>
    <row r="870" spans="1:27" ht="14.2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row>
    <row r="871" spans="1:27" ht="14.2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row>
    <row r="872" spans="1:27" ht="14.2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row>
    <row r="873" spans="1:27" ht="14.2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row>
    <row r="874" spans="1:27" ht="14.2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row>
    <row r="875" spans="1:27" ht="14.2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row>
    <row r="876" spans="1:27" ht="14.2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row>
    <row r="877" spans="1:27" ht="14.2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row>
    <row r="878" spans="1:27" ht="14.2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row>
    <row r="879" spans="1:27" ht="14.2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row>
    <row r="880" spans="1:27" ht="14.2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row>
    <row r="881" spans="1:27" ht="14.2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row>
    <row r="882" spans="1:27" ht="14.2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row>
    <row r="883" spans="1:27" ht="14.2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row>
    <row r="884" spans="1:27" ht="14.2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row>
    <row r="885" spans="1:27" ht="14.2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row>
    <row r="886" spans="1:27" ht="14.2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row>
    <row r="887" spans="1:27" ht="14.2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row>
    <row r="888" spans="1:27" ht="14.2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row>
    <row r="889" spans="1:27" ht="14.2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row>
    <row r="890" spans="1:27" ht="14.2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row>
    <row r="891" spans="1:27" ht="14.2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row>
    <row r="892" spans="1:27" ht="14.2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row>
    <row r="893" spans="1:27" ht="14.2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row>
    <row r="894" spans="1:27" ht="14.2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row>
    <row r="895" spans="1:27" ht="14.2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row>
    <row r="896" spans="1:27" ht="14.2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row>
    <row r="897" spans="1:27" ht="14.2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row>
    <row r="898" spans="1:27" ht="14.2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row>
    <row r="899" spans="1:27" ht="14.2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row>
    <row r="900" spans="1:27" ht="14.2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row>
    <row r="901" spans="1:27" ht="14.2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row>
    <row r="902" spans="1:27" ht="14.2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row>
    <row r="903" spans="1:27" ht="14.2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row>
    <row r="904" spans="1:27" ht="14.2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row>
    <row r="905" spans="1:27" ht="14.2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row>
    <row r="906" spans="1:27" ht="14.2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row>
    <row r="907" spans="1:27" ht="14.2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row>
    <row r="908" spans="1:27" ht="14.2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row>
    <row r="909" spans="1:27" ht="14.2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row>
    <row r="910" spans="1:27" ht="14.2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row>
    <row r="911" spans="1:27" ht="14.2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row>
    <row r="912" spans="1:27" ht="14.2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row>
    <row r="913" spans="1:27" ht="14.2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row>
    <row r="914" spans="1:27" ht="14.2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row>
    <row r="915" spans="1:27" ht="14.2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row>
    <row r="916" spans="1:27" ht="14.2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row>
    <row r="917" spans="1:27" ht="14.2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row>
    <row r="918" spans="1:27" ht="14.2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row>
    <row r="919" spans="1:27" ht="14.2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row>
    <row r="920" spans="1:27" ht="14.2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row>
    <row r="921" spans="1:27" ht="14.2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row>
    <row r="922" spans="1:27" ht="14.2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row>
    <row r="923" spans="1:27" ht="14.2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row>
    <row r="924" spans="1:27" ht="14.2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row>
    <row r="925" spans="1:27" ht="14.2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row>
    <row r="926" spans="1:27" ht="14.2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row>
    <row r="927" spans="1:27" ht="14.2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row>
    <row r="928" spans="1:27" ht="14.2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row>
    <row r="929" spans="1:27" ht="14.2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row>
    <row r="930" spans="1:27" ht="14.2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row>
    <row r="931" spans="1:27" ht="14.2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row>
    <row r="932" spans="1:27" ht="14.2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row>
    <row r="933" spans="1:27" ht="14.2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row>
    <row r="934" spans="1:27" ht="14.2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row>
    <row r="935" spans="1:27" ht="14.2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row>
    <row r="936" spans="1:27" ht="14.2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row>
    <row r="937" spans="1:27" ht="14.2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row>
    <row r="938" spans="1:27" ht="14.2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row>
    <row r="939" spans="1:27" ht="14.2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row>
    <row r="940" spans="1:27" ht="14.2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row>
    <row r="941" spans="1:27" ht="14.2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row>
    <row r="942" spans="1:27" ht="14.2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row>
    <row r="943" spans="1:27" ht="14.2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row>
    <row r="944" spans="1:27" ht="14.2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row>
    <row r="945" spans="1:27" ht="14.2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row>
    <row r="946" spans="1:27" ht="14.2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row>
    <row r="947" spans="1:27" ht="14.2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row>
    <row r="948" spans="1:27" ht="14.2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row>
    <row r="949" spans="1:27" ht="14.2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row>
    <row r="950" spans="1:27" ht="14.2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row>
    <row r="951" spans="1:27" ht="14.2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row>
    <row r="952" spans="1:27" ht="14.2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row>
    <row r="953" spans="1:27" ht="14.2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row>
    <row r="954" spans="1:27" ht="14.2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row>
    <row r="955" spans="1:27" ht="14.2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row>
    <row r="956" spans="1:27" ht="14.2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row>
    <row r="957" spans="1:27" ht="14.2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row>
    <row r="958" spans="1:27" ht="14.2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row>
    <row r="959" spans="1:27" ht="14.2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row>
    <row r="960" spans="1:27" ht="14.2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row>
    <row r="961" spans="1:27" ht="14.2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row>
    <row r="962" spans="1:27" ht="14.2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row>
    <row r="963" spans="1:27" ht="14.2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row>
    <row r="964" spans="1:27" ht="14.2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row>
    <row r="965" spans="1:27" ht="14.2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row>
    <row r="966" spans="1:27" ht="14.2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row>
    <row r="967" spans="1:27" ht="14.2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row>
    <row r="968" spans="1:27" ht="14.2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row>
    <row r="969" spans="1:27" ht="14.2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row>
    <row r="970" spans="1:27" ht="14.2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row>
    <row r="971" spans="1:27" ht="14.2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row>
    <row r="972" spans="1:27" ht="14.2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row>
    <row r="973" spans="1:27" ht="14.2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row>
    <row r="974" spans="1:27" ht="14.2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row>
    <row r="975" spans="1:27" ht="14.2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row>
    <row r="976" spans="1:27" ht="14.2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row>
    <row r="977" spans="1:27" ht="14.2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row>
    <row r="978" spans="1:27" ht="14.2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row>
    <row r="979" spans="1:27" ht="14.2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row>
    <row r="980" spans="1:27" ht="14.2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row>
    <row r="981" spans="1:27" ht="14.2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row>
    <row r="982" spans="1:27" ht="14.2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row>
    <row r="983" spans="1:27" ht="14.2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row>
    <row r="984" spans="1:27" ht="14.2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row>
    <row r="985" spans="1:27" ht="14.2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row>
    <row r="986" spans="1:27" ht="14.2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row>
    <row r="987" spans="1:27" ht="14.2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row>
    <row r="988" spans="1:27" ht="14.2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row>
    <row r="989" spans="1:27" ht="14.2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c r="AA989" s="175"/>
    </row>
    <row r="990" spans="1:27" ht="14.2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c r="AA990" s="175"/>
    </row>
    <row r="991" spans="1:27" ht="14.2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c r="AA991" s="175"/>
    </row>
    <row r="992" spans="1:27" ht="14.2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c r="AA992" s="175"/>
    </row>
    <row r="993" spans="1:27" ht="14.2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c r="AA993" s="175"/>
    </row>
    <row r="994" spans="1:27" ht="14.2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c r="AA994" s="175"/>
    </row>
    <row r="995" spans="1:27" ht="14.2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c r="AA995" s="175"/>
    </row>
    <row r="996" spans="1:27" ht="14.2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c r="AA996" s="175"/>
    </row>
    <row r="997" spans="1:27" ht="14.2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c r="AA997" s="175"/>
    </row>
    <row r="998" spans="1:27" ht="14.2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c r="AA998" s="175"/>
    </row>
    <row r="999" spans="1:27" ht="14.2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c r="AA999" s="175"/>
    </row>
    <row r="1000" spans="1:27" ht="14.2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c r="AA1000" s="175"/>
    </row>
    <row r="1001" spans="1:27" ht="14.25" customHeight="1">
      <c r="A1001" s="175"/>
      <c r="B1001" s="175"/>
      <c r="C1001" s="175"/>
      <c r="D1001" s="175"/>
      <c r="E1001" s="175"/>
      <c r="F1001" s="175"/>
      <c r="G1001" s="175"/>
      <c r="H1001" s="175"/>
      <c r="I1001" s="175"/>
      <c r="J1001" s="175"/>
      <c r="K1001" s="175"/>
      <c r="L1001" s="175"/>
      <c r="M1001" s="175"/>
      <c r="N1001" s="175"/>
      <c r="O1001" s="175"/>
      <c r="P1001" s="175"/>
      <c r="Q1001" s="175"/>
      <c r="R1001" s="175"/>
      <c r="S1001" s="175"/>
      <c r="T1001" s="175"/>
      <c r="U1001" s="175"/>
      <c r="V1001" s="175"/>
      <c r="W1001" s="175"/>
      <c r="X1001" s="175"/>
      <c r="Y1001" s="175"/>
      <c r="Z1001" s="175"/>
      <c r="AA1001" s="175"/>
    </row>
  </sheetData>
  <mergeCells count="8">
    <mergeCell ref="R6:U6"/>
    <mergeCell ref="C20:D20"/>
    <mergeCell ref="P20:Q20"/>
    <mergeCell ref="C30:Q30"/>
    <mergeCell ref="C31:D31"/>
    <mergeCell ref="P31:Q31"/>
    <mergeCell ref="C19:Q19"/>
    <mergeCell ref="C6:G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2530-85BA-4BC8-BDDA-C511A7E0AC33}">
  <dimension ref="A1:AB977"/>
  <sheetViews>
    <sheetView zoomScale="53" workbookViewId="0">
      <selection activeCell="D17" sqref="D17"/>
    </sheetView>
  </sheetViews>
  <sheetFormatPr defaultColWidth="14.44140625" defaultRowHeight="15" customHeight="1"/>
  <cols>
    <col min="1" max="1" width="7.109375" customWidth="1"/>
    <col min="2" max="2" width="41.109375" customWidth="1"/>
    <col min="3" max="3" width="21" customWidth="1"/>
    <col min="4" max="4" width="16.6640625" customWidth="1"/>
    <col min="5" max="5" width="18.6640625" customWidth="1"/>
    <col min="6" max="6" width="28.109375" customWidth="1"/>
    <col min="7" max="7" width="7.109375" customWidth="1"/>
    <col min="8" max="8" width="18.88671875" customWidth="1"/>
    <col min="9" max="9" width="14.6640625" customWidth="1"/>
    <col min="10" max="10" width="16.5546875" customWidth="1"/>
    <col min="11" max="11" width="14.5546875" customWidth="1"/>
    <col min="12" max="13" width="17.88671875" customWidth="1"/>
    <col min="14" max="28" width="8.6640625" customWidth="1"/>
  </cols>
  <sheetData>
    <row r="1" spans="1:28" ht="14.25" customHeight="1"/>
    <row r="2" spans="1:28" ht="14.25" customHeight="1"/>
    <row r="3" spans="1:28" ht="14.25" customHeight="1"/>
    <row r="4" spans="1:28" ht="14.25" customHeight="1"/>
    <row r="5" spans="1:28" ht="27.75" customHeight="1">
      <c r="A5" s="172"/>
      <c r="B5" s="322" t="s">
        <v>226</v>
      </c>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row>
    <row r="6" spans="1:28" ht="18">
      <c r="A6" s="179"/>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row>
    <row r="7" spans="1:28" ht="20.25" customHeight="1">
      <c r="A7" s="173"/>
      <c r="B7" s="323" t="s">
        <v>227</v>
      </c>
      <c r="C7" s="259"/>
      <c r="D7" s="259"/>
      <c r="E7" s="259"/>
      <c r="F7" s="259"/>
      <c r="G7" s="259"/>
      <c r="H7" s="259"/>
      <c r="I7" s="259"/>
      <c r="J7" s="259"/>
      <c r="K7" s="259"/>
      <c r="L7" s="259"/>
      <c r="M7" s="259"/>
      <c r="N7" s="259"/>
      <c r="O7" s="259"/>
      <c r="P7" s="259"/>
      <c r="Q7" s="259"/>
      <c r="R7" s="259"/>
      <c r="S7" s="259"/>
      <c r="T7" s="259"/>
      <c r="U7" s="259"/>
      <c r="V7" s="259"/>
      <c r="W7" s="259"/>
      <c r="X7" s="259"/>
      <c r="Y7" s="259"/>
      <c r="Z7" s="259"/>
      <c r="AA7" s="259"/>
      <c r="AB7" s="259"/>
    </row>
    <row r="8" spans="1:28" ht="14.25" customHeight="1">
      <c r="A8" s="174"/>
      <c r="B8" s="327" t="s">
        <v>228</v>
      </c>
      <c r="C8" s="279"/>
      <c r="D8" s="279"/>
      <c r="E8" s="279"/>
      <c r="F8" s="280"/>
      <c r="G8" s="180"/>
      <c r="H8" s="328"/>
      <c r="I8" s="259"/>
      <c r="J8" s="259"/>
      <c r="K8" s="259"/>
      <c r="L8" s="174"/>
      <c r="M8" s="181"/>
    </row>
    <row r="9" spans="1:28" ht="14.25" customHeight="1">
      <c r="A9" s="182"/>
      <c r="B9" s="329" t="s">
        <v>229</v>
      </c>
      <c r="C9" s="280"/>
      <c r="D9" s="183" t="s">
        <v>151</v>
      </c>
      <c r="E9" s="184" t="s">
        <v>230</v>
      </c>
      <c r="F9" s="183" t="s">
        <v>231</v>
      </c>
      <c r="G9" s="185"/>
      <c r="H9" s="186"/>
      <c r="I9" s="186"/>
      <c r="J9" s="186"/>
      <c r="K9" s="186"/>
    </row>
    <row r="10" spans="1:28" ht="14.25" customHeight="1">
      <c r="A10" s="187"/>
      <c r="B10" s="330" t="s">
        <v>232</v>
      </c>
      <c r="C10" s="188" t="s">
        <v>233</v>
      </c>
      <c r="D10" s="189" t="s">
        <v>234</v>
      </c>
      <c r="E10" s="189">
        <v>4649.2</v>
      </c>
      <c r="F10" s="189">
        <v>439.81</v>
      </c>
      <c r="G10" s="95"/>
      <c r="H10" s="190"/>
      <c r="I10" s="190"/>
      <c r="J10" s="191"/>
      <c r="K10" s="191"/>
    </row>
    <row r="11" spans="1:28" ht="14.25" customHeight="1">
      <c r="A11" s="187"/>
      <c r="B11" s="331"/>
      <c r="C11" s="188" t="s">
        <v>235</v>
      </c>
      <c r="D11" s="189" t="s">
        <v>234</v>
      </c>
      <c r="E11" s="189">
        <v>5412.22</v>
      </c>
      <c r="F11" s="189">
        <v>323.04000000000002</v>
      </c>
      <c r="G11" s="95"/>
      <c r="H11" s="190"/>
      <c r="I11" s="190"/>
      <c r="J11" s="191"/>
      <c r="K11" s="191"/>
    </row>
    <row r="12" spans="1:28" ht="14.25" customHeight="1">
      <c r="A12" s="187"/>
      <c r="B12" s="330" t="s">
        <v>236</v>
      </c>
      <c r="C12" s="188" t="s">
        <v>237</v>
      </c>
      <c r="D12" s="189" t="s">
        <v>234</v>
      </c>
      <c r="E12" s="189">
        <v>3621.2710000000002</v>
      </c>
      <c r="F12" s="189">
        <v>1520.3679999999999</v>
      </c>
      <c r="G12" s="95"/>
      <c r="H12" s="190"/>
      <c r="I12" s="190"/>
      <c r="J12" s="191"/>
      <c r="K12" s="191"/>
    </row>
    <row r="13" spans="1:28" ht="14.25" customHeight="1">
      <c r="A13" s="187"/>
      <c r="B13" s="332"/>
      <c r="C13" s="188" t="s">
        <v>238</v>
      </c>
      <c r="D13" s="189" t="s">
        <v>234</v>
      </c>
      <c r="E13" s="189">
        <v>3180.8449999999998</v>
      </c>
      <c r="F13" s="189">
        <v>1342.3150000000001</v>
      </c>
      <c r="G13" s="95"/>
      <c r="H13" s="190"/>
      <c r="I13" s="190"/>
      <c r="J13" s="191"/>
      <c r="K13" s="191"/>
    </row>
    <row r="14" spans="1:28" ht="14.25" customHeight="1">
      <c r="A14" s="187"/>
      <c r="B14" s="331"/>
      <c r="C14" s="188" t="s">
        <v>239</v>
      </c>
      <c r="D14" s="189" t="s">
        <v>234</v>
      </c>
      <c r="E14" s="189">
        <v>2302.3159999999998</v>
      </c>
      <c r="F14" s="189">
        <v>988.96699999999998</v>
      </c>
      <c r="G14" s="95"/>
      <c r="H14" s="190"/>
      <c r="I14" s="190"/>
      <c r="J14" s="191"/>
      <c r="K14" s="191"/>
    </row>
    <row r="15" spans="1:28" ht="14.25" customHeight="1">
      <c r="A15" s="187"/>
      <c r="B15" s="330" t="s">
        <v>240</v>
      </c>
      <c r="C15" s="188" t="s">
        <v>241</v>
      </c>
      <c r="D15" s="189" t="s">
        <v>242</v>
      </c>
      <c r="E15" s="189">
        <v>46.5</v>
      </c>
      <c r="F15" s="189">
        <v>3.87</v>
      </c>
      <c r="G15" s="95"/>
      <c r="H15" s="190"/>
      <c r="I15" s="190"/>
      <c r="J15" s="191"/>
      <c r="K15" s="191"/>
    </row>
    <row r="16" spans="1:28" ht="14.25" customHeight="1">
      <c r="A16" s="187"/>
      <c r="B16" s="332"/>
      <c r="C16" s="188" t="s">
        <v>243</v>
      </c>
      <c r="D16" s="189" t="s">
        <v>242</v>
      </c>
      <c r="E16" s="189">
        <v>55.360999999999997</v>
      </c>
      <c r="F16" s="189">
        <v>14.4</v>
      </c>
      <c r="G16" s="95"/>
      <c r="H16" s="190"/>
      <c r="I16" s="190"/>
      <c r="J16" s="191"/>
      <c r="K16" s="191"/>
    </row>
    <row r="17" spans="1:28" ht="14.25" customHeight="1">
      <c r="A17" s="187"/>
      <c r="B17" s="331"/>
      <c r="C17" s="188" t="s">
        <v>244</v>
      </c>
      <c r="D17" s="189" t="s">
        <v>242</v>
      </c>
      <c r="E17" s="189">
        <v>61.088000000000001</v>
      </c>
      <c r="F17" s="189">
        <v>15.9</v>
      </c>
      <c r="G17" s="95"/>
      <c r="H17" s="190"/>
      <c r="I17" s="190"/>
      <c r="J17" s="191"/>
      <c r="K17" s="191"/>
    </row>
    <row r="18" spans="1:28" ht="14.25" customHeight="1">
      <c r="A18" s="187"/>
      <c r="B18" s="189" t="s">
        <v>245</v>
      </c>
      <c r="C18" s="188" t="s">
        <v>246</v>
      </c>
      <c r="D18" s="189" t="s">
        <v>234</v>
      </c>
      <c r="E18" s="189" t="s">
        <v>247</v>
      </c>
      <c r="F18" s="189">
        <f>1.85*1000</f>
        <v>1850</v>
      </c>
      <c r="G18" s="95"/>
      <c r="H18" s="190"/>
      <c r="I18" s="190"/>
      <c r="J18" s="191"/>
      <c r="K18" s="191"/>
    </row>
    <row r="19" spans="1:28" ht="14.25" customHeight="1">
      <c r="A19" s="187"/>
      <c r="B19" s="189" t="s">
        <v>248</v>
      </c>
      <c r="C19" s="188" t="s">
        <v>243</v>
      </c>
      <c r="D19" s="189" t="s">
        <v>234</v>
      </c>
      <c r="E19" s="189">
        <v>4307.1000000000004</v>
      </c>
      <c r="F19" s="189">
        <v>1193.213</v>
      </c>
      <c r="G19" s="95"/>
      <c r="H19" s="190"/>
      <c r="I19" s="190"/>
      <c r="J19" s="191"/>
      <c r="K19" s="191"/>
    </row>
    <row r="20" spans="1:28" ht="14.25" customHeight="1">
      <c r="A20" s="192"/>
      <c r="B20" s="192"/>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row>
    <row r="21" spans="1:28" ht="36.75" customHeight="1">
      <c r="A21" s="192"/>
      <c r="B21" s="333" t="s">
        <v>249</v>
      </c>
      <c r="C21" s="306"/>
      <c r="D21" s="193">
        <v>90</v>
      </c>
      <c r="N21" s="194"/>
      <c r="O21" s="194"/>
      <c r="P21" s="194"/>
      <c r="Q21" s="194"/>
      <c r="R21" s="194"/>
      <c r="S21" s="194"/>
      <c r="T21" s="194"/>
      <c r="U21" s="194"/>
      <c r="V21" s="194"/>
      <c r="W21" s="194"/>
      <c r="X21" s="194"/>
      <c r="Y21" s="194"/>
      <c r="Z21" s="194"/>
      <c r="AA21" s="194"/>
      <c r="AB21" s="194"/>
    </row>
    <row r="22" spans="1:28" ht="14.25" customHeight="1">
      <c r="A22" s="195"/>
      <c r="B22" s="334" t="s">
        <v>250</v>
      </c>
      <c r="C22" s="280"/>
      <c r="D22" s="196">
        <v>1369305</v>
      </c>
      <c r="E22" s="197"/>
      <c r="F22" s="197"/>
      <c r="G22" s="198"/>
      <c r="H22" s="197"/>
      <c r="I22" s="197"/>
      <c r="J22" s="197"/>
      <c r="K22" s="197"/>
      <c r="L22" s="197"/>
      <c r="M22" s="198"/>
      <c r="N22" s="194"/>
      <c r="O22" s="194"/>
      <c r="P22" s="194"/>
      <c r="Q22" s="194"/>
      <c r="R22" s="194"/>
      <c r="S22" s="194"/>
      <c r="T22" s="194"/>
      <c r="U22" s="194"/>
      <c r="V22" s="194"/>
      <c r="W22" s="194"/>
      <c r="X22" s="194"/>
      <c r="Y22" s="194"/>
      <c r="Z22" s="194"/>
      <c r="AA22" s="194"/>
      <c r="AB22" s="194"/>
    </row>
    <row r="23" spans="1:28" ht="14.25" customHeight="1">
      <c r="A23" s="195"/>
      <c r="B23" s="197"/>
      <c r="C23" s="197"/>
      <c r="D23" s="197"/>
      <c r="E23" s="197"/>
      <c r="F23" s="197"/>
      <c r="G23" s="198"/>
      <c r="H23" s="197"/>
      <c r="I23" s="197"/>
      <c r="J23" s="197"/>
      <c r="K23" s="197"/>
      <c r="L23" s="197"/>
      <c r="M23" s="198"/>
      <c r="N23" s="194"/>
      <c r="O23" s="194"/>
      <c r="P23" s="194"/>
      <c r="Q23" s="194"/>
      <c r="R23" s="194"/>
      <c r="S23" s="194"/>
      <c r="T23" s="194"/>
      <c r="U23" s="194"/>
      <c r="V23" s="194"/>
      <c r="W23" s="194"/>
      <c r="X23" s="194"/>
      <c r="Y23" s="194"/>
      <c r="Z23" s="194"/>
      <c r="AA23" s="194"/>
      <c r="AB23" s="194"/>
    </row>
    <row r="24" spans="1:28" ht="14.25" customHeight="1">
      <c r="A24" s="192"/>
      <c r="B24" s="335" t="s">
        <v>24</v>
      </c>
      <c r="C24" s="294"/>
      <c r="D24" s="294"/>
      <c r="E24" s="294"/>
      <c r="F24" s="336"/>
      <c r="H24" s="326" t="s">
        <v>25</v>
      </c>
      <c r="I24" s="279"/>
      <c r="J24" s="279"/>
      <c r="K24" s="279"/>
      <c r="L24" s="280"/>
      <c r="N24" s="194"/>
      <c r="O24" s="194"/>
      <c r="P24" s="194"/>
      <c r="Q24" s="194"/>
      <c r="R24" s="194"/>
      <c r="S24" s="194"/>
      <c r="T24" s="194"/>
      <c r="U24" s="194"/>
      <c r="V24" s="194"/>
      <c r="W24" s="194"/>
      <c r="X24" s="194"/>
      <c r="Y24" s="194"/>
      <c r="Z24" s="194"/>
      <c r="AA24" s="194"/>
      <c r="AB24" s="194"/>
    </row>
    <row r="25" spans="1:28" ht="14.25" customHeight="1">
      <c r="A25" s="192"/>
      <c r="B25" s="318" t="s">
        <v>251</v>
      </c>
      <c r="C25" s="279"/>
      <c r="D25" s="279"/>
      <c r="E25" s="279"/>
      <c r="F25" s="280"/>
      <c r="H25" s="318" t="s">
        <v>251</v>
      </c>
      <c r="I25" s="279"/>
      <c r="J25" s="279"/>
      <c r="K25" s="279"/>
      <c r="L25" s="280"/>
      <c r="N25" s="194"/>
      <c r="O25" s="194"/>
      <c r="P25" s="194"/>
      <c r="Q25" s="194"/>
      <c r="R25" s="194"/>
      <c r="S25" s="194"/>
      <c r="T25" s="194"/>
      <c r="U25" s="194"/>
      <c r="V25" s="194"/>
      <c r="W25" s="194"/>
      <c r="X25" s="194"/>
      <c r="Y25" s="194"/>
      <c r="Z25" s="194"/>
      <c r="AA25" s="194"/>
      <c r="AB25" s="194"/>
    </row>
    <row r="26" spans="1:28" ht="14.25" customHeight="1">
      <c r="A26" s="192"/>
      <c r="B26" s="199" t="s">
        <v>252</v>
      </c>
      <c r="C26" s="200" t="s">
        <v>151</v>
      </c>
      <c r="D26" s="199" t="s">
        <v>152</v>
      </c>
      <c r="E26" s="199" t="s">
        <v>253</v>
      </c>
      <c r="F26" s="199" t="s">
        <v>254</v>
      </c>
      <c r="H26" s="199" t="s">
        <v>252</v>
      </c>
      <c r="I26" s="200" t="s">
        <v>151</v>
      </c>
      <c r="J26" s="199" t="s">
        <v>152</v>
      </c>
      <c r="K26" s="199" t="s">
        <v>255</v>
      </c>
      <c r="L26" s="199" t="s">
        <v>254</v>
      </c>
      <c r="N26" s="194"/>
      <c r="O26" s="194"/>
      <c r="P26" s="194"/>
      <c r="Q26" s="194"/>
      <c r="R26" s="194"/>
      <c r="S26" s="194"/>
      <c r="T26" s="194"/>
      <c r="U26" s="194"/>
      <c r="V26" s="194"/>
      <c r="W26" s="194"/>
      <c r="X26" s="194"/>
      <c r="Y26" s="194"/>
      <c r="Z26" s="194"/>
      <c r="AA26" s="194"/>
      <c r="AB26" s="194"/>
    </row>
    <row r="27" spans="1:28" ht="14.25" customHeight="1">
      <c r="A27" s="192"/>
      <c r="B27" s="201" t="s">
        <v>256</v>
      </c>
      <c r="C27" s="201" t="str">
        <f>D10</f>
        <v>ton</v>
      </c>
      <c r="D27" s="201">
        <v>595350</v>
      </c>
      <c r="E27" s="202">
        <f>D27*F10/1000</f>
        <v>261840.8835</v>
      </c>
      <c r="F27" s="201">
        <f t="shared" ref="F27:F28" si="0">E27*90</f>
        <v>23565679.515000001</v>
      </c>
      <c r="H27" s="201" t="s">
        <v>236</v>
      </c>
      <c r="I27" s="201" t="s">
        <v>234</v>
      </c>
      <c r="J27" s="201">
        <f>((D22/7)*1440)/1000</f>
        <v>281685.59999999998</v>
      </c>
      <c r="K27" s="203">
        <f>J27*F12/1000</f>
        <v>428265.77230079996</v>
      </c>
      <c r="L27" s="201">
        <f t="shared" ref="L27:L30" si="1">K27*90</f>
        <v>38543919.507071994</v>
      </c>
      <c r="N27" s="194"/>
      <c r="O27" s="194"/>
      <c r="P27" s="194"/>
      <c r="Q27" s="194"/>
      <c r="R27" s="194"/>
      <c r="S27" s="194"/>
      <c r="T27" s="194"/>
      <c r="U27" s="194"/>
      <c r="V27" s="194"/>
      <c r="W27" s="194"/>
      <c r="X27" s="194"/>
      <c r="Y27" s="194"/>
      <c r="Z27" s="194"/>
      <c r="AA27" s="194"/>
      <c r="AB27" s="194"/>
    </row>
    <row r="28" spans="1:28" ht="14.25" customHeight="1">
      <c r="A28" s="192"/>
      <c r="B28" s="201" t="s">
        <v>257</v>
      </c>
      <c r="C28" s="201" t="str">
        <f>D15</f>
        <v>m3</v>
      </c>
      <c r="D28" s="201">
        <v>1934887.5</v>
      </c>
      <c r="E28" s="202">
        <f>D28*F15/1000</f>
        <v>7488.0146249999998</v>
      </c>
      <c r="F28" s="201">
        <f t="shared" si="0"/>
        <v>673921.31625000003</v>
      </c>
      <c r="H28" s="201" t="s">
        <v>257</v>
      </c>
      <c r="I28" s="201" t="s">
        <v>242</v>
      </c>
      <c r="J28" s="201">
        <v>1973160</v>
      </c>
      <c r="K28" s="203">
        <f>J28*F15/1000</f>
        <v>7636.1292000000003</v>
      </c>
      <c r="L28" s="201">
        <f t="shared" si="1"/>
        <v>687251.62800000003</v>
      </c>
      <c r="N28" s="194"/>
      <c r="O28" s="194"/>
      <c r="P28" s="194"/>
      <c r="Q28" s="194"/>
      <c r="R28" s="194"/>
      <c r="S28" s="194"/>
      <c r="T28" s="194"/>
      <c r="U28" s="194"/>
      <c r="V28" s="194"/>
      <c r="W28" s="194"/>
      <c r="X28" s="194"/>
      <c r="Y28" s="194"/>
      <c r="Z28" s="194"/>
      <c r="AA28" s="194"/>
      <c r="AB28" s="194"/>
    </row>
    <row r="29" spans="1:28" ht="14.25" customHeight="1">
      <c r="A29" s="192"/>
      <c r="B29" s="201"/>
      <c r="C29" s="201"/>
      <c r="D29" s="201"/>
      <c r="E29" s="201"/>
      <c r="F29" s="201"/>
      <c r="H29" s="201" t="s">
        <v>258</v>
      </c>
      <c r="I29" s="201" t="s">
        <v>242</v>
      </c>
      <c r="J29" s="201">
        <f>(2/7)*D22</f>
        <v>391230</v>
      </c>
      <c r="K29" s="203">
        <f t="shared" ref="K29:K30" si="2">J29*F17/1000</f>
        <v>6220.5569999999998</v>
      </c>
      <c r="L29" s="201">
        <f t="shared" si="1"/>
        <v>559850.13</v>
      </c>
      <c r="N29" s="194"/>
      <c r="O29" s="194"/>
      <c r="P29" s="194"/>
      <c r="Q29" s="194"/>
      <c r="R29" s="194"/>
      <c r="S29" s="194"/>
      <c r="T29" s="194"/>
      <c r="U29" s="194"/>
      <c r="V29" s="194"/>
      <c r="W29" s="194"/>
      <c r="X29" s="194"/>
      <c r="Y29" s="194"/>
      <c r="Z29" s="194"/>
      <c r="AA29" s="194"/>
      <c r="AB29" s="194"/>
    </row>
    <row r="30" spans="1:28" ht="14.25" customHeight="1" thickBot="1">
      <c r="A30" s="192"/>
      <c r="B30" s="201"/>
      <c r="C30" s="201"/>
      <c r="D30" s="201"/>
      <c r="E30" s="201"/>
      <c r="F30" s="201"/>
      <c r="H30" s="201" t="s">
        <v>245</v>
      </c>
      <c r="I30" s="201" t="s">
        <v>234</v>
      </c>
      <c r="J30" s="202">
        <v>7.2233577360000014</v>
      </c>
      <c r="K30" s="203">
        <f t="shared" si="2"/>
        <v>13.363211811600001</v>
      </c>
      <c r="L30" s="201">
        <f t="shared" si="1"/>
        <v>1202.689063044</v>
      </c>
      <c r="N30" s="194"/>
      <c r="O30" s="194"/>
      <c r="P30" s="194"/>
      <c r="Q30" s="194"/>
      <c r="R30" s="194"/>
      <c r="S30" s="194"/>
      <c r="T30" s="194"/>
      <c r="U30" s="194"/>
      <c r="V30" s="194"/>
      <c r="W30" s="194"/>
      <c r="X30" s="194"/>
      <c r="Y30" s="194"/>
      <c r="Z30" s="194"/>
      <c r="AA30" s="194"/>
      <c r="AB30" s="194"/>
    </row>
    <row r="31" spans="1:28" ht="14.25" customHeight="1" thickTop="1" thickBot="1">
      <c r="A31" s="192"/>
      <c r="B31" s="204" t="s">
        <v>259</v>
      </c>
      <c r="C31" s="319">
        <f>SUM(F27:F28)</f>
        <v>24239600.831250001</v>
      </c>
      <c r="D31" s="320"/>
      <c r="E31" s="320"/>
      <c r="F31" s="321"/>
      <c r="G31" s="205"/>
      <c r="H31" s="206" t="s">
        <v>259</v>
      </c>
      <c r="I31" s="319">
        <f>SUM(L27:L30)</f>
        <v>39792223.954135038</v>
      </c>
      <c r="J31" s="320"/>
      <c r="K31" s="320"/>
      <c r="L31" s="321"/>
      <c r="M31" s="192"/>
      <c r="N31" s="192"/>
      <c r="O31" s="192"/>
      <c r="P31" s="192"/>
      <c r="Q31" s="192"/>
      <c r="R31" s="192"/>
      <c r="S31" s="192"/>
      <c r="T31" s="192"/>
      <c r="U31" s="192"/>
      <c r="V31" s="192"/>
      <c r="W31" s="192"/>
      <c r="X31" s="192"/>
      <c r="Y31" s="192"/>
      <c r="Z31" s="192"/>
      <c r="AA31" s="192"/>
      <c r="AB31" s="192"/>
    </row>
    <row r="32" spans="1:28" ht="14.25" customHeight="1" thickTop="1"/>
    <row r="33" spans="1:28" ht="27.75" customHeight="1">
      <c r="A33" s="172"/>
      <c r="B33" s="322" t="s">
        <v>260</v>
      </c>
      <c r="C33" s="259"/>
      <c r="D33" s="259"/>
      <c r="E33" s="259"/>
      <c r="F33" s="259"/>
      <c r="G33" s="259"/>
      <c r="H33" s="259"/>
      <c r="I33" s="259"/>
      <c r="J33" s="259"/>
      <c r="K33" s="259"/>
      <c r="L33" s="259"/>
      <c r="M33" s="259"/>
      <c r="N33" s="259"/>
      <c r="O33" s="259"/>
      <c r="P33" s="259"/>
      <c r="Q33" s="259"/>
      <c r="R33" s="259"/>
      <c r="S33" s="259"/>
      <c r="T33" s="259"/>
      <c r="U33" s="259"/>
      <c r="V33" s="259"/>
      <c r="W33" s="259"/>
      <c r="X33" s="259"/>
      <c r="Y33" s="259"/>
      <c r="Z33" s="259"/>
      <c r="AA33" s="259"/>
      <c r="AB33" s="259"/>
    </row>
    <row r="34" spans="1:28" ht="14.25" customHeight="1"/>
    <row r="35" spans="1:28" ht="20.25" customHeight="1">
      <c r="A35" s="173"/>
      <c r="B35" s="323" t="s">
        <v>261</v>
      </c>
      <c r="C35" s="259"/>
      <c r="D35" s="259"/>
      <c r="E35" s="259"/>
      <c r="F35" s="259"/>
      <c r="G35" s="259"/>
      <c r="H35" s="259"/>
      <c r="I35" s="259"/>
      <c r="J35" s="259"/>
      <c r="K35" s="259"/>
      <c r="L35" s="259"/>
      <c r="M35" s="259"/>
      <c r="N35" s="259"/>
      <c r="O35" s="259"/>
      <c r="P35" s="259"/>
      <c r="Q35" s="259"/>
      <c r="R35" s="259"/>
      <c r="S35" s="259"/>
      <c r="T35" s="259"/>
      <c r="U35" s="259"/>
      <c r="V35" s="259"/>
      <c r="W35" s="259"/>
      <c r="X35" s="259"/>
      <c r="Y35" s="259"/>
      <c r="Z35" s="259"/>
      <c r="AA35" s="259"/>
      <c r="AB35" s="259"/>
    </row>
    <row r="36" spans="1:28" ht="14.25" customHeight="1"/>
    <row r="37" spans="1:28" ht="14.25" customHeight="1">
      <c r="B37" s="207" t="s">
        <v>268</v>
      </c>
      <c r="C37" s="208">
        <v>1</v>
      </c>
      <c r="D37" s="209" t="s">
        <v>269</v>
      </c>
    </row>
    <row r="38" spans="1:28" ht="14.25" customHeight="1">
      <c r="B38" s="207" t="s">
        <v>270</v>
      </c>
      <c r="C38" s="208">
        <f>C37*2</f>
        <v>2</v>
      </c>
      <c r="D38" s="209" t="s">
        <v>269</v>
      </c>
    </row>
    <row r="39" spans="1:28" ht="14.25" customHeight="1">
      <c r="B39" s="207" t="s">
        <v>271</v>
      </c>
      <c r="C39" s="210">
        <v>0.12</v>
      </c>
      <c r="D39" s="209" t="s">
        <v>272</v>
      </c>
    </row>
    <row r="40" spans="1:28" ht="14.25" customHeight="1">
      <c r="B40" s="207" t="s">
        <v>273</v>
      </c>
      <c r="C40" s="208">
        <v>100</v>
      </c>
      <c r="D40" s="209" t="s">
        <v>274</v>
      </c>
    </row>
    <row r="41" spans="1:28" ht="14.25" customHeight="1">
      <c r="B41" s="207" t="s">
        <v>275</v>
      </c>
      <c r="C41" s="208">
        <v>94</v>
      </c>
      <c r="D41" s="209" t="s">
        <v>276</v>
      </c>
    </row>
    <row r="42" spans="1:28" ht="14.25" customHeight="1">
      <c r="B42" s="207" t="s">
        <v>277</v>
      </c>
      <c r="C42" s="210">
        <v>0.4</v>
      </c>
      <c r="D42" s="209" t="s">
        <v>272</v>
      </c>
    </row>
    <row r="43" spans="1:28" ht="14.25" customHeight="1">
      <c r="B43" s="207" t="s">
        <v>278</v>
      </c>
      <c r="C43" s="210">
        <v>0.6</v>
      </c>
      <c r="D43" s="209" t="s">
        <v>272</v>
      </c>
    </row>
    <row r="44" spans="1:28" ht="14.25" customHeight="1">
      <c r="B44" s="211" t="s">
        <v>279</v>
      </c>
      <c r="C44" s="324">
        <f>C42*C38*C41*C39*C40*1000000</f>
        <v>902399999.99999988</v>
      </c>
      <c r="D44" s="280"/>
    </row>
    <row r="45" spans="1:28" ht="14.25" customHeight="1"/>
    <row r="46" spans="1:28" ht="20.25" customHeight="1">
      <c r="A46" s="173"/>
      <c r="B46" s="323" t="s">
        <v>280</v>
      </c>
      <c r="C46" s="259"/>
      <c r="D46" s="259"/>
      <c r="E46" s="259"/>
      <c r="F46" s="259"/>
      <c r="G46" s="259"/>
      <c r="H46" s="259"/>
      <c r="I46" s="259"/>
      <c r="J46" s="259"/>
      <c r="K46" s="259"/>
      <c r="L46" s="259"/>
      <c r="M46" s="259"/>
      <c r="N46" s="259"/>
      <c r="O46" s="259"/>
      <c r="P46" s="259"/>
      <c r="Q46" s="259"/>
      <c r="R46" s="259"/>
      <c r="S46" s="259"/>
      <c r="T46" s="259"/>
      <c r="U46" s="259"/>
      <c r="V46" s="259"/>
      <c r="W46" s="259"/>
      <c r="X46" s="259"/>
      <c r="Y46" s="259"/>
      <c r="Z46" s="259"/>
      <c r="AA46" s="259"/>
      <c r="AB46" s="259"/>
    </row>
    <row r="47" spans="1:28" ht="14.25" customHeight="1"/>
    <row r="48" spans="1:28" ht="14.25" customHeight="1">
      <c r="B48" s="212" t="s">
        <v>281</v>
      </c>
      <c r="C48" s="213">
        <v>2.0000000000000001E-4</v>
      </c>
      <c r="D48" s="212" t="s">
        <v>272</v>
      </c>
    </row>
    <row r="49" spans="1:28" ht="14.25" customHeight="1">
      <c r="B49" s="212" t="s">
        <v>282</v>
      </c>
      <c r="C49" s="212">
        <f>C38*C41*1.6*C42</f>
        <v>120.32000000000001</v>
      </c>
      <c r="D49" s="212" t="s">
        <v>283</v>
      </c>
    </row>
    <row r="50" spans="1:28" ht="14.25" customHeight="1">
      <c r="B50" s="212" t="s">
        <v>284</v>
      </c>
      <c r="C50" s="214">
        <f>C49*C40*10000000+C44</f>
        <v>121222400000</v>
      </c>
      <c r="D50" s="212" t="s">
        <v>186</v>
      </c>
    </row>
    <row r="51" spans="1:28" ht="14.25" customHeight="1">
      <c r="B51" s="215" t="s">
        <v>285</v>
      </c>
      <c r="C51" s="325">
        <f>C48*C49*C50</f>
        <v>2917095833.6000004</v>
      </c>
      <c r="D51" s="259"/>
    </row>
    <row r="52" spans="1:28" ht="14.25" customHeight="1"/>
    <row r="53" spans="1:28" ht="14.25" customHeight="1"/>
    <row r="54" spans="1:28" ht="20.25" customHeight="1">
      <c r="A54" s="173"/>
      <c r="B54" s="323" t="s">
        <v>286</v>
      </c>
      <c r="C54" s="259"/>
      <c r="D54" s="259"/>
      <c r="E54" s="259"/>
      <c r="F54" s="259"/>
      <c r="G54" s="259"/>
      <c r="H54" s="259"/>
      <c r="I54" s="259"/>
      <c r="J54" s="259"/>
      <c r="K54" s="259"/>
      <c r="L54" s="259"/>
      <c r="M54" s="259"/>
      <c r="N54" s="259"/>
      <c r="O54" s="259"/>
      <c r="P54" s="259"/>
      <c r="Q54" s="259"/>
      <c r="R54" s="259"/>
      <c r="S54" s="259"/>
      <c r="T54" s="259"/>
      <c r="U54" s="259"/>
      <c r="V54" s="259"/>
      <c r="W54" s="259"/>
      <c r="X54" s="259"/>
      <c r="Y54" s="259"/>
      <c r="Z54" s="259"/>
      <c r="AA54" s="259"/>
      <c r="AB54" s="259"/>
    </row>
    <row r="55" spans="1:28" ht="14.25" customHeight="1">
      <c r="C55" s="317" t="s">
        <v>24</v>
      </c>
      <c r="D55" s="259"/>
      <c r="E55" s="317" t="s">
        <v>25</v>
      </c>
      <c r="F55" s="259"/>
    </row>
    <row r="56" spans="1:28" ht="14.25" customHeight="1">
      <c r="B56" s="216" t="s">
        <v>287</v>
      </c>
      <c r="C56" s="217">
        <f>C31*83.3</f>
        <v>2019158749.243125</v>
      </c>
      <c r="D56" s="216" t="s">
        <v>288</v>
      </c>
      <c r="E56" s="217">
        <f>I31*83.3</f>
        <v>3314692255.3794484</v>
      </c>
      <c r="F56" s="216" t="s">
        <v>288</v>
      </c>
    </row>
    <row r="57" spans="1:28" ht="14.25" customHeight="1">
      <c r="B57" s="216" t="s">
        <v>289</v>
      </c>
      <c r="C57" s="217">
        <v>6344555878.5</v>
      </c>
      <c r="D57" s="216" t="s">
        <v>288</v>
      </c>
      <c r="E57" s="217">
        <v>9818033757.7393188</v>
      </c>
      <c r="F57" s="216" t="s">
        <v>288</v>
      </c>
    </row>
    <row r="58" spans="1:28" ht="14.25" customHeight="1">
      <c r="B58" s="216" t="s">
        <v>290</v>
      </c>
      <c r="C58" s="217">
        <v>85050000</v>
      </c>
      <c r="D58" s="216" t="s">
        <v>291</v>
      </c>
      <c r="E58" s="217">
        <v>56700000</v>
      </c>
      <c r="F58" s="216" t="s">
        <v>291</v>
      </c>
    </row>
    <row r="59" spans="1:28" ht="14.25" customHeight="1">
      <c r="B59" s="216" t="s">
        <v>292</v>
      </c>
      <c r="C59" s="217">
        <v>226800000</v>
      </c>
      <c r="D59" s="216" t="s">
        <v>293</v>
      </c>
      <c r="E59" s="217">
        <v>113400000</v>
      </c>
      <c r="F59" s="216" t="s">
        <v>294</v>
      </c>
    </row>
    <row r="60" spans="1:28" ht="14.25" customHeight="1">
      <c r="B60" s="216" t="s">
        <v>295</v>
      </c>
      <c r="C60" s="218">
        <f>-PMT(0.12,20,C56,,0) +C58 - PMT(0.12,3,C59,,0) - PMT(0.12,20,C57,,0)</f>
        <v>1299201859.7530103</v>
      </c>
      <c r="D60" s="216"/>
      <c r="E60" s="217">
        <f>E58 - PMT(0.12,20,E56+E57,,0) - PMT(0.12,5,E59,,0)</f>
        <v>1846351600.8335719</v>
      </c>
      <c r="F60" s="216"/>
    </row>
    <row r="61" spans="1:28" ht="14.25" customHeight="1">
      <c r="B61" s="219" t="s">
        <v>296</v>
      </c>
      <c r="C61" s="220">
        <f>C44</f>
        <v>902399999.99999988</v>
      </c>
      <c r="D61" s="219" t="s">
        <v>288</v>
      </c>
      <c r="E61" s="220">
        <f>C44</f>
        <v>902399999.99999988</v>
      </c>
      <c r="F61" s="219" t="s">
        <v>288</v>
      </c>
    </row>
    <row r="62" spans="1:28" ht="14.25" customHeight="1">
      <c r="B62" s="219" t="s">
        <v>297</v>
      </c>
      <c r="C62" s="220">
        <f>C51</f>
        <v>2917095833.6000004</v>
      </c>
      <c r="D62" s="219" t="s">
        <v>291</v>
      </c>
      <c r="E62" s="220">
        <f>C51</f>
        <v>2917095833.6000004</v>
      </c>
      <c r="F62" s="219" t="s">
        <v>291</v>
      </c>
    </row>
    <row r="63" spans="1:28" ht="14.25" customHeight="1">
      <c r="B63" s="219" t="s">
        <v>298</v>
      </c>
      <c r="C63" s="220">
        <v>763260077.5</v>
      </c>
      <c r="D63" s="219" t="s">
        <v>291</v>
      </c>
      <c r="E63" s="220">
        <v>763260077.5</v>
      </c>
      <c r="F63" s="219" t="s">
        <v>291</v>
      </c>
    </row>
    <row r="64" spans="1:28" ht="14.25" customHeight="1">
      <c r="B64" s="219" t="s">
        <v>299</v>
      </c>
      <c r="C64" s="220">
        <f>C51 +C63 - PMT(0.12,20,C61,,0)</f>
        <v>3801168122.2077904</v>
      </c>
      <c r="D64" s="220"/>
      <c r="E64" s="220">
        <f>E62+E63 - PMT(0.12,30,E61,,0)</f>
        <v>3792383147.6748738</v>
      </c>
      <c r="F64" s="219"/>
    </row>
    <row r="65" spans="2:6" ht="14.25" customHeight="1">
      <c r="B65" s="215" t="s">
        <v>285</v>
      </c>
      <c r="C65" s="221">
        <f>C64/(C60)</f>
        <v>2.9257717680071869</v>
      </c>
      <c r="D65" s="221"/>
      <c r="E65" s="221">
        <f>E64/E60</f>
        <v>2.0539875210998422</v>
      </c>
      <c r="F65" s="221"/>
    </row>
    <row r="66" spans="2:6" ht="14.25" customHeight="1"/>
    <row r="67" spans="2:6" ht="14.25" customHeight="1"/>
    <row r="68" spans="2:6" ht="14.25" customHeight="1"/>
    <row r="69" spans="2:6" ht="14.25" customHeight="1"/>
    <row r="70" spans="2:6" ht="14.25" customHeight="1"/>
    <row r="71" spans="2:6" ht="14.25" customHeight="1"/>
    <row r="72" spans="2:6" ht="14.25" customHeight="1"/>
    <row r="73" spans="2:6" ht="14.25" customHeight="1"/>
    <row r="74" spans="2:6" ht="14.25" customHeight="1"/>
    <row r="75" spans="2:6" ht="14.25" customHeight="1"/>
    <row r="76" spans="2:6" ht="14.25" customHeight="1"/>
    <row r="77" spans="2:6" ht="14.25" customHeight="1"/>
    <row r="78" spans="2:6" ht="14.25" customHeight="1"/>
    <row r="79" spans="2:6" ht="14.25" customHeight="1"/>
    <row r="80" spans="2: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sheetData>
  <mergeCells count="24">
    <mergeCell ref="H24:L24"/>
    <mergeCell ref="B5:AB5"/>
    <mergeCell ref="B7:AB7"/>
    <mergeCell ref="B8:F8"/>
    <mergeCell ref="H8:K8"/>
    <mergeCell ref="B9:C9"/>
    <mergeCell ref="B10:B11"/>
    <mergeCell ref="B12:B14"/>
    <mergeCell ref="B15:B17"/>
    <mergeCell ref="B21:C21"/>
    <mergeCell ref="B22:C22"/>
    <mergeCell ref="B24:F24"/>
    <mergeCell ref="C55:D55"/>
    <mergeCell ref="E55:F55"/>
    <mergeCell ref="B25:F25"/>
    <mergeCell ref="H25:L25"/>
    <mergeCell ref="C31:F31"/>
    <mergeCell ref="I31:L31"/>
    <mergeCell ref="B33:AB33"/>
    <mergeCell ref="B54:AB54"/>
    <mergeCell ref="B35:AB35"/>
    <mergeCell ref="C44:D44"/>
    <mergeCell ref="B46:AB46"/>
    <mergeCell ref="C51:D5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F31AA-BC39-4C39-88A6-2536A983D96F}">
  <dimension ref="A1:AA1000"/>
  <sheetViews>
    <sheetView topLeftCell="A27" zoomScale="54" workbookViewId="0">
      <selection activeCell="E48" sqref="E48"/>
    </sheetView>
  </sheetViews>
  <sheetFormatPr defaultColWidth="14.44140625" defaultRowHeight="15" customHeight="1"/>
  <cols>
    <col min="1" max="1" width="26.33203125" customWidth="1"/>
    <col min="2" max="2" width="16.44140625" customWidth="1"/>
    <col min="3" max="3" width="16.109375" customWidth="1"/>
    <col min="4" max="4" width="38" customWidth="1"/>
    <col min="5" max="6" width="28.44140625" customWidth="1"/>
    <col min="7" max="7" width="16.109375" customWidth="1"/>
    <col min="8" max="8" width="17.33203125" customWidth="1"/>
    <col min="9" max="9" width="16.109375" customWidth="1"/>
    <col min="10" max="10" width="20.6640625" customWidth="1"/>
    <col min="11" max="11" width="8.6640625" customWidth="1"/>
    <col min="12" max="12" width="10.44140625" customWidth="1"/>
    <col min="13" max="13" width="25.6640625" customWidth="1"/>
    <col min="14" max="14" width="20.6640625" customWidth="1"/>
    <col min="15" max="15" width="17.6640625" customWidth="1"/>
    <col min="16" max="27" width="8.6640625" customWidth="1"/>
  </cols>
  <sheetData>
    <row r="1" spans="1:27" ht="14.25" customHeight="1">
      <c r="A1" s="222"/>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row>
    <row r="2" spans="1:27" ht="14.25" customHeight="1">
      <c r="A2" s="222"/>
      <c r="B2" s="222"/>
      <c r="C2" s="222"/>
      <c r="D2" s="222"/>
      <c r="E2" s="222"/>
      <c r="F2" s="222"/>
      <c r="G2" s="222"/>
      <c r="H2" s="222"/>
      <c r="I2" s="222"/>
      <c r="J2" s="222"/>
      <c r="K2" s="222"/>
      <c r="L2" s="222"/>
      <c r="M2" s="222"/>
      <c r="N2" s="222"/>
      <c r="O2" s="222"/>
      <c r="P2" s="222"/>
      <c r="Q2" s="222"/>
      <c r="R2" s="222"/>
      <c r="S2" s="222"/>
      <c r="T2" s="222"/>
      <c r="U2" s="222"/>
      <c r="V2" s="222"/>
      <c r="W2" s="222"/>
      <c r="X2" s="222"/>
      <c r="Y2" s="222"/>
      <c r="Z2" s="222"/>
      <c r="AA2" s="222"/>
    </row>
    <row r="3" spans="1:27" ht="14.25" customHeight="1">
      <c r="A3" s="222"/>
      <c r="B3" s="222"/>
      <c r="C3" s="222"/>
      <c r="D3" s="222"/>
      <c r="E3" s="222"/>
      <c r="F3" s="222"/>
      <c r="G3" s="222"/>
      <c r="H3" s="222"/>
      <c r="I3" s="222"/>
      <c r="J3" s="222"/>
      <c r="K3" s="222"/>
      <c r="L3" s="222"/>
      <c r="M3" s="222"/>
      <c r="N3" s="222"/>
      <c r="O3" s="222"/>
      <c r="P3" s="222"/>
      <c r="Q3" s="222"/>
      <c r="R3" s="222"/>
      <c r="S3" s="222"/>
      <c r="T3" s="222"/>
      <c r="U3" s="222"/>
      <c r="V3" s="222"/>
      <c r="W3" s="222"/>
      <c r="X3" s="222"/>
      <c r="Y3" s="222"/>
      <c r="Z3" s="222"/>
      <c r="AA3" s="222"/>
    </row>
    <row r="4" spans="1:27" ht="14.25" customHeight="1">
      <c r="A4" s="222"/>
      <c r="B4" s="222"/>
      <c r="C4" s="222"/>
      <c r="D4" s="222"/>
      <c r="E4" s="222"/>
      <c r="F4" s="222"/>
      <c r="G4" s="222"/>
      <c r="H4" s="222"/>
      <c r="I4" s="222"/>
      <c r="J4" s="222"/>
      <c r="K4" s="222"/>
      <c r="L4" s="222"/>
      <c r="M4" s="222"/>
      <c r="N4" s="222"/>
      <c r="O4" s="222"/>
      <c r="P4" s="222"/>
      <c r="Q4" s="222"/>
      <c r="R4" s="222"/>
      <c r="S4" s="222"/>
      <c r="T4" s="222"/>
      <c r="U4" s="222"/>
      <c r="V4" s="222"/>
      <c r="W4" s="222"/>
      <c r="X4" s="222"/>
      <c r="Y4" s="222"/>
      <c r="Z4" s="222"/>
      <c r="AA4" s="222"/>
    </row>
    <row r="5" spans="1:27" ht="14.25" customHeight="1">
      <c r="A5" s="222"/>
      <c r="B5" s="337" t="s">
        <v>25</v>
      </c>
      <c r="C5" s="280"/>
      <c r="D5" s="222"/>
      <c r="E5" s="337" t="s">
        <v>300</v>
      </c>
      <c r="F5" s="280"/>
      <c r="G5" s="222"/>
      <c r="H5" s="222"/>
      <c r="I5" s="222"/>
      <c r="J5" s="222"/>
      <c r="K5" s="222"/>
      <c r="L5" s="222"/>
      <c r="M5" s="222"/>
      <c r="N5" s="222"/>
      <c r="O5" s="222"/>
      <c r="P5" s="222"/>
      <c r="Q5" s="222"/>
      <c r="R5" s="222"/>
      <c r="S5" s="222"/>
      <c r="T5" s="222"/>
      <c r="U5" s="222"/>
      <c r="V5" s="222"/>
      <c r="W5" s="222"/>
      <c r="X5" s="222"/>
      <c r="Y5" s="222"/>
      <c r="Z5" s="222"/>
      <c r="AA5" s="222"/>
    </row>
    <row r="6" spans="1:27" ht="14.25" customHeight="1">
      <c r="A6" s="222"/>
      <c r="B6" s="223" t="s">
        <v>289</v>
      </c>
      <c r="C6" s="224">
        <v>9818033757.7393188</v>
      </c>
      <c r="D6" s="222"/>
      <c r="E6" s="223" t="s">
        <v>289</v>
      </c>
      <c r="F6" s="225">
        <v>6344555878.5</v>
      </c>
      <c r="G6" s="222"/>
      <c r="H6" s="222"/>
      <c r="I6" s="222"/>
      <c r="J6" s="222"/>
      <c r="K6" s="222"/>
      <c r="L6" s="222"/>
      <c r="M6" s="222"/>
      <c r="N6" s="222"/>
      <c r="O6" s="222"/>
      <c r="P6" s="222"/>
      <c r="Q6" s="222"/>
      <c r="R6" s="222"/>
      <c r="S6" s="222"/>
      <c r="T6" s="222"/>
      <c r="U6" s="222"/>
      <c r="V6" s="222"/>
      <c r="W6" s="222"/>
      <c r="X6" s="222"/>
      <c r="Y6" s="222"/>
      <c r="Z6" s="222"/>
      <c r="AA6" s="222"/>
    </row>
    <row r="7" spans="1:27" ht="14.25" customHeight="1">
      <c r="A7" s="222"/>
      <c r="B7" s="223" t="s">
        <v>290</v>
      </c>
      <c r="C7" s="224">
        <v>56700000</v>
      </c>
      <c r="D7" s="222"/>
      <c r="E7" s="223" t="s">
        <v>290</v>
      </c>
      <c r="F7" s="224">
        <v>85050000</v>
      </c>
      <c r="G7" s="222"/>
      <c r="H7" s="222"/>
      <c r="I7" s="222"/>
      <c r="J7" s="222"/>
      <c r="K7" s="222"/>
      <c r="L7" s="222"/>
      <c r="M7" s="222"/>
      <c r="N7" s="222"/>
      <c r="O7" s="222"/>
      <c r="P7" s="222"/>
      <c r="Q7" s="222"/>
      <c r="R7" s="222"/>
      <c r="S7" s="222"/>
      <c r="T7" s="222"/>
      <c r="U7" s="222"/>
      <c r="V7" s="222"/>
      <c r="W7" s="222"/>
      <c r="X7" s="222"/>
      <c r="Y7" s="222"/>
      <c r="Z7" s="222"/>
      <c r="AA7" s="222"/>
    </row>
    <row r="8" spans="1:27" ht="14.25" customHeight="1">
      <c r="A8" s="222"/>
      <c r="B8" s="223" t="s">
        <v>194</v>
      </c>
      <c r="C8" s="226">
        <v>0.12</v>
      </c>
      <c r="D8" s="222"/>
      <c r="E8" s="223" t="s">
        <v>194</v>
      </c>
      <c r="F8" s="226">
        <v>0.12</v>
      </c>
      <c r="G8" s="222"/>
      <c r="H8" s="222"/>
      <c r="I8" s="222"/>
      <c r="J8" s="222"/>
      <c r="K8" s="222"/>
      <c r="L8" s="222"/>
      <c r="M8" s="222"/>
      <c r="N8" s="222"/>
      <c r="O8" s="222"/>
      <c r="P8" s="222"/>
      <c r="Q8" s="222"/>
      <c r="R8" s="222"/>
      <c r="S8" s="222"/>
      <c r="T8" s="222"/>
      <c r="U8" s="222"/>
      <c r="V8" s="222"/>
      <c r="W8" s="222"/>
      <c r="X8" s="222"/>
      <c r="Y8" s="222"/>
      <c r="Z8" s="222"/>
      <c r="AA8" s="222"/>
    </row>
    <row r="9" spans="1:27" ht="14.25" customHeight="1">
      <c r="A9" s="222"/>
      <c r="B9" s="223"/>
      <c r="C9" s="224"/>
      <c r="D9" s="222"/>
      <c r="E9" s="223"/>
      <c r="F9" s="224"/>
      <c r="G9" s="222"/>
      <c r="H9" s="222"/>
      <c r="I9" s="222"/>
      <c r="J9" s="222"/>
      <c r="K9" s="222"/>
      <c r="L9" s="222"/>
      <c r="M9" s="338" t="s">
        <v>301</v>
      </c>
      <c r="N9" s="259"/>
      <c r="O9" s="222" t="s">
        <v>302</v>
      </c>
      <c r="P9" s="222"/>
      <c r="Q9" s="222"/>
      <c r="R9" s="222"/>
      <c r="S9" s="222"/>
      <c r="T9" s="222"/>
      <c r="U9" s="222"/>
      <c r="V9" s="222"/>
      <c r="W9" s="222"/>
      <c r="X9" s="222"/>
      <c r="Y9" s="222"/>
      <c r="Z9" s="222"/>
      <c r="AA9" s="222"/>
    </row>
    <row r="10" spans="1:27" ht="27">
      <c r="A10" s="222"/>
      <c r="B10" s="227" t="s">
        <v>303</v>
      </c>
      <c r="C10" s="225">
        <v>763260077.5</v>
      </c>
      <c r="D10" s="222"/>
      <c r="E10" s="227" t="s">
        <v>303</v>
      </c>
      <c r="F10" s="225">
        <v>763260077.5</v>
      </c>
      <c r="G10" s="222"/>
      <c r="H10" s="222"/>
      <c r="I10" s="222"/>
      <c r="J10" s="222"/>
      <c r="K10" s="222"/>
      <c r="L10" s="228" t="s">
        <v>194</v>
      </c>
      <c r="M10" s="229" t="s">
        <v>304</v>
      </c>
      <c r="N10" s="229" t="s">
        <v>305</v>
      </c>
      <c r="O10" s="228"/>
      <c r="P10" s="222"/>
      <c r="Q10" s="222"/>
      <c r="R10" s="222"/>
      <c r="S10" s="222"/>
      <c r="T10" s="222"/>
      <c r="U10" s="222"/>
      <c r="V10" s="222"/>
      <c r="W10" s="222"/>
      <c r="X10" s="222"/>
      <c r="Y10" s="222"/>
      <c r="Z10" s="222"/>
      <c r="AA10" s="222"/>
    </row>
    <row r="11" spans="1:27" ht="14.25" customHeight="1">
      <c r="A11" s="222"/>
      <c r="B11" s="223" t="s">
        <v>43</v>
      </c>
      <c r="C11" s="224">
        <v>30</v>
      </c>
      <c r="D11" s="222"/>
      <c r="E11" s="223" t="s">
        <v>43</v>
      </c>
      <c r="F11" s="224">
        <v>20</v>
      </c>
      <c r="G11" s="222"/>
      <c r="H11" s="222"/>
      <c r="I11" s="222"/>
      <c r="J11" s="222"/>
      <c r="K11" s="222"/>
      <c r="L11" s="228"/>
      <c r="M11" s="228"/>
      <c r="N11" s="228"/>
      <c r="O11" s="228"/>
      <c r="P11" s="222"/>
      <c r="Q11" s="222"/>
      <c r="R11" s="222"/>
      <c r="S11" s="222"/>
      <c r="T11" s="222"/>
      <c r="U11" s="222"/>
      <c r="V11" s="222"/>
      <c r="W11" s="222"/>
      <c r="X11" s="222"/>
      <c r="Y11" s="222"/>
      <c r="Z11" s="222"/>
      <c r="AA11" s="222"/>
    </row>
    <row r="12" spans="1:27" ht="14.25" customHeight="1">
      <c r="A12" s="222"/>
      <c r="B12" s="223"/>
      <c r="C12" s="223"/>
      <c r="D12" s="222"/>
      <c r="E12" s="223"/>
      <c r="F12" s="223"/>
      <c r="G12" s="222"/>
      <c r="H12" s="222"/>
      <c r="I12" s="222"/>
      <c r="J12" s="222"/>
      <c r="K12" s="222"/>
      <c r="L12" s="230">
        <v>0.13</v>
      </c>
      <c r="M12" s="231">
        <f t="shared" ref="M12:M32" si="0">PMT($L12,$C$11,$C$6,,0)-$C$7+$C$10</f>
        <v>-603270191.09568882</v>
      </c>
      <c r="N12" s="231">
        <f t="shared" ref="N12:N32" si="1">PMT($L12,$F$11,$F$6,,0)-$F$7+$F$10</f>
        <v>-224961487.78523588</v>
      </c>
      <c r="O12" s="232">
        <f t="shared" ref="O12:O32" si="2">M12 - N12</f>
        <v>-378308703.31045294</v>
      </c>
      <c r="P12" s="222"/>
      <c r="Q12" s="222"/>
      <c r="R12" s="222"/>
      <c r="S12" s="222"/>
      <c r="T12" s="222"/>
      <c r="U12" s="222"/>
      <c r="V12" s="222"/>
      <c r="W12" s="222"/>
      <c r="X12" s="222"/>
      <c r="Y12" s="222"/>
      <c r="Z12" s="222"/>
      <c r="AA12" s="222"/>
    </row>
    <row r="13" spans="1:27" ht="14.25" customHeight="1">
      <c r="A13" s="222"/>
      <c r="B13" s="227"/>
      <c r="C13" s="225"/>
      <c r="D13" s="222"/>
      <c r="E13" s="223"/>
      <c r="F13" s="223"/>
      <c r="G13" s="222"/>
      <c r="H13" s="222"/>
      <c r="I13" s="222"/>
      <c r="J13" s="222"/>
      <c r="K13" s="222"/>
      <c r="L13" s="230">
        <v>0.129</v>
      </c>
      <c r="M13" s="231">
        <f t="shared" si="0"/>
        <v>-594113069.82706785</v>
      </c>
      <c r="N13" s="231">
        <f t="shared" si="1"/>
        <v>-219538087.35405612</v>
      </c>
      <c r="O13" s="232">
        <f t="shared" si="2"/>
        <v>-374574982.47301173</v>
      </c>
      <c r="P13" s="222"/>
      <c r="Q13" s="222"/>
      <c r="R13" s="222"/>
      <c r="S13" s="222"/>
      <c r="T13" s="222"/>
      <c r="U13" s="222"/>
      <c r="V13" s="222"/>
      <c r="W13" s="222"/>
      <c r="X13" s="222"/>
      <c r="Y13" s="222"/>
      <c r="Z13" s="222"/>
      <c r="AA13" s="222"/>
    </row>
    <row r="14" spans="1:27" ht="14.25" customHeight="1">
      <c r="A14" s="222"/>
      <c r="B14" s="223"/>
      <c r="C14" s="223"/>
      <c r="D14" s="222"/>
      <c r="E14" s="223"/>
      <c r="F14" s="223"/>
      <c r="G14" s="222"/>
      <c r="H14" s="222"/>
      <c r="I14" s="222"/>
      <c r="J14" s="222"/>
      <c r="K14" s="222"/>
      <c r="L14" s="230">
        <v>0.128</v>
      </c>
      <c r="M14" s="231">
        <f t="shared" si="0"/>
        <v>-584968422.93157959</v>
      </c>
      <c r="N14" s="231">
        <f t="shared" si="1"/>
        <v>-214124748.24649012</v>
      </c>
      <c r="O14" s="232">
        <f t="shared" si="2"/>
        <v>-370843674.68508947</v>
      </c>
      <c r="P14" s="222"/>
      <c r="Q14" s="222"/>
      <c r="R14" s="222"/>
      <c r="S14" s="222"/>
      <c r="T14" s="222"/>
      <c r="U14" s="222"/>
      <c r="V14" s="222"/>
      <c r="W14" s="222"/>
      <c r="X14" s="222"/>
      <c r="Y14" s="222"/>
      <c r="Z14" s="222"/>
      <c r="AA14" s="222"/>
    </row>
    <row r="15" spans="1:27" ht="14.25" customHeight="1">
      <c r="A15" s="222"/>
      <c r="B15" s="223" t="s">
        <v>306</v>
      </c>
      <c r="C15" s="233">
        <v>0.124143657551943</v>
      </c>
      <c r="D15" s="222"/>
      <c r="E15" s="223" t="s">
        <v>307</v>
      </c>
      <c r="F15" s="233">
        <v>0.13387878003966</v>
      </c>
      <c r="G15" s="222"/>
      <c r="H15" s="222"/>
      <c r="I15" s="222"/>
      <c r="J15" s="222"/>
      <c r="K15" s="222"/>
      <c r="L15" s="230">
        <v>0.127</v>
      </c>
      <c r="M15" s="231">
        <f t="shared" si="0"/>
        <v>-575836463.82339358</v>
      </c>
      <c r="N15" s="231">
        <f t="shared" si="1"/>
        <v>-208721562.03731489</v>
      </c>
      <c r="O15" s="232">
        <f t="shared" si="2"/>
        <v>-367114901.78607869</v>
      </c>
      <c r="P15" s="222"/>
      <c r="Q15" s="222"/>
      <c r="R15" s="222"/>
      <c r="S15" s="222"/>
      <c r="T15" s="222"/>
      <c r="U15" s="222"/>
      <c r="V15" s="222"/>
      <c r="W15" s="222"/>
      <c r="X15" s="222"/>
      <c r="Y15" s="222"/>
      <c r="Z15" s="222"/>
      <c r="AA15" s="222"/>
    </row>
    <row r="16" spans="1:27" ht="14.25" customHeight="1">
      <c r="A16" s="222"/>
      <c r="B16" s="223"/>
      <c r="C16" s="223"/>
      <c r="D16" s="222"/>
      <c r="E16" s="223"/>
      <c r="F16" s="223"/>
      <c r="G16" s="222"/>
      <c r="H16" s="222"/>
      <c r="I16" s="222"/>
      <c r="J16" s="222"/>
      <c r="K16" s="222"/>
      <c r="L16" s="230">
        <v>0.126</v>
      </c>
      <c r="M16" s="231">
        <f t="shared" si="0"/>
        <v>-566717408.79856753</v>
      </c>
      <c r="N16" s="231">
        <f t="shared" si="1"/>
        <v>-203328620.74415612</v>
      </c>
      <c r="O16" s="232">
        <f t="shared" si="2"/>
        <v>-363388788.05441141</v>
      </c>
      <c r="P16" s="222"/>
      <c r="Q16" s="222"/>
      <c r="R16" s="222"/>
      <c r="S16" s="222"/>
      <c r="T16" s="222"/>
      <c r="U16" s="222"/>
      <c r="V16" s="222"/>
      <c r="W16" s="222"/>
      <c r="X16" s="222"/>
      <c r="Y16" s="222"/>
      <c r="Z16" s="222"/>
      <c r="AA16" s="222"/>
    </row>
    <row r="17" spans="1:27" ht="14.25" customHeight="1">
      <c r="A17" s="222"/>
      <c r="B17" s="227" t="s">
        <v>308</v>
      </c>
      <c r="C17" s="234">
        <f>PMT(C8,C11,C6,,0)-C7+C10</f>
        <v>-512286543.15420794</v>
      </c>
      <c r="D17" s="222"/>
      <c r="E17" s="227" t="s">
        <v>309</v>
      </c>
      <c r="F17" s="234">
        <f>PMT(F8,F11,F6,,0)-F7+F10</f>
        <v>-171191323.4070375</v>
      </c>
      <c r="G17" s="222"/>
      <c r="H17" s="222"/>
      <c r="I17" s="222"/>
      <c r="J17" s="222"/>
      <c r="K17" s="222"/>
      <c r="L17" s="230">
        <v>0.125</v>
      </c>
      <c r="M17" s="231">
        <f t="shared" si="0"/>
        <v>-557611477.04795432</v>
      </c>
      <c r="N17" s="231">
        <f t="shared" si="1"/>
        <v>-197946016.82130754</v>
      </c>
      <c r="O17" s="232">
        <f t="shared" si="2"/>
        <v>-359665460.22664678</v>
      </c>
      <c r="P17" s="222"/>
      <c r="Q17" s="222"/>
      <c r="R17" s="222"/>
      <c r="S17" s="222"/>
      <c r="T17" s="222"/>
      <c r="U17" s="222"/>
      <c r="V17" s="222"/>
      <c r="W17" s="222"/>
      <c r="X17" s="222"/>
      <c r="Y17" s="222"/>
      <c r="Z17" s="222"/>
      <c r="AA17" s="222"/>
    </row>
    <row r="18" spans="1:27" ht="14.25" customHeight="1">
      <c r="A18" s="222"/>
      <c r="B18" s="223"/>
      <c r="C18" s="223"/>
      <c r="D18" s="222"/>
      <c r="E18" s="222"/>
      <c r="F18" s="222"/>
      <c r="G18" s="222"/>
      <c r="H18" s="222"/>
      <c r="I18" s="222"/>
      <c r="J18" s="222"/>
      <c r="K18" s="222"/>
      <c r="L18" s="230">
        <v>0.124</v>
      </c>
      <c r="M18" s="231">
        <f t="shared" si="0"/>
        <v>-548518890.6692009</v>
      </c>
      <c r="N18" s="231">
        <f t="shared" si="1"/>
        <v>-192573843.1533463</v>
      </c>
      <c r="O18" s="232">
        <f t="shared" si="2"/>
        <v>-355945047.5158546</v>
      </c>
      <c r="P18" s="222"/>
      <c r="Q18" s="222"/>
      <c r="R18" s="222"/>
      <c r="S18" s="222"/>
      <c r="T18" s="222"/>
      <c r="U18" s="222"/>
      <c r="V18" s="222"/>
      <c r="W18" s="222"/>
      <c r="X18" s="222"/>
      <c r="Y18" s="222"/>
      <c r="Z18" s="222"/>
      <c r="AA18" s="222"/>
    </row>
    <row r="19" spans="1:27" ht="14.25" customHeight="1">
      <c r="A19" s="222"/>
      <c r="B19" s="227" t="s">
        <v>310</v>
      </c>
      <c r="C19" s="225">
        <f>C17-F17</f>
        <v>-341095219.74717045</v>
      </c>
      <c r="D19" s="222"/>
      <c r="E19" s="222"/>
      <c r="F19" s="222"/>
      <c r="G19" s="222"/>
      <c r="H19" s="222"/>
      <c r="I19" s="222"/>
      <c r="J19" s="222"/>
      <c r="K19" s="222"/>
      <c r="L19" s="230">
        <v>0.123</v>
      </c>
      <c r="M19" s="231">
        <f t="shared" si="0"/>
        <v>-539439874.67779541</v>
      </c>
      <c r="N19" s="231">
        <f t="shared" si="1"/>
        <v>-187212193.04854441</v>
      </c>
      <c r="O19" s="232">
        <f t="shared" si="2"/>
        <v>-352227681.629251</v>
      </c>
      <c r="P19" s="222"/>
      <c r="Q19" s="222"/>
      <c r="R19" s="222"/>
      <c r="S19" s="222"/>
      <c r="T19" s="222"/>
      <c r="U19" s="222"/>
      <c r="V19" s="222"/>
      <c r="W19" s="222"/>
      <c r="X19" s="222"/>
      <c r="Y19" s="222"/>
      <c r="Z19" s="222"/>
      <c r="AA19" s="222"/>
    </row>
    <row r="20" spans="1:27" ht="14.25" customHeight="1">
      <c r="A20" s="222"/>
      <c r="B20" s="222"/>
      <c r="C20" s="222"/>
      <c r="D20" s="222"/>
      <c r="E20" s="222"/>
      <c r="F20" s="222"/>
      <c r="G20" s="222"/>
      <c r="H20" s="222"/>
      <c r="I20" s="222"/>
      <c r="J20" s="222"/>
      <c r="K20" s="222"/>
      <c r="L20" s="230">
        <v>0.122</v>
      </c>
      <c r="M20" s="231">
        <f t="shared" si="0"/>
        <v>-530374657.01712799</v>
      </c>
      <c r="N20" s="231">
        <f t="shared" si="1"/>
        <v>-181861160.2320714</v>
      </c>
      <c r="O20" s="232">
        <f t="shared" si="2"/>
        <v>-348513496.78505659</v>
      </c>
      <c r="P20" s="222"/>
      <c r="Q20" s="222"/>
      <c r="R20" s="222"/>
      <c r="S20" s="222"/>
      <c r="T20" s="222"/>
      <c r="U20" s="222"/>
      <c r="V20" s="222"/>
      <c r="W20" s="222"/>
      <c r="X20" s="222"/>
      <c r="Y20" s="222"/>
      <c r="Z20" s="222"/>
      <c r="AA20" s="222"/>
    </row>
    <row r="21" spans="1:27" ht="14.25" customHeight="1">
      <c r="A21" s="222"/>
      <c r="B21" s="222"/>
      <c r="C21" s="222"/>
      <c r="D21" s="222"/>
      <c r="E21" s="222"/>
      <c r="F21" s="222"/>
      <c r="G21" s="222"/>
      <c r="H21" s="222"/>
      <c r="I21" s="222"/>
      <c r="J21" s="222"/>
      <c r="K21" s="222"/>
      <c r="L21" s="230">
        <v>0.121</v>
      </c>
      <c r="M21" s="231">
        <f t="shared" si="0"/>
        <v>-521323468.56752348</v>
      </c>
      <c r="N21" s="231">
        <f t="shared" si="1"/>
        <v>-176520838.8389895</v>
      </c>
      <c r="O21" s="232">
        <f t="shared" si="2"/>
        <v>-344802629.72853398</v>
      </c>
      <c r="P21" s="222"/>
      <c r="Q21" s="222"/>
      <c r="R21" s="222"/>
      <c r="S21" s="222"/>
      <c r="T21" s="222"/>
      <c r="U21" s="222"/>
      <c r="V21" s="222"/>
      <c r="W21" s="222"/>
      <c r="X21" s="222"/>
      <c r="Y21" s="222"/>
      <c r="Z21" s="222"/>
      <c r="AA21" s="222"/>
    </row>
    <row r="22" spans="1:27" ht="14.25" customHeight="1" thickBot="1">
      <c r="A22" s="222"/>
      <c r="B22" s="222"/>
      <c r="C22" s="222"/>
      <c r="D22" s="222"/>
      <c r="E22" s="222"/>
      <c r="F22" s="222"/>
      <c r="G22" s="222"/>
      <c r="H22" s="222"/>
      <c r="I22" s="222"/>
      <c r="J22" s="222"/>
      <c r="K22" s="222"/>
      <c r="L22" s="230">
        <v>0.12</v>
      </c>
      <c r="M22" s="231">
        <f t="shared" si="0"/>
        <v>-512286543.15420794</v>
      </c>
      <c r="N22" s="231">
        <f t="shared" si="1"/>
        <v>-171191323.4070375</v>
      </c>
      <c r="O22" s="232">
        <f t="shared" si="2"/>
        <v>-341095219.74717045</v>
      </c>
      <c r="P22" s="222"/>
      <c r="Q22" s="222"/>
      <c r="R22" s="222"/>
      <c r="S22" s="222"/>
      <c r="T22" s="222"/>
      <c r="U22" s="222"/>
      <c r="V22" s="222"/>
      <c r="W22" s="222"/>
      <c r="X22" s="222"/>
      <c r="Y22" s="222"/>
      <c r="Z22" s="222"/>
      <c r="AA22" s="222"/>
    </row>
    <row r="23" spans="1:27" ht="14.25" customHeight="1" thickTop="1">
      <c r="A23" s="235" t="s">
        <v>311</v>
      </c>
      <c r="B23" s="236" t="s">
        <v>312</v>
      </c>
      <c r="C23" s="236" t="s">
        <v>313</v>
      </c>
      <c r="D23" s="237" t="s">
        <v>314</v>
      </c>
      <c r="E23" s="238" t="s">
        <v>315</v>
      </c>
      <c r="F23" s="235" t="s">
        <v>316</v>
      </c>
      <c r="G23" s="236" t="s">
        <v>317</v>
      </c>
      <c r="H23" s="236" t="s">
        <v>318</v>
      </c>
      <c r="I23" s="236" t="s">
        <v>319</v>
      </c>
      <c r="J23" s="238" t="s">
        <v>320</v>
      </c>
      <c r="K23" s="222"/>
      <c r="L23" s="230">
        <v>0.11899999999999999</v>
      </c>
      <c r="M23" s="231">
        <f t="shared" si="0"/>
        <v>-503264117.55416799</v>
      </c>
      <c r="N23" s="231">
        <f t="shared" si="1"/>
        <v>-165872708.86920202</v>
      </c>
      <c r="O23" s="232">
        <f t="shared" si="2"/>
        <v>-337391408.68496597</v>
      </c>
      <c r="P23" s="222"/>
      <c r="Q23" s="222"/>
      <c r="R23" s="222"/>
      <c r="S23" s="222"/>
      <c r="T23" s="222"/>
      <c r="U23" s="222"/>
      <c r="V23" s="222"/>
      <c r="W23" s="222"/>
      <c r="X23" s="222"/>
      <c r="Y23" s="222"/>
      <c r="Z23" s="222"/>
      <c r="AA23" s="222"/>
    </row>
    <row r="24" spans="1:27" ht="14.25" customHeight="1">
      <c r="A24" s="239"/>
      <c r="B24" s="240"/>
      <c r="C24" s="240"/>
      <c r="D24" s="240"/>
      <c r="E24" s="241"/>
      <c r="F24" s="239"/>
      <c r="G24" s="240"/>
      <c r="H24" s="240"/>
      <c r="I24" s="240"/>
      <c r="J24" s="241"/>
      <c r="K24" s="222"/>
      <c r="L24" s="230">
        <v>0.11799999999999999</v>
      </c>
      <c r="M24" s="231">
        <f t="shared" si="0"/>
        <v>-494256431.50186133</v>
      </c>
      <c r="N24" s="231">
        <f t="shared" si="1"/>
        <v>-160565090.54607475</v>
      </c>
      <c r="O24" s="232">
        <f t="shared" si="2"/>
        <v>-333691340.95578659</v>
      </c>
      <c r="P24" s="222"/>
      <c r="Q24" s="222"/>
      <c r="R24" s="222"/>
      <c r="S24" s="222"/>
      <c r="T24" s="222"/>
      <c r="U24" s="222"/>
      <c r="V24" s="222"/>
      <c r="W24" s="222"/>
      <c r="X24" s="222"/>
      <c r="Y24" s="222"/>
      <c r="Z24" s="222"/>
      <c r="AA24" s="222"/>
    </row>
    <row r="25" spans="1:27" ht="14.25" customHeight="1">
      <c r="A25" s="242">
        <f t="shared" ref="A25:A34" si="3">A26+0.02*($A$35)</f>
        <v>11781640509.287189</v>
      </c>
      <c r="B25" s="231">
        <f t="shared" ref="B25:B45" si="4">PMT($C$8,$C$11,A25,,0)-$C$7+$C$10</f>
        <v>-756055867.28505039</v>
      </c>
      <c r="C25" s="243">
        <f t="shared" ref="C25:C45" si="5">(B25-$B$35)/$B$35</f>
        <v>0.47584565198594975</v>
      </c>
      <c r="D25" s="244">
        <f t="shared" ref="D25:D45" si="6">(A25-$A$35)/$A$35</f>
        <v>0.2000000000000007</v>
      </c>
      <c r="E25" s="245">
        <f t="shared" ref="E25:E45" si="7">B25-$A$35</f>
        <v>-10574089625.024368</v>
      </c>
      <c r="F25" s="242">
        <f t="shared" ref="F25:F34" si="8">F26+0.02*($F$35)</f>
        <v>7613467054.1999969</v>
      </c>
      <c r="G25" s="231">
        <f t="shared" ref="G25:G45" si="9">PMT($F$8,$F$11,F25,,0)-$F$7+$F$10</f>
        <v>-341071603.58844471</v>
      </c>
      <c r="H25" s="244">
        <f t="shared" ref="H25:H45" si="10">(F25-$F$35)/$F$35</f>
        <v>0.19999999999999951</v>
      </c>
      <c r="I25" s="243">
        <f t="shared" ref="I25:I45" si="11">(G25-$G$35)/$G$35</f>
        <v>0.99234164910032829</v>
      </c>
      <c r="J25" s="245">
        <f t="shared" ref="J25:J45" si="12">G25-$G$35</f>
        <v>-169880280.18140721</v>
      </c>
      <c r="K25" s="222"/>
      <c r="L25" s="230">
        <v>0.11700000000000001</v>
      </c>
      <c r="M25" s="231">
        <f t="shared" si="0"/>
        <v>-485263727.69373703</v>
      </c>
      <c r="N25" s="231">
        <f t="shared" si="1"/>
        <v>-155268564.13799369</v>
      </c>
      <c r="O25" s="232">
        <f t="shared" si="2"/>
        <v>-329995163.55574334</v>
      </c>
      <c r="P25" s="222"/>
      <c r="Q25" s="222"/>
      <c r="R25" s="222"/>
      <c r="S25" s="222"/>
      <c r="T25" s="222"/>
      <c r="U25" s="222"/>
      <c r="V25" s="222"/>
      <c r="W25" s="222"/>
      <c r="X25" s="222"/>
      <c r="Y25" s="222"/>
      <c r="Z25" s="222"/>
      <c r="AA25" s="222"/>
    </row>
    <row r="26" spans="1:27" ht="14.25" customHeight="1">
      <c r="A26" s="242">
        <f t="shared" si="3"/>
        <v>11585279834.132402</v>
      </c>
      <c r="B26" s="231">
        <f t="shared" si="4"/>
        <v>-731678934.87196636</v>
      </c>
      <c r="C26" s="243">
        <f t="shared" si="5"/>
        <v>0.42826108678735519</v>
      </c>
      <c r="D26" s="244">
        <f t="shared" si="6"/>
        <v>0.18000000000000063</v>
      </c>
      <c r="E26" s="245">
        <f t="shared" si="7"/>
        <v>-10549712692.611286</v>
      </c>
      <c r="F26" s="242">
        <f t="shared" si="8"/>
        <v>7486575936.6299973</v>
      </c>
      <c r="G26" s="231">
        <f t="shared" si="9"/>
        <v>-324083575.57030392</v>
      </c>
      <c r="H26" s="244">
        <f t="shared" si="10"/>
        <v>0.17999999999999958</v>
      </c>
      <c r="I26" s="243">
        <f t="shared" si="11"/>
        <v>0.89310748419029495</v>
      </c>
      <c r="J26" s="245">
        <f t="shared" si="12"/>
        <v>-152892252.16326642</v>
      </c>
      <c r="K26" s="222"/>
      <c r="L26" s="230">
        <v>0.11600000000000001</v>
      </c>
      <c r="M26" s="231">
        <f t="shared" si="0"/>
        <v>-476286251.79152799</v>
      </c>
      <c r="N26" s="231">
        <f t="shared" si="1"/>
        <v>-149983225.71696794</v>
      </c>
      <c r="O26" s="232">
        <f t="shared" si="2"/>
        <v>-326303026.07456005</v>
      </c>
      <c r="P26" s="222"/>
      <c r="Q26" s="222"/>
      <c r="R26" s="222"/>
      <c r="S26" s="222"/>
      <c r="T26" s="222"/>
      <c r="U26" s="222"/>
      <c r="V26" s="222"/>
      <c r="W26" s="222"/>
      <c r="X26" s="222"/>
      <c r="Y26" s="222"/>
      <c r="Z26" s="222"/>
      <c r="AA26" s="222"/>
    </row>
    <row r="27" spans="1:27" ht="14.25" customHeight="1">
      <c r="A27" s="242">
        <f t="shared" si="3"/>
        <v>11388919158.977615</v>
      </c>
      <c r="B27" s="231">
        <f t="shared" si="4"/>
        <v>-707302002.45888209</v>
      </c>
      <c r="C27" s="243">
        <f t="shared" si="5"/>
        <v>0.38067652158876014</v>
      </c>
      <c r="D27" s="244">
        <f t="shared" si="6"/>
        <v>0.16000000000000056</v>
      </c>
      <c r="E27" s="245">
        <f t="shared" si="7"/>
        <v>-10525335760.1982</v>
      </c>
      <c r="F27" s="242">
        <f t="shared" si="8"/>
        <v>7359684819.0599976</v>
      </c>
      <c r="G27" s="231">
        <f t="shared" si="9"/>
        <v>-307095547.55216324</v>
      </c>
      <c r="H27" s="244">
        <f t="shared" si="10"/>
        <v>0.15999999999999961</v>
      </c>
      <c r="I27" s="243">
        <f t="shared" si="11"/>
        <v>0.7938733192802625</v>
      </c>
      <c r="J27" s="245">
        <f t="shared" si="12"/>
        <v>-135904224.14512575</v>
      </c>
      <c r="K27" s="222"/>
      <c r="L27" s="230">
        <v>0.115</v>
      </c>
      <c r="M27" s="231">
        <f t="shared" si="0"/>
        <v>-467324252.42426562</v>
      </c>
      <c r="N27" s="231">
        <f t="shared" si="1"/>
        <v>-144709171.71838176</v>
      </c>
      <c r="O27" s="232">
        <f t="shared" si="2"/>
        <v>-322615080.70588386</v>
      </c>
      <c r="P27" s="222"/>
      <c r="Q27" s="222"/>
      <c r="R27" s="222"/>
      <c r="S27" s="222"/>
      <c r="T27" s="222"/>
      <c r="U27" s="222"/>
      <c r="V27" s="222"/>
      <c r="W27" s="222"/>
      <c r="X27" s="222"/>
      <c r="Y27" s="222"/>
      <c r="Z27" s="222"/>
      <c r="AA27" s="222"/>
    </row>
    <row r="28" spans="1:27" ht="14.25" customHeight="1">
      <c r="A28" s="242">
        <f t="shared" si="3"/>
        <v>11192558483.822828</v>
      </c>
      <c r="B28" s="231">
        <f t="shared" si="4"/>
        <v>-682925070.04579759</v>
      </c>
      <c r="C28" s="243">
        <f t="shared" si="5"/>
        <v>0.33309195639016465</v>
      </c>
      <c r="D28" s="244">
        <f t="shared" si="6"/>
        <v>0.14000000000000049</v>
      </c>
      <c r="E28" s="245">
        <f t="shared" si="7"/>
        <v>-10500958827.785116</v>
      </c>
      <c r="F28" s="242">
        <f t="shared" si="8"/>
        <v>7232793701.4899979</v>
      </c>
      <c r="G28" s="231">
        <f t="shared" si="9"/>
        <v>-290107519.53402257</v>
      </c>
      <c r="H28" s="244">
        <f t="shared" si="10"/>
        <v>0.13999999999999965</v>
      </c>
      <c r="I28" s="243">
        <f t="shared" si="11"/>
        <v>0.69463915437022994</v>
      </c>
      <c r="J28" s="245">
        <f t="shared" si="12"/>
        <v>-118916196.12698507</v>
      </c>
      <c r="K28" s="222"/>
      <c r="L28" s="230">
        <v>0.114</v>
      </c>
      <c r="M28" s="231">
        <f t="shared" si="0"/>
        <v>-458377981.18897986</v>
      </c>
      <c r="N28" s="231">
        <f t="shared" si="1"/>
        <v>-139446498.93248081</v>
      </c>
      <c r="O28" s="232">
        <f t="shared" si="2"/>
        <v>-318931482.25649905</v>
      </c>
      <c r="P28" s="222"/>
      <c r="Q28" s="222"/>
      <c r="R28" s="222"/>
      <c r="S28" s="222"/>
      <c r="T28" s="222"/>
      <c r="U28" s="222"/>
      <c r="V28" s="222"/>
      <c r="W28" s="222"/>
      <c r="X28" s="222"/>
      <c r="Y28" s="222"/>
      <c r="Z28" s="222"/>
      <c r="AA28" s="222"/>
    </row>
    <row r="29" spans="1:27" ht="14.25" customHeight="1">
      <c r="A29" s="242">
        <f t="shared" si="3"/>
        <v>10996197808.668041</v>
      </c>
      <c r="B29" s="231">
        <f t="shared" si="4"/>
        <v>-658548137.63271356</v>
      </c>
      <c r="C29" s="243">
        <f t="shared" si="5"/>
        <v>0.28550739119157009</v>
      </c>
      <c r="D29" s="244">
        <f t="shared" si="6"/>
        <v>0.12000000000000043</v>
      </c>
      <c r="E29" s="245">
        <f t="shared" si="7"/>
        <v>-10476581895.372032</v>
      </c>
      <c r="F29" s="242">
        <f t="shared" si="8"/>
        <v>7105902583.9199982</v>
      </c>
      <c r="G29" s="231">
        <f t="shared" si="9"/>
        <v>-273119491.51588178</v>
      </c>
      <c r="H29" s="244">
        <f t="shared" si="10"/>
        <v>0.11999999999999972</v>
      </c>
      <c r="I29" s="243">
        <f t="shared" si="11"/>
        <v>0.59540498946019671</v>
      </c>
      <c r="J29" s="245">
        <f t="shared" si="12"/>
        <v>-101928168.10884428</v>
      </c>
      <c r="K29" s="222"/>
      <c r="L29" s="230">
        <v>0.113</v>
      </c>
      <c r="M29" s="231">
        <f t="shared" si="0"/>
        <v>-449447692.65004182</v>
      </c>
      <c r="N29" s="231">
        <f t="shared" si="1"/>
        <v>-134195304.49563444</v>
      </c>
      <c r="O29" s="232">
        <f t="shared" si="2"/>
        <v>-315252388.15440738</v>
      </c>
      <c r="P29" s="222"/>
      <c r="Q29" s="222"/>
      <c r="R29" s="222"/>
      <c r="S29" s="222"/>
      <c r="T29" s="222"/>
      <c r="U29" s="222"/>
      <c r="V29" s="222"/>
      <c r="W29" s="222"/>
      <c r="X29" s="222"/>
      <c r="Y29" s="222"/>
      <c r="Z29" s="222"/>
      <c r="AA29" s="222"/>
    </row>
    <row r="30" spans="1:27" ht="14.25" customHeight="1">
      <c r="A30" s="242">
        <f t="shared" si="3"/>
        <v>10799837133.513254</v>
      </c>
      <c r="B30" s="231">
        <f t="shared" si="4"/>
        <v>-634171205.21962929</v>
      </c>
      <c r="C30" s="243">
        <f t="shared" si="5"/>
        <v>0.2379228259929751</v>
      </c>
      <c r="D30" s="244">
        <f t="shared" si="6"/>
        <v>0.10000000000000035</v>
      </c>
      <c r="E30" s="245">
        <f t="shared" si="7"/>
        <v>-10452204962.958948</v>
      </c>
      <c r="F30" s="242">
        <f t="shared" si="8"/>
        <v>6979011466.3499985</v>
      </c>
      <c r="G30" s="231">
        <f t="shared" si="9"/>
        <v>-256131463.4977411</v>
      </c>
      <c r="H30" s="244">
        <f t="shared" si="10"/>
        <v>9.9999999999999756E-2</v>
      </c>
      <c r="I30" s="243">
        <f t="shared" si="11"/>
        <v>0.49617082455016415</v>
      </c>
      <c r="J30" s="245">
        <f t="shared" si="12"/>
        <v>-84940140.090703607</v>
      </c>
      <c r="K30" s="222"/>
      <c r="L30" s="230">
        <f t="shared" ref="L30:L32" si="13">L29-0.1%</f>
        <v>0.112</v>
      </c>
      <c r="M30" s="231">
        <f t="shared" si="0"/>
        <v>-440533644.33709979</v>
      </c>
      <c r="N30" s="231">
        <f t="shared" si="1"/>
        <v>-128955685.8813765</v>
      </c>
      <c r="O30" s="232">
        <f t="shared" si="2"/>
        <v>-311577958.45572329</v>
      </c>
      <c r="P30" s="222"/>
      <c r="Q30" s="222"/>
      <c r="R30" s="222"/>
      <c r="S30" s="222"/>
      <c r="T30" s="222"/>
      <c r="U30" s="222"/>
      <c r="V30" s="222"/>
      <c r="W30" s="222"/>
      <c r="X30" s="222"/>
      <c r="Y30" s="222"/>
      <c r="Z30" s="222"/>
      <c r="AA30" s="222"/>
    </row>
    <row r="31" spans="1:27" ht="14.25" customHeight="1">
      <c r="A31" s="242">
        <f t="shared" si="3"/>
        <v>10603476458.358467</v>
      </c>
      <c r="B31" s="231">
        <f t="shared" si="4"/>
        <v>-609794272.80654502</v>
      </c>
      <c r="C31" s="243">
        <f t="shared" si="5"/>
        <v>0.19033826079438007</v>
      </c>
      <c r="D31" s="244">
        <f t="shared" si="6"/>
        <v>8.0000000000000279E-2</v>
      </c>
      <c r="E31" s="245">
        <f t="shared" si="7"/>
        <v>-10427828030.545864</v>
      </c>
      <c r="F31" s="242">
        <f t="shared" si="8"/>
        <v>6852120348.7799988</v>
      </c>
      <c r="G31" s="231">
        <f t="shared" si="9"/>
        <v>-239143435.47960043</v>
      </c>
      <c r="H31" s="244">
        <f t="shared" si="10"/>
        <v>7.9999999999999807E-2</v>
      </c>
      <c r="I31" s="243">
        <f t="shared" si="11"/>
        <v>0.39693665964013158</v>
      </c>
      <c r="J31" s="245">
        <f t="shared" si="12"/>
        <v>-67952112.072562933</v>
      </c>
      <c r="K31" s="222"/>
      <c r="L31" s="230">
        <f t="shared" si="13"/>
        <v>0.111</v>
      </c>
      <c r="M31" s="231">
        <f t="shared" si="0"/>
        <v>-431636096.74157286</v>
      </c>
      <c r="N31" s="231">
        <f t="shared" si="1"/>
        <v>-123727740.89122117</v>
      </c>
      <c r="O31" s="232">
        <f t="shared" si="2"/>
        <v>-307908355.85035169</v>
      </c>
      <c r="P31" s="222"/>
      <c r="Q31" s="222"/>
      <c r="R31" s="222"/>
      <c r="S31" s="222"/>
      <c r="T31" s="222"/>
      <c r="U31" s="222"/>
      <c r="V31" s="222"/>
      <c r="W31" s="222"/>
      <c r="X31" s="222"/>
      <c r="Y31" s="222"/>
      <c r="Z31" s="222"/>
      <c r="AA31" s="222"/>
    </row>
    <row r="32" spans="1:27" ht="14.25" customHeight="1">
      <c r="A32" s="242">
        <f t="shared" si="3"/>
        <v>10407115783.20368</v>
      </c>
      <c r="B32" s="231">
        <f t="shared" si="4"/>
        <v>-585417340.39346075</v>
      </c>
      <c r="C32" s="243">
        <f t="shared" si="5"/>
        <v>0.14275369559578505</v>
      </c>
      <c r="D32" s="244">
        <f t="shared" si="6"/>
        <v>6.0000000000000213E-2</v>
      </c>
      <c r="E32" s="245">
        <f t="shared" si="7"/>
        <v>-10403451098.13278</v>
      </c>
      <c r="F32" s="242">
        <f t="shared" si="8"/>
        <v>6725229231.2099991</v>
      </c>
      <c r="G32" s="231">
        <f t="shared" si="9"/>
        <v>-222155407.46145964</v>
      </c>
      <c r="H32" s="244">
        <f t="shared" si="10"/>
        <v>5.9999999999999859E-2</v>
      </c>
      <c r="I32" s="243">
        <f t="shared" si="11"/>
        <v>0.29770249473009835</v>
      </c>
      <c r="J32" s="245">
        <f t="shared" si="12"/>
        <v>-50964084.05442214</v>
      </c>
      <c r="K32" s="222"/>
      <c r="L32" s="230">
        <f t="shared" si="13"/>
        <v>0.11</v>
      </c>
      <c r="M32" s="231">
        <f t="shared" si="0"/>
        <v>-422755313.31165051</v>
      </c>
      <c r="N32" s="231">
        <f t="shared" si="1"/>
        <v>-118511567.64525402</v>
      </c>
      <c r="O32" s="232">
        <f t="shared" si="2"/>
        <v>-304243745.6663965</v>
      </c>
      <c r="P32" s="222"/>
      <c r="Q32" s="222"/>
      <c r="R32" s="222"/>
      <c r="S32" s="222"/>
      <c r="T32" s="222"/>
      <c r="U32" s="222"/>
      <c r="V32" s="222"/>
      <c r="W32" s="222"/>
      <c r="X32" s="222"/>
      <c r="Y32" s="222"/>
      <c r="Z32" s="222"/>
      <c r="AA32" s="222"/>
    </row>
    <row r="33" spans="1:27" ht="14.25" customHeight="1">
      <c r="A33" s="242">
        <f t="shared" si="3"/>
        <v>10210755108.048893</v>
      </c>
      <c r="B33" s="231">
        <f t="shared" si="4"/>
        <v>-561040407.98037648</v>
      </c>
      <c r="C33" s="243">
        <f t="shared" si="5"/>
        <v>9.5169130397190035E-2</v>
      </c>
      <c r="D33" s="244">
        <f t="shared" si="6"/>
        <v>4.000000000000014E-2</v>
      </c>
      <c r="E33" s="245">
        <f t="shared" si="7"/>
        <v>-10379074165.719696</v>
      </c>
      <c r="F33" s="242">
        <f t="shared" si="8"/>
        <v>6598338113.6399994</v>
      </c>
      <c r="G33" s="231">
        <f t="shared" si="9"/>
        <v>-205167379.44331896</v>
      </c>
      <c r="H33" s="244">
        <f t="shared" si="10"/>
        <v>3.9999999999999904E-2</v>
      </c>
      <c r="I33" s="243">
        <f t="shared" si="11"/>
        <v>0.19846832982006579</v>
      </c>
      <c r="J33" s="245">
        <f t="shared" si="12"/>
        <v>-33976056.036281466</v>
      </c>
      <c r="K33" s="222"/>
      <c r="L33" s="222"/>
      <c r="M33" s="222"/>
      <c r="N33" s="222"/>
      <c r="O33" s="222"/>
      <c r="P33" s="222"/>
      <c r="Q33" s="222"/>
      <c r="R33" s="222"/>
      <c r="S33" s="222"/>
      <c r="T33" s="222"/>
      <c r="U33" s="222"/>
      <c r="V33" s="222"/>
      <c r="W33" s="222"/>
      <c r="X33" s="222"/>
      <c r="Y33" s="222"/>
      <c r="Z33" s="222"/>
      <c r="AA33" s="222"/>
    </row>
    <row r="34" spans="1:27" ht="14.25" customHeight="1">
      <c r="A34" s="242">
        <f t="shared" si="3"/>
        <v>10014394432.894106</v>
      </c>
      <c r="B34" s="231">
        <f t="shared" si="4"/>
        <v>-536663475.56729245</v>
      </c>
      <c r="C34" s="243">
        <f t="shared" si="5"/>
        <v>4.7584565198595483E-2</v>
      </c>
      <c r="D34" s="244">
        <f t="shared" si="6"/>
        <v>2.000000000000007E-2</v>
      </c>
      <c r="E34" s="245">
        <f t="shared" si="7"/>
        <v>-10354697233.306612</v>
      </c>
      <c r="F34" s="242">
        <f t="shared" si="8"/>
        <v>6471446996.0699997</v>
      </c>
      <c r="G34" s="231">
        <f t="shared" si="9"/>
        <v>-188179351.42517817</v>
      </c>
      <c r="H34" s="244">
        <f t="shared" si="10"/>
        <v>1.9999999999999952E-2</v>
      </c>
      <c r="I34" s="243">
        <f t="shared" si="11"/>
        <v>9.9234164910032549E-2</v>
      </c>
      <c r="J34" s="245">
        <f t="shared" si="12"/>
        <v>-16988028.018140674</v>
      </c>
      <c r="K34" s="222"/>
      <c r="L34" s="222"/>
      <c r="M34" s="222"/>
      <c r="N34" s="222"/>
      <c r="O34" s="222"/>
      <c r="P34" s="222"/>
      <c r="Q34" s="222"/>
      <c r="R34" s="222"/>
      <c r="S34" s="222"/>
      <c r="T34" s="222"/>
      <c r="U34" s="222"/>
      <c r="V34" s="222"/>
      <c r="W34" s="222"/>
      <c r="X34" s="222"/>
      <c r="Y34" s="222"/>
      <c r="Z34" s="222"/>
      <c r="AA34" s="222"/>
    </row>
    <row r="35" spans="1:27" ht="14.25" customHeight="1">
      <c r="A35" s="242">
        <v>9818033757.7393188</v>
      </c>
      <c r="B35" s="231">
        <f t="shared" si="4"/>
        <v>-512286543.15420794</v>
      </c>
      <c r="C35" s="243">
        <f t="shared" si="5"/>
        <v>0</v>
      </c>
      <c r="D35" s="244">
        <f t="shared" si="6"/>
        <v>0</v>
      </c>
      <c r="E35" s="245">
        <f t="shared" si="7"/>
        <v>-10330320300.893526</v>
      </c>
      <c r="F35" s="246">
        <f>F6</f>
        <v>6344555878.5</v>
      </c>
      <c r="G35" s="231">
        <f t="shared" si="9"/>
        <v>-171191323.4070375</v>
      </c>
      <c r="H35" s="244">
        <f t="shared" si="10"/>
        <v>0</v>
      </c>
      <c r="I35" s="243">
        <f t="shared" si="11"/>
        <v>0</v>
      </c>
      <c r="J35" s="245">
        <f t="shared" si="12"/>
        <v>0</v>
      </c>
      <c r="K35" s="222"/>
      <c r="L35" s="222"/>
      <c r="M35" s="222"/>
      <c r="N35" s="222"/>
      <c r="O35" s="222"/>
      <c r="P35" s="222"/>
      <c r="Q35" s="222"/>
      <c r="R35" s="222"/>
      <c r="S35" s="222"/>
      <c r="T35" s="222"/>
      <c r="U35" s="222"/>
      <c r="V35" s="222"/>
      <c r="W35" s="222"/>
      <c r="X35" s="222"/>
      <c r="Y35" s="222"/>
      <c r="Z35" s="222"/>
      <c r="AA35" s="222"/>
    </row>
    <row r="36" spans="1:27" ht="14.25" customHeight="1">
      <c r="A36" s="247">
        <f t="shared" ref="A36:A45" si="14">A35-0.02*($A$35)</f>
        <v>9621673082.5845318</v>
      </c>
      <c r="B36" s="231">
        <f t="shared" si="4"/>
        <v>-487909610.74112368</v>
      </c>
      <c r="C36" s="243">
        <f t="shared" si="5"/>
        <v>-4.7584565198595018E-2</v>
      </c>
      <c r="D36" s="244">
        <f t="shared" si="6"/>
        <v>-2.000000000000007E-2</v>
      </c>
      <c r="E36" s="245">
        <f t="shared" si="7"/>
        <v>-10305943368.480442</v>
      </c>
      <c r="F36" s="247">
        <f t="shared" ref="F36:F45" si="15">F35-0.02*($F$35)</f>
        <v>6217664760.9300003</v>
      </c>
      <c r="G36" s="231">
        <f t="shared" si="9"/>
        <v>-154203295.38889682</v>
      </c>
      <c r="H36" s="244">
        <f t="shared" si="10"/>
        <v>-1.9999999999999952E-2</v>
      </c>
      <c r="I36" s="243">
        <f t="shared" si="11"/>
        <v>-9.9234164910032549E-2</v>
      </c>
      <c r="J36" s="245">
        <f t="shared" si="12"/>
        <v>16988028.018140674</v>
      </c>
      <c r="K36" s="222"/>
      <c r="L36" s="222"/>
      <c r="M36" s="222"/>
      <c r="N36" s="222"/>
      <c r="O36" s="222"/>
      <c r="P36" s="222"/>
      <c r="Q36" s="222"/>
      <c r="R36" s="222"/>
      <c r="S36" s="222"/>
      <c r="T36" s="222"/>
      <c r="U36" s="222"/>
      <c r="V36" s="222"/>
      <c r="W36" s="222"/>
      <c r="X36" s="222"/>
      <c r="Y36" s="222"/>
      <c r="Z36" s="222"/>
      <c r="AA36" s="222"/>
    </row>
    <row r="37" spans="1:27" ht="14.25" customHeight="1">
      <c r="A37" s="247">
        <f t="shared" si="14"/>
        <v>9425312407.4297447</v>
      </c>
      <c r="B37" s="231">
        <f t="shared" si="4"/>
        <v>-463532678.32803965</v>
      </c>
      <c r="C37" s="243">
        <f t="shared" si="5"/>
        <v>-9.5169130397189577E-2</v>
      </c>
      <c r="D37" s="244">
        <f t="shared" si="6"/>
        <v>-4.000000000000014E-2</v>
      </c>
      <c r="E37" s="245">
        <f t="shared" si="7"/>
        <v>-10281566436.067358</v>
      </c>
      <c r="F37" s="247">
        <f t="shared" si="15"/>
        <v>6090773643.3600006</v>
      </c>
      <c r="G37" s="231">
        <f t="shared" si="9"/>
        <v>-137215267.37075603</v>
      </c>
      <c r="H37" s="244">
        <f t="shared" si="10"/>
        <v>-3.9999999999999904E-2</v>
      </c>
      <c r="I37" s="243">
        <f t="shared" si="11"/>
        <v>-0.19846832982006579</v>
      </c>
      <c r="J37" s="245">
        <f t="shared" si="12"/>
        <v>33976056.036281466</v>
      </c>
      <c r="K37" s="222"/>
      <c r="L37" s="222"/>
      <c r="M37" s="222"/>
      <c r="N37" s="222"/>
      <c r="O37" s="222"/>
      <c r="P37" s="222"/>
      <c r="Q37" s="222"/>
      <c r="R37" s="222"/>
      <c r="S37" s="222"/>
      <c r="T37" s="222"/>
      <c r="U37" s="222"/>
      <c r="V37" s="222"/>
      <c r="W37" s="222"/>
      <c r="X37" s="222"/>
      <c r="Y37" s="222"/>
      <c r="Z37" s="222"/>
      <c r="AA37" s="222"/>
    </row>
    <row r="38" spans="1:27" ht="14.25" customHeight="1">
      <c r="A38" s="247">
        <f t="shared" si="14"/>
        <v>9228951732.2749577</v>
      </c>
      <c r="B38" s="231">
        <f t="shared" si="4"/>
        <v>-439155745.91495514</v>
      </c>
      <c r="C38" s="243">
        <f t="shared" si="5"/>
        <v>-0.14275369559578505</v>
      </c>
      <c r="D38" s="244">
        <f t="shared" si="6"/>
        <v>-6.0000000000000213E-2</v>
      </c>
      <c r="E38" s="245">
        <f t="shared" si="7"/>
        <v>-10257189503.654274</v>
      </c>
      <c r="F38" s="247">
        <f t="shared" si="15"/>
        <v>5963882525.7900009</v>
      </c>
      <c r="G38" s="231">
        <f t="shared" si="9"/>
        <v>-120227239.35261536</v>
      </c>
      <c r="H38" s="244">
        <f t="shared" si="10"/>
        <v>-5.9999999999999859E-2</v>
      </c>
      <c r="I38" s="243">
        <f t="shared" si="11"/>
        <v>-0.29770249473009835</v>
      </c>
      <c r="J38" s="245">
        <f t="shared" si="12"/>
        <v>50964084.05442214</v>
      </c>
      <c r="K38" s="222"/>
      <c r="L38" s="222"/>
      <c r="M38" s="222"/>
      <c r="N38" s="222"/>
      <c r="O38" s="222"/>
      <c r="P38" s="222"/>
      <c r="Q38" s="222"/>
      <c r="R38" s="222"/>
      <c r="S38" s="222"/>
      <c r="T38" s="222"/>
      <c r="U38" s="222"/>
      <c r="V38" s="222"/>
      <c r="W38" s="222"/>
      <c r="X38" s="222"/>
      <c r="Y38" s="222"/>
      <c r="Z38" s="222"/>
      <c r="AA38" s="222"/>
    </row>
    <row r="39" spans="1:27" ht="14.25" customHeight="1">
      <c r="A39" s="247">
        <f t="shared" si="14"/>
        <v>9032591057.1201706</v>
      </c>
      <c r="B39" s="231">
        <f t="shared" si="4"/>
        <v>-414778813.50187111</v>
      </c>
      <c r="C39" s="243">
        <f t="shared" si="5"/>
        <v>-0.1903382607943796</v>
      </c>
      <c r="D39" s="244">
        <f t="shared" si="6"/>
        <v>-8.0000000000000279E-2</v>
      </c>
      <c r="E39" s="245">
        <f t="shared" si="7"/>
        <v>-10232812571.24119</v>
      </c>
      <c r="F39" s="247">
        <f t="shared" si="15"/>
        <v>5836991408.2200012</v>
      </c>
      <c r="G39" s="231">
        <f t="shared" si="9"/>
        <v>-103239211.3344748</v>
      </c>
      <c r="H39" s="244">
        <f t="shared" si="10"/>
        <v>-7.9999999999999807E-2</v>
      </c>
      <c r="I39" s="243">
        <f t="shared" si="11"/>
        <v>-0.3969366596401302</v>
      </c>
      <c r="J39" s="245">
        <f t="shared" si="12"/>
        <v>67952112.072562695</v>
      </c>
      <c r="K39" s="222"/>
      <c r="L39" s="222"/>
      <c r="M39" s="222"/>
      <c r="N39" s="222"/>
      <c r="O39" s="222"/>
      <c r="P39" s="222"/>
      <c r="Q39" s="222"/>
      <c r="R39" s="222"/>
      <c r="S39" s="222"/>
      <c r="T39" s="222"/>
      <c r="U39" s="222"/>
      <c r="V39" s="222"/>
      <c r="W39" s="222"/>
      <c r="X39" s="222"/>
      <c r="Y39" s="222"/>
      <c r="Z39" s="222"/>
      <c r="AA39" s="222"/>
    </row>
    <row r="40" spans="1:27" ht="14.25" customHeight="1">
      <c r="A40" s="247">
        <f t="shared" si="14"/>
        <v>8836230381.9653835</v>
      </c>
      <c r="B40" s="231">
        <f t="shared" si="4"/>
        <v>-390401881.08878684</v>
      </c>
      <c r="C40" s="243">
        <f t="shared" si="5"/>
        <v>-0.23792282599297462</v>
      </c>
      <c r="D40" s="244">
        <f t="shared" si="6"/>
        <v>-0.10000000000000035</v>
      </c>
      <c r="E40" s="245">
        <f t="shared" si="7"/>
        <v>-10208435638.828106</v>
      </c>
      <c r="F40" s="247">
        <f t="shared" si="15"/>
        <v>5710100290.6500015</v>
      </c>
      <c r="G40" s="231">
        <f t="shared" si="9"/>
        <v>-86251183.316334009</v>
      </c>
      <c r="H40" s="244">
        <f t="shared" si="10"/>
        <v>-9.9999999999999756E-2</v>
      </c>
      <c r="I40" s="243">
        <f t="shared" si="11"/>
        <v>-0.49617082455016343</v>
      </c>
      <c r="J40" s="245">
        <f t="shared" si="12"/>
        <v>84940140.090703487</v>
      </c>
      <c r="K40" s="222"/>
      <c r="L40" s="222"/>
      <c r="M40" s="222"/>
      <c r="N40" s="222"/>
      <c r="O40" s="222"/>
      <c r="P40" s="222"/>
      <c r="Q40" s="222"/>
      <c r="R40" s="222"/>
      <c r="S40" s="222"/>
      <c r="T40" s="222"/>
      <c r="U40" s="222"/>
      <c r="V40" s="222"/>
      <c r="W40" s="222"/>
      <c r="X40" s="222"/>
      <c r="Y40" s="222"/>
      <c r="Z40" s="222"/>
      <c r="AA40" s="222"/>
    </row>
    <row r="41" spans="1:27" ht="14.25" customHeight="1">
      <c r="A41" s="247">
        <f t="shared" si="14"/>
        <v>8639869706.8105965</v>
      </c>
      <c r="B41" s="231">
        <f t="shared" si="4"/>
        <v>-366024948.67570257</v>
      </c>
      <c r="C41" s="243">
        <f t="shared" si="5"/>
        <v>-0.28550739119156965</v>
      </c>
      <c r="D41" s="244">
        <f t="shared" si="6"/>
        <v>-0.12000000000000043</v>
      </c>
      <c r="E41" s="245">
        <f t="shared" si="7"/>
        <v>-10184058706.415022</v>
      </c>
      <c r="F41" s="247">
        <f t="shared" si="15"/>
        <v>5583209173.0800018</v>
      </c>
      <c r="G41" s="231">
        <f t="shared" si="9"/>
        <v>-69263155.298193336</v>
      </c>
      <c r="H41" s="244">
        <f t="shared" si="10"/>
        <v>-0.11999999999999972</v>
      </c>
      <c r="I41" s="243">
        <f t="shared" si="11"/>
        <v>-0.59540498946019593</v>
      </c>
      <c r="J41" s="245">
        <f t="shared" si="12"/>
        <v>101928168.10884416</v>
      </c>
      <c r="K41" s="222"/>
      <c r="L41" s="222"/>
      <c r="M41" s="222"/>
      <c r="N41" s="222"/>
      <c r="O41" s="222"/>
      <c r="P41" s="222"/>
      <c r="Q41" s="222"/>
      <c r="R41" s="222"/>
      <c r="S41" s="222"/>
      <c r="T41" s="222"/>
      <c r="U41" s="222"/>
      <c r="V41" s="222"/>
      <c r="W41" s="222"/>
      <c r="X41" s="222"/>
      <c r="Y41" s="222"/>
      <c r="Z41" s="222"/>
      <c r="AA41" s="222"/>
    </row>
    <row r="42" spans="1:27" ht="14.25" customHeight="1">
      <c r="A42" s="247">
        <f t="shared" si="14"/>
        <v>8443509031.6558104</v>
      </c>
      <c r="B42" s="231">
        <f t="shared" si="4"/>
        <v>-341648016.26261854</v>
      </c>
      <c r="C42" s="243">
        <f t="shared" si="5"/>
        <v>-0.3330919563901642</v>
      </c>
      <c r="D42" s="244">
        <f t="shared" si="6"/>
        <v>-0.1400000000000004</v>
      </c>
      <c r="E42" s="245">
        <f t="shared" si="7"/>
        <v>-10159681774.001938</v>
      </c>
      <c r="F42" s="247">
        <f t="shared" si="15"/>
        <v>5456318055.5100021</v>
      </c>
      <c r="G42" s="231">
        <f t="shared" si="9"/>
        <v>-52275127.280052662</v>
      </c>
      <c r="H42" s="244">
        <f t="shared" si="10"/>
        <v>-0.13999999999999965</v>
      </c>
      <c r="I42" s="243">
        <f t="shared" si="11"/>
        <v>-0.6946391543702285</v>
      </c>
      <c r="J42" s="245">
        <f t="shared" si="12"/>
        <v>118916196.12698483</v>
      </c>
      <c r="K42" s="222"/>
      <c r="L42" s="222"/>
      <c r="M42" s="222"/>
      <c r="N42" s="222"/>
      <c r="O42" s="222"/>
      <c r="P42" s="222"/>
      <c r="Q42" s="222"/>
      <c r="R42" s="222"/>
      <c r="S42" s="222"/>
      <c r="T42" s="222"/>
      <c r="U42" s="222"/>
      <c r="V42" s="222"/>
      <c r="W42" s="222"/>
      <c r="X42" s="222"/>
      <c r="Y42" s="222"/>
      <c r="Z42" s="222"/>
      <c r="AA42" s="222"/>
    </row>
    <row r="43" spans="1:27" ht="14.25" customHeight="1">
      <c r="A43" s="247">
        <f t="shared" si="14"/>
        <v>8247148356.5010242</v>
      </c>
      <c r="B43" s="231">
        <f t="shared" si="4"/>
        <v>-317271083.84953427</v>
      </c>
      <c r="C43" s="243">
        <f t="shared" si="5"/>
        <v>-0.3806765215887592</v>
      </c>
      <c r="D43" s="244">
        <f t="shared" si="6"/>
        <v>-0.16000000000000036</v>
      </c>
      <c r="E43" s="245">
        <f t="shared" si="7"/>
        <v>-10135304841.588854</v>
      </c>
      <c r="F43" s="247">
        <f t="shared" si="15"/>
        <v>5329426937.9400024</v>
      </c>
      <c r="G43" s="231">
        <f t="shared" si="9"/>
        <v>-35287099.261911869</v>
      </c>
      <c r="H43" s="244">
        <f t="shared" si="10"/>
        <v>-0.15999999999999961</v>
      </c>
      <c r="I43" s="243">
        <f t="shared" si="11"/>
        <v>-0.79387331928026172</v>
      </c>
      <c r="J43" s="245">
        <f t="shared" si="12"/>
        <v>135904224.14512563</v>
      </c>
      <c r="K43" s="222"/>
      <c r="L43" s="222"/>
      <c r="M43" s="222"/>
      <c r="N43" s="222"/>
      <c r="O43" s="222"/>
      <c r="P43" s="222"/>
      <c r="Q43" s="222"/>
      <c r="R43" s="222"/>
      <c r="S43" s="222"/>
      <c r="T43" s="222"/>
      <c r="U43" s="222"/>
      <c r="V43" s="222"/>
      <c r="W43" s="222"/>
      <c r="X43" s="222"/>
      <c r="Y43" s="222"/>
      <c r="Z43" s="222"/>
      <c r="AA43" s="222"/>
    </row>
    <row r="44" spans="1:27" ht="14.25" customHeight="1">
      <c r="A44" s="247">
        <f t="shared" si="14"/>
        <v>8050787681.3462381</v>
      </c>
      <c r="B44" s="231">
        <f t="shared" si="4"/>
        <v>-292894151.43645012</v>
      </c>
      <c r="C44" s="243">
        <f t="shared" si="5"/>
        <v>-0.42826108678735403</v>
      </c>
      <c r="D44" s="244">
        <f t="shared" si="6"/>
        <v>-0.18000000000000033</v>
      </c>
      <c r="E44" s="245">
        <f t="shared" si="7"/>
        <v>-10110927909.17577</v>
      </c>
      <c r="F44" s="247">
        <f t="shared" si="15"/>
        <v>5202535820.3700027</v>
      </c>
      <c r="G44" s="231">
        <f t="shared" si="9"/>
        <v>-18299071.243771195</v>
      </c>
      <c r="H44" s="244">
        <f t="shared" si="10"/>
        <v>-0.17999999999999958</v>
      </c>
      <c r="I44" s="243">
        <f t="shared" si="11"/>
        <v>-0.89310748419029429</v>
      </c>
      <c r="J44" s="245">
        <f t="shared" si="12"/>
        <v>152892252.1632663</v>
      </c>
      <c r="K44" s="222"/>
      <c r="L44" s="222"/>
      <c r="M44" s="222"/>
      <c r="N44" s="222"/>
      <c r="O44" s="222"/>
      <c r="P44" s="222"/>
      <c r="Q44" s="222"/>
      <c r="R44" s="222"/>
      <c r="S44" s="222"/>
      <c r="T44" s="222"/>
      <c r="U44" s="222"/>
      <c r="V44" s="222"/>
      <c r="W44" s="222"/>
      <c r="X44" s="222"/>
      <c r="Y44" s="222"/>
      <c r="Z44" s="222"/>
      <c r="AA44" s="222"/>
    </row>
    <row r="45" spans="1:27" ht="14.25" customHeight="1" thickBot="1">
      <c r="A45" s="248">
        <f t="shared" si="14"/>
        <v>7854427006.191452</v>
      </c>
      <c r="B45" s="249">
        <f t="shared" si="4"/>
        <v>-268517219.02336609</v>
      </c>
      <c r="C45" s="250">
        <f t="shared" si="5"/>
        <v>-0.47584565198594858</v>
      </c>
      <c r="D45" s="251">
        <f t="shared" si="6"/>
        <v>-0.20000000000000032</v>
      </c>
      <c r="E45" s="252">
        <f t="shared" si="7"/>
        <v>-10086550976.762686</v>
      </c>
      <c r="F45" s="248">
        <f t="shared" si="15"/>
        <v>5075644702.8000031</v>
      </c>
      <c r="G45" s="249">
        <f t="shared" si="9"/>
        <v>-1311043.2256305218</v>
      </c>
      <c r="H45" s="251">
        <f t="shared" si="10"/>
        <v>-0.19999999999999951</v>
      </c>
      <c r="I45" s="250">
        <f t="shared" si="11"/>
        <v>-0.99234164910032685</v>
      </c>
      <c r="J45" s="252">
        <f t="shared" si="12"/>
        <v>169880280.18140697</v>
      </c>
      <c r="K45" s="222"/>
      <c r="L45" s="222"/>
      <c r="M45" s="222"/>
      <c r="N45" s="222"/>
      <c r="O45" s="222"/>
      <c r="P45" s="222"/>
      <c r="Q45" s="222"/>
      <c r="R45" s="222"/>
      <c r="S45" s="222"/>
      <c r="T45" s="222"/>
      <c r="U45" s="222"/>
      <c r="V45" s="222"/>
      <c r="W45" s="222"/>
      <c r="X45" s="222"/>
      <c r="Y45" s="222"/>
      <c r="Z45" s="222"/>
      <c r="AA45" s="222"/>
    </row>
    <row r="46" spans="1:27" ht="14.25" customHeight="1" thickTop="1">
      <c r="A46" s="222"/>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row>
    <row r="47" spans="1:27" ht="14.25" customHeight="1">
      <c r="A47" s="222"/>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row>
    <row r="48" spans="1:27" ht="14.25" customHeight="1">
      <c r="A48" s="240" t="s">
        <v>321</v>
      </c>
      <c r="B48" s="253" t="s">
        <v>322</v>
      </c>
      <c r="C48" s="253" t="s">
        <v>323</v>
      </c>
      <c r="D48" s="240" t="s">
        <v>324</v>
      </c>
      <c r="E48" s="222"/>
      <c r="F48" s="240" t="s">
        <v>325</v>
      </c>
      <c r="G48" s="253" t="s">
        <v>326</v>
      </c>
      <c r="H48" s="253" t="s">
        <v>323</v>
      </c>
      <c r="I48" s="240" t="s">
        <v>324</v>
      </c>
      <c r="J48" s="222"/>
      <c r="K48" s="222"/>
      <c r="L48" s="222"/>
      <c r="M48" s="222"/>
      <c r="N48" s="222"/>
      <c r="O48" s="222"/>
      <c r="P48" s="222"/>
      <c r="Q48" s="222"/>
      <c r="R48" s="222"/>
      <c r="S48" s="222"/>
      <c r="T48" s="222"/>
      <c r="U48" s="222"/>
      <c r="V48" s="222"/>
      <c r="W48" s="222"/>
      <c r="X48" s="222"/>
      <c r="Y48" s="222"/>
      <c r="Z48" s="222"/>
      <c r="AA48" s="222"/>
    </row>
    <row r="49" spans="1:27" ht="14.25" customHeight="1">
      <c r="A49" s="240"/>
      <c r="B49" s="240"/>
      <c r="C49" s="240"/>
      <c r="D49" s="240"/>
      <c r="E49" s="222"/>
      <c r="F49" s="240"/>
      <c r="G49" s="240"/>
      <c r="H49" s="240"/>
      <c r="I49" s="240"/>
      <c r="J49" s="222"/>
      <c r="K49" s="222"/>
      <c r="L49" s="222"/>
      <c r="M49" s="222"/>
      <c r="N49" s="222"/>
      <c r="O49" s="222"/>
      <c r="P49" s="222"/>
      <c r="Q49" s="222"/>
      <c r="R49" s="222"/>
      <c r="S49" s="222"/>
      <c r="T49" s="222"/>
      <c r="U49" s="222"/>
      <c r="V49" s="222"/>
      <c r="W49" s="222"/>
      <c r="X49" s="222"/>
      <c r="Y49" s="222"/>
      <c r="Z49" s="222"/>
      <c r="AA49" s="222"/>
    </row>
    <row r="50" spans="1:27" ht="14.25" customHeight="1">
      <c r="A50" s="254">
        <f t="shared" ref="A50:A59" si="16">A51+0.02*($A$60)</f>
        <v>68040000</v>
      </c>
      <c r="B50" s="231">
        <f t="shared" ref="B50:B70" si="17">PMT($C$8,$C$11,$C$6,,0)-A50+$C$10</f>
        <v>-523626543.15420794</v>
      </c>
      <c r="C50" s="243">
        <f t="shared" ref="C50:C70" si="18">(B50-$B$60)/$B$60</f>
        <v>2.2136048958417486E-2</v>
      </c>
      <c r="D50" s="232">
        <f t="shared" ref="D50:D70" si="19">B50-$B$60</f>
        <v>-11340000</v>
      </c>
      <c r="E50" s="222"/>
      <c r="F50" s="254">
        <f t="shared" ref="F50:F59" si="20">F51+0.02*($F$60)</f>
        <v>102060000</v>
      </c>
      <c r="G50" s="231">
        <f t="shared" ref="G50:G70" si="21">PMT($F$8,$F$11,$F$6,,0)-F50+$F$10</f>
        <v>-188201323.4070375</v>
      </c>
      <c r="H50" s="243">
        <f t="shared" ref="H50:H70" si="22">(G50-$G$60)/$G$60</f>
        <v>9.9362512430350991E-2</v>
      </c>
      <c r="I50" s="232">
        <f t="shared" ref="I50:I70" si="23">G50-$G$60</f>
        <v>-17010000</v>
      </c>
      <c r="J50" s="222"/>
      <c r="K50" s="222"/>
      <c r="L50" s="222"/>
      <c r="M50" s="222"/>
      <c r="N50" s="222"/>
      <c r="O50" s="222"/>
      <c r="P50" s="222"/>
      <c r="Q50" s="222"/>
      <c r="R50" s="222"/>
      <c r="S50" s="222"/>
      <c r="T50" s="222"/>
      <c r="U50" s="222"/>
      <c r="V50" s="222"/>
      <c r="W50" s="222"/>
      <c r="X50" s="222"/>
      <c r="Y50" s="222"/>
      <c r="Z50" s="222"/>
      <c r="AA50" s="222"/>
    </row>
    <row r="51" spans="1:27" ht="14.25" customHeight="1">
      <c r="A51" s="254">
        <f t="shared" si="16"/>
        <v>66906000</v>
      </c>
      <c r="B51" s="231">
        <f t="shared" si="17"/>
        <v>-522492543.15420794</v>
      </c>
      <c r="C51" s="243">
        <f t="shared" si="18"/>
        <v>1.9922444062575737E-2</v>
      </c>
      <c r="D51" s="232">
        <f t="shared" si="19"/>
        <v>-10206000</v>
      </c>
      <c r="E51" s="222"/>
      <c r="F51" s="254">
        <f t="shared" si="20"/>
        <v>100359000</v>
      </c>
      <c r="G51" s="231">
        <f t="shared" si="21"/>
        <v>-186500323.4070375</v>
      </c>
      <c r="H51" s="243">
        <f t="shared" si="22"/>
        <v>8.9426261187315892E-2</v>
      </c>
      <c r="I51" s="232">
        <f t="shared" si="23"/>
        <v>-15309000</v>
      </c>
      <c r="J51" s="222"/>
      <c r="K51" s="222"/>
      <c r="L51" s="222"/>
      <c r="M51" s="222"/>
      <c r="N51" s="222"/>
      <c r="O51" s="222"/>
      <c r="P51" s="222"/>
      <c r="Q51" s="222"/>
      <c r="R51" s="222"/>
      <c r="S51" s="222"/>
      <c r="T51" s="222"/>
      <c r="U51" s="222"/>
      <c r="V51" s="222"/>
      <c r="W51" s="222"/>
      <c r="X51" s="222"/>
      <c r="Y51" s="222"/>
      <c r="Z51" s="222"/>
      <c r="AA51" s="222"/>
    </row>
    <row r="52" spans="1:27" ht="14.25" customHeight="1">
      <c r="A52" s="254">
        <f t="shared" si="16"/>
        <v>65772000</v>
      </c>
      <c r="B52" s="231">
        <f t="shared" si="17"/>
        <v>-521358543.15420794</v>
      </c>
      <c r="C52" s="243">
        <f t="shared" si="18"/>
        <v>1.7708839166733988E-2</v>
      </c>
      <c r="D52" s="232">
        <f t="shared" si="19"/>
        <v>-9072000</v>
      </c>
      <c r="E52" s="222"/>
      <c r="F52" s="254">
        <f t="shared" si="20"/>
        <v>98658000</v>
      </c>
      <c r="G52" s="231">
        <f t="shared" si="21"/>
        <v>-184799323.4070375</v>
      </c>
      <c r="H52" s="243">
        <f t="shared" si="22"/>
        <v>7.9490009944280793E-2</v>
      </c>
      <c r="I52" s="232">
        <f t="shared" si="23"/>
        <v>-13608000</v>
      </c>
      <c r="J52" s="222"/>
      <c r="K52" s="222"/>
      <c r="L52" s="222"/>
      <c r="M52" s="222"/>
      <c r="N52" s="222"/>
      <c r="O52" s="222"/>
      <c r="P52" s="222"/>
      <c r="Q52" s="222"/>
      <c r="R52" s="222"/>
      <c r="S52" s="222"/>
      <c r="T52" s="222"/>
      <c r="U52" s="222"/>
      <c r="V52" s="222"/>
      <c r="W52" s="222"/>
      <c r="X52" s="222"/>
      <c r="Y52" s="222"/>
      <c r="Z52" s="222"/>
      <c r="AA52" s="222"/>
    </row>
    <row r="53" spans="1:27" ht="14.25" customHeight="1">
      <c r="A53" s="254">
        <f t="shared" si="16"/>
        <v>64638000</v>
      </c>
      <c r="B53" s="231">
        <f t="shared" si="17"/>
        <v>-520224543.15420794</v>
      </c>
      <c r="C53" s="243">
        <f t="shared" si="18"/>
        <v>1.5495234270892241E-2</v>
      </c>
      <c r="D53" s="232">
        <f t="shared" si="19"/>
        <v>-7938000</v>
      </c>
      <c r="E53" s="222"/>
      <c r="F53" s="254">
        <f t="shared" si="20"/>
        <v>96957000</v>
      </c>
      <c r="G53" s="231">
        <f t="shared" si="21"/>
        <v>-183098323.4070375</v>
      </c>
      <c r="H53" s="243">
        <f t="shared" si="22"/>
        <v>6.9553758701245694E-2</v>
      </c>
      <c r="I53" s="232">
        <f t="shared" si="23"/>
        <v>-11907000</v>
      </c>
      <c r="J53" s="222"/>
      <c r="K53" s="222"/>
      <c r="L53" s="222"/>
      <c r="M53" s="222"/>
      <c r="N53" s="222"/>
      <c r="O53" s="222"/>
      <c r="P53" s="222"/>
      <c r="Q53" s="222"/>
      <c r="R53" s="222"/>
      <c r="S53" s="222"/>
      <c r="T53" s="222"/>
      <c r="U53" s="222"/>
      <c r="V53" s="222"/>
      <c r="W53" s="222"/>
      <c r="X53" s="222"/>
      <c r="Y53" s="222"/>
      <c r="Z53" s="222"/>
      <c r="AA53" s="222"/>
    </row>
    <row r="54" spans="1:27" ht="14.25" customHeight="1">
      <c r="A54" s="254">
        <f t="shared" si="16"/>
        <v>63504000</v>
      </c>
      <c r="B54" s="231">
        <f t="shared" si="17"/>
        <v>-519090543.15420794</v>
      </c>
      <c r="C54" s="243">
        <f t="shared" si="18"/>
        <v>1.3281629375050492E-2</v>
      </c>
      <c r="D54" s="232">
        <f t="shared" si="19"/>
        <v>-6804000</v>
      </c>
      <c r="E54" s="222"/>
      <c r="F54" s="254">
        <f t="shared" si="20"/>
        <v>95256000</v>
      </c>
      <c r="G54" s="231">
        <f t="shared" si="21"/>
        <v>-181397323.4070375</v>
      </c>
      <c r="H54" s="243">
        <f t="shared" si="22"/>
        <v>5.9617507458210595E-2</v>
      </c>
      <c r="I54" s="232">
        <f t="shared" si="23"/>
        <v>-10206000</v>
      </c>
      <c r="J54" s="222"/>
      <c r="K54" s="222"/>
      <c r="L54" s="222"/>
      <c r="M54" s="222"/>
      <c r="N54" s="222"/>
      <c r="O54" s="222"/>
      <c r="P54" s="222"/>
      <c r="Q54" s="222"/>
      <c r="R54" s="222"/>
      <c r="S54" s="222"/>
      <c r="T54" s="222"/>
      <c r="U54" s="222"/>
      <c r="V54" s="222"/>
      <c r="W54" s="222"/>
      <c r="X54" s="222"/>
      <c r="Y54" s="222"/>
      <c r="Z54" s="222"/>
      <c r="AA54" s="222"/>
    </row>
    <row r="55" spans="1:27" ht="14.25" customHeight="1">
      <c r="A55" s="254">
        <f t="shared" si="16"/>
        <v>62370000</v>
      </c>
      <c r="B55" s="231">
        <f t="shared" si="17"/>
        <v>-517956543.15420794</v>
      </c>
      <c r="C55" s="243">
        <f t="shared" si="18"/>
        <v>1.1068024479208743E-2</v>
      </c>
      <c r="D55" s="232">
        <f t="shared" si="19"/>
        <v>-5670000</v>
      </c>
      <c r="E55" s="222"/>
      <c r="F55" s="254">
        <f t="shared" si="20"/>
        <v>93555000</v>
      </c>
      <c r="G55" s="231">
        <f t="shared" si="21"/>
        <v>-179696323.4070375</v>
      </c>
      <c r="H55" s="243">
        <f t="shared" si="22"/>
        <v>4.9681256215175496E-2</v>
      </c>
      <c r="I55" s="232">
        <f t="shared" si="23"/>
        <v>-8505000</v>
      </c>
      <c r="J55" s="222"/>
      <c r="K55" s="222"/>
      <c r="L55" s="222"/>
      <c r="M55" s="222"/>
      <c r="N55" s="222"/>
      <c r="O55" s="222"/>
      <c r="P55" s="222"/>
      <c r="Q55" s="222"/>
      <c r="R55" s="222"/>
      <c r="S55" s="222"/>
      <c r="T55" s="222"/>
      <c r="U55" s="222"/>
      <c r="V55" s="222"/>
      <c r="W55" s="222"/>
      <c r="X55" s="222"/>
      <c r="Y55" s="222"/>
      <c r="Z55" s="222"/>
      <c r="AA55" s="222"/>
    </row>
    <row r="56" spans="1:27" ht="14.25" customHeight="1">
      <c r="A56" s="254">
        <f t="shared" si="16"/>
        <v>61236000</v>
      </c>
      <c r="B56" s="231">
        <f t="shared" si="17"/>
        <v>-516822543.15420794</v>
      </c>
      <c r="C56" s="243">
        <f t="shared" si="18"/>
        <v>8.8544195833669941E-3</v>
      </c>
      <c r="D56" s="232">
        <f t="shared" si="19"/>
        <v>-4536000</v>
      </c>
      <c r="E56" s="222"/>
      <c r="F56" s="254">
        <f t="shared" si="20"/>
        <v>91854000</v>
      </c>
      <c r="G56" s="231">
        <f t="shared" si="21"/>
        <v>-177995323.4070375</v>
      </c>
      <c r="H56" s="243">
        <f t="shared" si="22"/>
        <v>3.9745004972140396E-2</v>
      </c>
      <c r="I56" s="232">
        <f t="shared" si="23"/>
        <v>-6804000</v>
      </c>
      <c r="J56" s="222"/>
      <c r="K56" s="222"/>
      <c r="L56" s="222"/>
      <c r="M56" s="222"/>
      <c r="N56" s="222"/>
      <c r="O56" s="222"/>
      <c r="P56" s="222"/>
      <c r="Q56" s="222"/>
      <c r="R56" s="222"/>
      <c r="S56" s="222"/>
      <c r="T56" s="222"/>
      <c r="U56" s="222"/>
      <c r="V56" s="222"/>
      <c r="W56" s="222"/>
      <c r="X56" s="222"/>
      <c r="Y56" s="222"/>
      <c r="Z56" s="222"/>
      <c r="AA56" s="222"/>
    </row>
    <row r="57" spans="1:27" ht="14.25" customHeight="1">
      <c r="A57" s="254">
        <f t="shared" si="16"/>
        <v>60102000</v>
      </c>
      <c r="B57" s="231">
        <f t="shared" si="17"/>
        <v>-515688543.15420794</v>
      </c>
      <c r="C57" s="243">
        <f t="shared" si="18"/>
        <v>6.640814687525246E-3</v>
      </c>
      <c r="D57" s="232">
        <f t="shared" si="19"/>
        <v>-3402000</v>
      </c>
      <c r="E57" s="222"/>
      <c r="F57" s="254">
        <f t="shared" si="20"/>
        <v>90153000</v>
      </c>
      <c r="G57" s="231">
        <f t="shared" si="21"/>
        <v>-176294323.4070375</v>
      </c>
      <c r="H57" s="243">
        <f t="shared" si="22"/>
        <v>2.9808753729105297E-2</v>
      </c>
      <c r="I57" s="232">
        <f t="shared" si="23"/>
        <v>-5103000</v>
      </c>
      <c r="J57" s="222"/>
      <c r="K57" s="222"/>
      <c r="L57" s="222"/>
      <c r="M57" s="222"/>
      <c r="N57" s="222"/>
      <c r="O57" s="222"/>
      <c r="P57" s="222"/>
      <c r="Q57" s="222"/>
      <c r="R57" s="222"/>
      <c r="S57" s="222"/>
      <c r="T57" s="222"/>
      <c r="U57" s="222"/>
      <c r="V57" s="222"/>
      <c r="W57" s="222"/>
      <c r="X57" s="222"/>
      <c r="Y57" s="222"/>
      <c r="Z57" s="222"/>
      <c r="AA57" s="222"/>
    </row>
    <row r="58" spans="1:27" ht="14.25" customHeight="1">
      <c r="A58" s="254">
        <f t="shared" si="16"/>
        <v>58968000</v>
      </c>
      <c r="B58" s="231">
        <f t="shared" si="17"/>
        <v>-514554543.15420794</v>
      </c>
      <c r="C58" s="243">
        <f t="shared" si="18"/>
        <v>4.4272097916834971E-3</v>
      </c>
      <c r="D58" s="232">
        <f t="shared" si="19"/>
        <v>-2268000</v>
      </c>
      <c r="E58" s="222"/>
      <c r="F58" s="254">
        <f t="shared" si="20"/>
        <v>88452000</v>
      </c>
      <c r="G58" s="231">
        <f t="shared" si="21"/>
        <v>-174593323.4070375</v>
      </c>
      <c r="H58" s="243">
        <f t="shared" si="22"/>
        <v>1.9872502486070198E-2</v>
      </c>
      <c r="I58" s="232">
        <f t="shared" si="23"/>
        <v>-3402000</v>
      </c>
      <c r="J58" s="222"/>
      <c r="K58" s="222"/>
      <c r="L58" s="222"/>
      <c r="M58" s="222"/>
      <c r="N58" s="222"/>
      <c r="O58" s="222"/>
      <c r="P58" s="222"/>
      <c r="Q58" s="222"/>
      <c r="R58" s="222"/>
      <c r="S58" s="222"/>
      <c r="T58" s="222"/>
      <c r="U58" s="222"/>
      <c r="V58" s="222"/>
      <c r="W58" s="222"/>
      <c r="X58" s="222"/>
      <c r="Y58" s="222"/>
      <c r="Z58" s="222"/>
      <c r="AA58" s="222"/>
    </row>
    <row r="59" spans="1:27" ht="14.25" customHeight="1">
      <c r="A59" s="254">
        <f t="shared" si="16"/>
        <v>57834000</v>
      </c>
      <c r="B59" s="231">
        <f t="shared" si="17"/>
        <v>-513420543.15420794</v>
      </c>
      <c r="C59" s="243">
        <f t="shared" si="18"/>
        <v>2.2136048958417485E-3</v>
      </c>
      <c r="D59" s="232">
        <f t="shared" si="19"/>
        <v>-1134000</v>
      </c>
      <c r="E59" s="222"/>
      <c r="F59" s="254">
        <f t="shared" si="20"/>
        <v>86751000</v>
      </c>
      <c r="G59" s="231">
        <f t="shared" si="21"/>
        <v>-172892323.4070375</v>
      </c>
      <c r="H59" s="243">
        <f t="shared" si="22"/>
        <v>9.9362512430350991E-3</v>
      </c>
      <c r="I59" s="232">
        <f t="shared" si="23"/>
        <v>-1701000</v>
      </c>
      <c r="J59" s="222"/>
      <c r="K59" s="222"/>
      <c r="L59" s="222"/>
      <c r="M59" s="222"/>
      <c r="N59" s="222"/>
      <c r="O59" s="222"/>
      <c r="P59" s="222"/>
      <c r="Q59" s="222"/>
      <c r="R59" s="222"/>
      <c r="S59" s="222"/>
      <c r="T59" s="222"/>
      <c r="U59" s="222"/>
      <c r="V59" s="222"/>
      <c r="W59" s="222"/>
      <c r="X59" s="222"/>
      <c r="Y59" s="222"/>
      <c r="Z59" s="222"/>
      <c r="AA59" s="222"/>
    </row>
    <row r="60" spans="1:27" ht="14.25" customHeight="1">
      <c r="A60" s="254">
        <f>C7</f>
        <v>56700000</v>
      </c>
      <c r="B60" s="231">
        <f t="shared" si="17"/>
        <v>-512286543.15420794</v>
      </c>
      <c r="C60" s="243">
        <f t="shared" si="18"/>
        <v>0</v>
      </c>
      <c r="D60" s="232">
        <f t="shared" si="19"/>
        <v>0</v>
      </c>
      <c r="E60" s="222"/>
      <c r="F60" s="254">
        <f>F7</f>
        <v>85050000</v>
      </c>
      <c r="G60" s="231">
        <f t="shared" si="21"/>
        <v>-171191323.4070375</v>
      </c>
      <c r="H60" s="243">
        <f t="shared" si="22"/>
        <v>0</v>
      </c>
      <c r="I60" s="232">
        <f t="shared" si="23"/>
        <v>0</v>
      </c>
      <c r="J60" s="222"/>
      <c r="K60" s="222"/>
      <c r="L60" s="222"/>
      <c r="M60" s="222"/>
      <c r="N60" s="222"/>
      <c r="O60" s="222"/>
      <c r="P60" s="222"/>
      <c r="Q60" s="222"/>
      <c r="R60" s="222"/>
      <c r="S60" s="222"/>
      <c r="T60" s="222"/>
      <c r="U60" s="222"/>
      <c r="V60" s="222"/>
      <c r="W60" s="222"/>
      <c r="X60" s="222"/>
      <c r="Y60" s="222"/>
      <c r="Z60" s="222"/>
      <c r="AA60" s="222"/>
    </row>
    <row r="61" spans="1:27" ht="14.25" customHeight="1">
      <c r="A61" s="255">
        <f t="shared" ref="A61:A70" si="24">A60-0.02*($A$60)</f>
        <v>55566000</v>
      </c>
      <c r="B61" s="231">
        <f t="shared" si="17"/>
        <v>-511152543.15420794</v>
      </c>
      <c r="C61" s="243">
        <f t="shared" si="18"/>
        <v>-2.2136048958417485E-3</v>
      </c>
      <c r="D61" s="232">
        <f t="shared" si="19"/>
        <v>1134000</v>
      </c>
      <c r="E61" s="222"/>
      <c r="F61" s="255">
        <f t="shared" ref="F61:F70" si="25">F60-0.02*($F$60)</f>
        <v>83349000</v>
      </c>
      <c r="G61" s="231">
        <f t="shared" si="21"/>
        <v>-169490323.4070375</v>
      </c>
      <c r="H61" s="243">
        <f t="shared" si="22"/>
        <v>-9.9362512430350991E-3</v>
      </c>
      <c r="I61" s="232">
        <f t="shared" si="23"/>
        <v>1701000</v>
      </c>
      <c r="J61" s="222"/>
      <c r="K61" s="222"/>
      <c r="L61" s="222"/>
      <c r="M61" s="222"/>
      <c r="N61" s="222"/>
      <c r="O61" s="222"/>
      <c r="P61" s="222"/>
      <c r="Q61" s="222"/>
      <c r="R61" s="222"/>
      <c r="S61" s="222"/>
      <c r="T61" s="222"/>
      <c r="U61" s="222"/>
      <c r="V61" s="222"/>
      <c r="W61" s="222"/>
      <c r="X61" s="222"/>
      <c r="Y61" s="222"/>
      <c r="Z61" s="222"/>
      <c r="AA61" s="222"/>
    </row>
    <row r="62" spans="1:27" ht="14.25" customHeight="1">
      <c r="A62" s="255">
        <f t="shared" si="24"/>
        <v>54432000</v>
      </c>
      <c r="B62" s="231">
        <f t="shared" si="17"/>
        <v>-510018543.15420794</v>
      </c>
      <c r="C62" s="243">
        <f t="shared" si="18"/>
        <v>-4.4272097916834971E-3</v>
      </c>
      <c r="D62" s="232">
        <f t="shared" si="19"/>
        <v>2268000</v>
      </c>
      <c r="E62" s="222"/>
      <c r="F62" s="255">
        <f t="shared" si="25"/>
        <v>81648000</v>
      </c>
      <c r="G62" s="231">
        <f t="shared" si="21"/>
        <v>-167789323.4070375</v>
      </c>
      <c r="H62" s="243">
        <f t="shared" si="22"/>
        <v>-1.9872502486070198E-2</v>
      </c>
      <c r="I62" s="232">
        <f t="shared" si="23"/>
        <v>3402000</v>
      </c>
      <c r="J62" s="222"/>
      <c r="K62" s="222"/>
      <c r="L62" s="222"/>
      <c r="M62" s="222"/>
      <c r="N62" s="222"/>
      <c r="O62" s="222"/>
      <c r="P62" s="222"/>
      <c r="Q62" s="222"/>
      <c r="R62" s="222"/>
      <c r="S62" s="222"/>
      <c r="T62" s="222"/>
      <c r="U62" s="222"/>
      <c r="V62" s="222"/>
      <c r="W62" s="222"/>
      <c r="X62" s="222"/>
      <c r="Y62" s="222"/>
      <c r="Z62" s="222"/>
      <c r="AA62" s="222"/>
    </row>
    <row r="63" spans="1:27" ht="14.25" customHeight="1">
      <c r="A63" s="255">
        <f t="shared" si="24"/>
        <v>53298000</v>
      </c>
      <c r="B63" s="231">
        <f t="shared" si="17"/>
        <v>-508884543.15420794</v>
      </c>
      <c r="C63" s="243">
        <f t="shared" si="18"/>
        <v>-6.640814687525246E-3</v>
      </c>
      <c r="D63" s="232">
        <f t="shared" si="19"/>
        <v>3402000</v>
      </c>
      <c r="E63" s="222"/>
      <c r="F63" s="255">
        <f t="shared" si="25"/>
        <v>79947000</v>
      </c>
      <c r="G63" s="231">
        <f t="shared" si="21"/>
        <v>-166088323.4070375</v>
      </c>
      <c r="H63" s="243">
        <f t="shared" si="22"/>
        <v>-2.9808753729105297E-2</v>
      </c>
      <c r="I63" s="232">
        <f t="shared" si="23"/>
        <v>5103000</v>
      </c>
      <c r="J63" s="222"/>
      <c r="K63" s="222"/>
      <c r="L63" s="222"/>
      <c r="M63" s="222"/>
      <c r="N63" s="222"/>
      <c r="O63" s="222"/>
      <c r="P63" s="222"/>
      <c r="Q63" s="222"/>
      <c r="R63" s="222"/>
      <c r="S63" s="222"/>
      <c r="T63" s="222"/>
      <c r="U63" s="222"/>
      <c r="V63" s="222"/>
      <c r="W63" s="222"/>
      <c r="X63" s="222"/>
      <c r="Y63" s="222"/>
      <c r="Z63" s="222"/>
      <c r="AA63" s="222"/>
    </row>
    <row r="64" spans="1:27" ht="14.25" customHeight="1">
      <c r="A64" s="255">
        <f t="shared" si="24"/>
        <v>52164000</v>
      </c>
      <c r="B64" s="231">
        <f t="shared" si="17"/>
        <v>-507750543.15420794</v>
      </c>
      <c r="C64" s="243">
        <f t="shared" si="18"/>
        <v>-8.8544195833669941E-3</v>
      </c>
      <c r="D64" s="232">
        <f t="shared" si="19"/>
        <v>4536000</v>
      </c>
      <c r="E64" s="222"/>
      <c r="F64" s="255">
        <f t="shared" si="25"/>
        <v>78246000</v>
      </c>
      <c r="G64" s="231">
        <f t="shared" si="21"/>
        <v>-164387323.4070375</v>
      </c>
      <c r="H64" s="243">
        <f t="shared" si="22"/>
        <v>-3.9745004972140396E-2</v>
      </c>
      <c r="I64" s="232">
        <f t="shared" si="23"/>
        <v>6804000</v>
      </c>
      <c r="J64" s="222"/>
      <c r="K64" s="222"/>
      <c r="L64" s="222"/>
      <c r="M64" s="222"/>
      <c r="N64" s="222"/>
      <c r="O64" s="222"/>
      <c r="P64" s="222"/>
      <c r="Q64" s="222"/>
      <c r="R64" s="222"/>
      <c r="S64" s="222"/>
      <c r="T64" s="222"/>
      <c r="U64" s="222"/>
      <c r="V64" s="222"/>
      <c r="W64" s="222"/>
      <c r="X64" s="222"/>
      <c r="Y64" s="222"/>
      <c r="Z64" s="222"/>
      <c r="AA64" s="222"/>
    </row>
    <row r="65" spans="1:27" ht="14.25" customHeight="1">
      <c r="A65" s="255">
        <f t="shared" si="24"/>
        <v>51030000</v>
      </c>
      <c r="B65" s="231">
        <f t="shared" si="17"/>
        <v>-506616543.15420794</v>
      </c>
      <c r="C65" s="243">
        <f t="shared" si="18"/>
        <v>-1.1068024479208743E-2</v>
      </c>
      <c r="D65" s="232">
        <f t="shared" si="19"/>
        <v>5670000</v>
      </c>
      <c r="E65" s="222"/>
      <c r="F65" s="255">
        <f t="shared" si="25"/>
        <v>76545000</v>
      </c>
      <c r="G65" s="231">
        <f t="shared" si="21"/>
        <v>-162686323.4070375</v>
      </c>
      <c r="H65" s="243">
        <f t="shared" si="22"/>
        <v>-4.9681256215175496E-2</v>
      </c>
      <c r="I65" s="232">
        <f t="shared" si="23"/>
        <v>8505000</v>
      </c>
      <c r="J65" s="222"/>
      <c r="K65" s="222"/>
      <c r="L65" s="222"/>
      <c r="M65" s="222"/>
      <c r="N65" s="222"/>
      <c r="O65" s="222"/>
      <c r="P65" s="222"/>
      <c r="Q65" s="222"/>
      <c r="R65" s="222"/>
      <c r="S65" s="222"/>
      <c r="T65" s="222"/>
      <c r="U65" s="222"/>
      <c r="V65" s="222"/>
      <c r="W65" s="222"/>
      <c r="X65" s="222"/>
      <c r="Y65" s="222"/>
      <c r="Z65" s="222"/>
      <c r="AA65" s="222"/>
    </row>
    <row r="66" spans="1:27" ht="14.25" customHeight="1">
      <c r="A66" s="255">
        <f t="shared" si="24"/>
        <v>49896000</v>
      </c>
      <c r="B66" s="231">
        <f t="shared" si="17"/>
        <v>-505482543.15420794</v>
      </c>
      <c r="C66" s="243">
        <f t="shared" si="18"/>
        <v>-1.3281629375050492E-2</v>
      </c>
      <c r="D66" s="232">
        <f t="shared" si="19"/>
        <v>6804000</v>
      </c>
      <c r="E66" s="222"/>
      <c r="F66" s="255">
        <f t="shared" si="25"/>
        <v>74844000</v>
      </c>
      <c r="G66" s="231">
        <f t="shared" si="21"/>
        <v>-160985323.4070375</v>
      </c>
      <c r="H66" s="243">
        <f t="shared" si="22"/>
        <v>-5.9617507458210595E-2</v>
      </c>
      <c r="I66" s="232">
        <f t="shared" si="23"/>
        <v>10206000</v>
      </c>
      <c r="J66" s="222"/>
      <c r="K66" s="222"/>
      <c r="L66" s="222"/>
      <c r="M66" s="222"/>
      <c r="N66" s="222"/>
      <c r="O66" s="222"/>
      <c r="P66" s="222"/>
      <c r="Q66" s="222"/>
      <c r="R66" s="222"/>
      <c r="S66" s="222"/>
      <c r="T66" s="222"/>
      <c r="U66" s="222"/>
      <c r="V66" s="222"/>
      <c r="W66" s="222"/>
      <c r="X66" s="222"/>
      <c r="Y66" s="222"/>
      <c r="Z66" s="222"/>
      <c r="AA66" s="222"/>
    </row>
    <row r="67" spans="1:27" ht="14.25" customHeight="1">
      <c r="A67" s="255">
        <f t="shared" si="24"/>
        <v>48762000</v>
      </c>
      <c r="B67" s="231">
        <f t="shared" si="17"/>
        <v>-504348543.15420794</v>
      </c>
      <c r="C67" s="243">
        <f t="shared" si="18"/>
        <v>-1.5495234270892241E-2</v>
      </c>
      <c r="D67" s="232">
        <f t="shared" si="19"/>
        <v>7938000</v>
      </c>
      <c r="E67" s="222"/>
      <c r="F67" s="255">
        <f t="shared" si="25"/>
        <v>73143000</v>
      </c>
      <c r="G67" s="231">
        <f t="shared" si="21"/>
        <v>-159284323.4070375</v>
      </c>
      <c r="H67" s="243">
        <f t="shared" si="22"/>
        <v>-6.9553758701245694E-2</v>
      </c>
      <c r="I67" s="232">
        <f t="shared" si="23"/>
        <v>11907000</v>
      </c>
      <c r="J67" s="222"/>
      <c r="K67" s="222"/>
      <c r="L67" s="222"/>
      <c r="M67" s="222"/>
      <c r="N67" s="222"/>
      <c r="O67" s="222"/>
      <c r="P67" s="222"/>
      <c r="Q67" s="222"/>
      <c r="R67" s="222"/>
      <c r="S67" s="222"/>
      <c r="T67" s="222"/>
      <c r="U67" s="222"/>
      <c r="V67" s="222"/>
      <c r="W67" s="222"/>
      <c r="X67" s="222"/>
      <c r="Y67" s="222"/>
      <c r="Z67" s="222"/>
      <c r="AA67" s="222"/>
    </row>
    <row r="68" spans="1:27" ht="14.25" customHeight="1">
      <c r="A68" s="255">
        <f t="shared" si="24"/>
        <v>47628000</v>
      </c>
      <c r="B68" s="231">
        <f t="shared" si="17"/>
        <v>-503214543.15420794</v>
      </c>
      <c r="C68" s="243">
        <f t="shared" si="18"/>
        <v>-1.7708839166733988E-2</v>
      </c>
      <c r="D68" s="232">
        <f t="shared" si="19"/>
        <v>9072000</v>
      </c>
      <c r="E68" s="222"/>
      <c r="F68" s="255">
        <f t="shared" si="25"/>
        <v>71442000</v>
      </c>
      <c r="G68" s="231">
        <f t="shared" si="21"/>
        <v>-157583323.4070375</v>
      </c>
      <c r="H68" s="243">
        <f t="shared" si="22"/>
        <v>-7.9490009944280793E-2</v>
      </c>
      <c r="I68" s="232">
        <f t="shared" si="23"/>
        <v>13608000</v>
      </c>
      <c r="J68" s="222"/>
      <c r="K68" s="222"/>
      <c r="L68" s="222"/>
      <c r="M68" s="222"/>
      <c r="N68" s="222"/>
      <c r="O68" s="222"/>
      <c r="P68" s="222"/>
      <c r="Q68" s="222"/>
      <c r="R68" s="222"/>
      <c r="S68" s="222"/>
      <c r="T68" s="222"/>
      <c r="U68" s="222"/>
      <c r="V68" s="222"/>
      <c r="W68" s="222"/>
      <c r="X68" s="222"/>
      <c r="Y68" s="222"/>
      <c r="Z68" s="222"/>
      <c r="AA68" s="222"/>
    </row>
    <row r="69" spans="1:27" ht="14.25" customHeight="1">
      <c r="A69" s="255">
        <f t="shared" si="24"/>
        <v>46494000</v>
      </c>
      <c r="B69" s="231">
        <f t="shared" si="17"/>
        <v>-502080543.15420794</v>
      </c>
      <c r="C69" s="243">
        <f t="shared" si="18"/>
        <v>-1.9922444062575737E-2</v>
      </c>
      <c r="D69" s="232">
        <f t="shared" si="19"/>
        <v>10206000</v>
      </c>
      <c r="E69" s="222"/>
      <c r="F69" s="255">
        <f t="shared" si="25"/>
        <v>69741000</v>
      </c>
      <c r="G69" s="231">
        <f t="shared" si="21"/>
        <v>-155882323.4070375</v>
      </c>
      <c r="H69" s="243">
        <f t="shared" si="22"/>
        <v>-8.9426261187315892E-2</v>
      </c>
      <c r="I69" s="232">
        <f t="shared" si="23"/>
        <v>15309000</v>
      </c>
      <c r="J69" s="222"/>
      <c r="K69" s="222"/>
      <c r="L69" s="222"/>
      <c r="M69" s="222"/>
      <c r="N69" s="222"/>
      <c r="O69" s="222"/>
      <c r="P69" s="222"/>
      <c r="Q69" s="222"/>
      <c r="R69" s="222"/>
      <c r="S69" s="222"/>
      <c r="T69" s="222"/>
      <c r="U69" s="222"/>
      <c r="V69" s="222"/>
      <c r="W69" s="222"/>
      <c r="X69" s="222"/>
      <c r="Y69" s="222"/>
      <c r="Z69" s="222"/>
      <c r="AA69" s="222"/>
    </row>
    <row r="70" spans="1:27" ht="14.25" customHeight="1">
      <c r="A70" s="255">
        <f t="shared" si="24"/>
        <v>45360000</v>
      </c>
      <c r="B70" s="231">
        <f t="shared" si="17"/>
        <v>-500946543.15420794</v>
      </c>
      <c r="C70" s="243">
        <f t="shared" si="18"/>
        <v>-2.2136048958417486E-2</v>
      </c>
      <c r="D70" s="232">
        <f t="shared" si="19"/>
        <v>11340000</v>
      </c>
      <c r="E70" s="222"/>
      <c r="F70" s="255">
        <f t="shared" si="25"/>
        <v>68040000</v>
      </c>
      <c r="G70" s="231">
        <f t="shared" si="21"/>
        <v>-154181323.4070375</v>
      </c>
      <c r="H70" s="243">
        <f t="shared" si="22"/>
        <v>-9.9362512430350991E-2</v>
      </c>
      <c r="I70" s="232">
        <f t="shared" si="23"/>
        <v>17010000</v>
      </c>
      <c r="J70" s="222"/>
      <c r="K70" s="222"/>
      <c r="L70" s="222"/>
      <c r="M70" s="222"/>
      <c r="N70" s="222"/>
      <c r="O70" s="222"/>
      <c r="P70" s="222"/>
      <c r="Q70" s="222"/>
      <c r="R70" s="222"/>
      <c r="S70" s="222"/>
      <c r="T70" s="222"/>
      <c r="U70" s="222"/>
      <c r="V70" s="222"/>
      <c r="W70" s="222"/>
      <c r="X70" s="222"/>
      <c r="Y70" s="222"/>
      <c r="Z70" s="222"/>
      <c r="AA70" s="222"/>
    </row>
    <row r="71" spans="1:27" ht="14.25" customHeight="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c r="AA71" s="222"/>
    </row>
    <row r="72" spans="1:27" ht="14.25" customHeight="1">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c r="AA72" s="222"/>
    </row>
    <row r="73" spans="1:27" ht="14.25" customHeight="1">
      <c r="A73" s="240" t="s">
        <v>327</v>
      </c>
      <c r="B73" s="253" t="s">
        <v>322</v>
      </c>
      <c r="C73" s="253" t="s">
        <v>328</v>
      </c>
      <c r="D73" s="240" t="s">
        <v>329</v>
      </c>
      <c r="E73" s="253" t="s">
        <v>326</v>
      </c>
      <c r="F73" s="253" t="s">
        <v>330</v>
      </c>
      <c r="G73" s="240" t="s">
        <v>331</v>
      </c>
      <c r="H73" s="222"/>
      <c r="I73" s="222"/>
      <c r="J73" s="222"/>
      <c r="K73" s="222"/>
      <c r="L73" s="222"/>
      <c r="M73" s="222"/>
      <c r="N73" s="222"/>
      <c r="O73" s="222"/>
      <c r="P73" s="222"/>
      <c r="Q73" s="222"/>
      <c r="R73" s="222"/>
      <c r="S73" s="222"/>
      <c r="T73" s="222"/>
      <c r="U73" s="222"/>
      <c r="V73" s="222"/>
      <c r="W73" s="222"/>
      <c r="X73" s="222"/>
      <c r="Y73" s="222"/>
      <c r="Z73" s="222"/>
      <c r="AA73" s="222"/>
    </row>
    <row r="74" spans="1:27" ht="14.25" customHeight="1">
      <c r="A74" s="240"/>
      <c r="B74" s="240"/>
      <c r="C74" s="240"/>
      <c r="D74" s="240"/>
      <c r="E74" s="240"/>
      <c r="F74" s="240"/>
      <c r="G74" s="240"/>
      <c r="H74" s="222"/>
      <c r="I74" s="222"/>
      <c r="J74" s="222"/>
      <c r="K74" s="222"/>
      <c r="L74" s="222"/>
      <c r="M74" s="222"/>
      <c r="N74" s="222"/>
      <c r="O74" s="222"/>
      <c r="P74" s="222"/>
      <c r="Q74" s="222"/>
      <c r="R74" s="222"/>
      <c r="S74" s="222"/>
      <c r="T74" s="222"/>
      <c r="U74" s="222"/>
      <c r="V74" s="222"/>
      <c r="W74" s="222"/>
      <c r="X74" s="222"/>
      <c r="Y74" s="222"/>
      <c r="Z74" s="222"/>
      <c r="AA74" s="222"/>
    </row>
    <row r="75" spans="1:27" ht="14.25" customHeight="1">
      <c r="A75" s="254">
        <f t="shared" ref="A75:A84" si="26">A76+0.02*($A$85)</f>
        <v>915912092.99999952</v>
      </c>
      <c r="B75" s="231">
        <f t="shared" ref="B75:B95" si="27">PMT($C$8,$C$11,$C$6,,0)-$C$7+A75</f>
        <v>-359634527.65420842</v>
      </c>
      <c r="C75" s="243">
        <f t="shared" ref="C75:C95" si="28">(B75-$B$85)/$B$85</f>
        <v>-0.2979817009443646</v>
      </c>
      <c r="D75" s="232">
        <f t="shared" ref="D75:D95" si="29">B75-$B$60</f>
        <v>152652015.49999952</v>
      </c>
      <c r="E75" s="231">
        <f t="shared" ref="E75:E95" si="30">PMT($F$8,$F$11,$F$6,,0)-$F$7+A75</f>
        <v>-18539307.907037973</v>
      </c>
      <c r="F75" s="243">
        <f t="shared" ref="F75:F95" si="31">(E75-$E$85)/$E$85</f>
        <v>-0.89170416153067811</v>
      </c>
      <c r="G75" s="232">
        <f t="shared" ref="G75:G95" si="32">E75-$E$85</f>
        <v>152652015.49999952</v>
      </c>
      <c r="H75" s="222"/>
      <c r="I75" s="222"/>
      <c r="J75" s="222"/>
      <c r="K75" s="222"/>
      <c r="L75" s="222"/>
      <c r="M75" s="222"/>
      <c r="N75" s="222"/>
      <c r="O75" s="222"/>
      <c r="P75" s="222"/>
      <c r="Q75" s="222"/>
      <c r="R75" s="222"/>
      <c r="S75" s="222"/>
      <c r="T75" s="222"/>
      <c r="U75" s="222"/>
      <c r="V75" s="222"/>
      <c r="W75" s="222"/>
      <c r="X75" s="222"/>
      <c r="Y75" s="222"/>
      <c r="Z75" s="222"/>
      <c r="AA75" s="222"/>
    </row>
    <row r="76" spans="1:27" ht="14.25" customHeight="1">
      <c r="A76" s="254">
        <f t="shared" si="26"/>
        <v>900646891.44999957</v>
      </c>
      <c r="B76" s="231">
        <f t="shared" si="27"/>
        <v>-374899729.20420837</v>
      </c>
      <c r="C76" s="243">
        <f t="shared" si="28"/>
        <v>-0.26818353084992813</v>
      </c>
      <c r="D76" s="232">
        <f t="shared" si="29"/>
        <v>137386813.94999957</v>
      </c>
      <c r="E76" s="231">
        <f t="shared" si="30"/>
        <v>-33804509.457037926</v>
      </c>
      <c r="F76" s="243">
        <f t="shared" si="31"/>
        <v>-0.80253374537761035</v>
      </c>
      <c r="G76" s="232">
        <f t="shared" si="32"/>
        <v>137386813.94999957</v>
      </c>
      <c r="H76" s="222"/>
      <c r="I76" s="222"/>
      <c r="J76" s="222"/>
      <c r="K76" s="222"/>
      <c r="L76" s="222"/>
      <c r="M76" s="222"/>
      <c r="N76" s="222"/>
      <c r="O76" s="222"/>
      <c r="P76" s="222"/>
      <c r="Q76" s="222"/>
      <c r="R76" s="222"/>
      <c r="S76" s="222"/>
      <c r="T76" s="222"/>
      <c r="U76" s="222"/>
      <c r="V76" s="222"/>
      <c r="W76" s="222"/>
      <c r="X76" s="222"/>
      <c r="Y76" s="222"/>
      <c r="Z76" s="222"/>
      <c r="AA76" s="222"/>
    </row>
    <row r="77" spans="1:27" ht="14.25" customHeight="1">
      <c r="A77" s="254">
        <f t="shared" si="26"/>
        <v>885381689.89999962</v>
      </c>
      <c r="B77" s="231">
        <f t="shared" si="27"/>
        <v>-390164930.75420833</v>
      </c>
      <c r="C77" s="243">
        <f t="shared" si="28"/>
        <v>-0.23838536075549169</v>
      </c>
      <c r="D77" s="232">
        <f t="shared" si="29"/>
        <v>122121612.39999962</v>
      </c>
      <c r="E77" s="231">
        <f t="shared" si="30"/>
        <v>-49069711.007037878</v>
      </c>
      <c r="F77" s="243">
        <f t="shared" si="31"/>
        <v>-0.71336332922454249</v>
      </c>
      <c r="G77" s="232">
        <f t="shared" si="32"/>
        <v>122121612.39999962</v>
      </c>
      <c r="H77" s="222"/>
      <c r="I77" s="222"/>
      <c r="J77" s="222"/>
      <c r="K77" s="222"/>
      <c r="L77" s="222"/>
      <c r="M77" s="222"/>
      <c r="N77" s="222"/>
      <c r="O77" s="222"/>
      <c r="P77" s="222"/>
      <c r="Q77" s="222"/>
      <c r="R77" s="222"/>
      <c r="S77" s="222"/>
      <c r="T77" s="222"/>
      <c r="U77" s="222"/>
      <c r="V77" s="222"/>
      <c r="W77" s="222"/>
      <c r="X77" s="222"/>
      <c r="Y77" s="222"/>
      <c r="Z77" s="222"/>
      <c r="AA77" s="222"/>
    </row>
    <row r="78" spans="1:27" ht="14.25" customHeight="1">
      <c r="A78" s="254">
        <f t="shared" si="26"/>
        <v>870116488.34999967</v>
      </c>
      <c r="B78" s="231">
        <f t="shared" si="27"/>
        <v>-405430132.30420828</v>
      </c>
      <c r="C78" s="243">
        <f t="shared" si="28"/>
        <v>-0.20858719066105522</v>
      </c>
      <c r="D78" s="232">
        <f t="shared" si="29"/>
        <v>106856410.84999967</v>
      </c>
      <c r="E78" s="231">
        <f t="shared" si="30"/>
        <v>-64334912.55703783</v>
      </c>
      <c r="F78" s="243">
        <f t="shared" si="31"/>
        <v>-0.62419291307147473</v>
      </c>
      <c r="G78" s="232">
        <f t="shared" si="32"/>
        <v>106856410.84999967</v>
      </c>
      <c r="H78" s="222"/>
      <c r="I78" s="222"/>
      <c r="J78" s="222"/>
      <c r="K78" s="222"/>
      <c r="L78" s="222"/>
      <c r="M78" s="222"/>
      <c r="N78" s="222"/>
      <c r="O78" s="222"/>
      <c r="P78" s="222"/>
      <c r="Q78" s="222"/>
      <c r="R78" s="222"/>
      <c r="S78" s="222"/>
      <c r="T78" s="222"/>
      <c r="U78" s="222"/>
      <c r="V78" s="222"/>
      <c r="W78" s="222"/>
      <c r="X78" s="222"/>
      <c r="Y78" s="222"/>
      <c r="Z78" s="222"/>
      <c r="AA78" s="222"/>
    </row>
    <row r="79" spans="1:27" ht="14.25" customHeight="1">
      <c r="A79" s="254">
        <f t="shared" si="26"/>
        <v>854851286.79999971</v>
      </c>
      <c r="B79" s="231">
        <f t="shared" si="27"/>
        <v>-420695333.85420823</v>
      </c>
      <c r="C79" s="243">
        <f t="shared" si="28"/>
        <v>-0.17878902056661877</v>
      </c>
      <c r="D79" s="232">
        <f t="shared" si="29"/>
        <v>91591209.299999714</v>
      </c>
      <c r="E79" s="231">
        <f t="shared" si="30"/>
        <v>-79600114.107037783</v>
      </c>
      <c r="F79" s="243">
        <f t="shared" si="31"/>
        <v>-0.53502249691840686</v>
      </c>
      <c r="G79" s="232">
        <f t="shared" si="32"/>
        <v>91591209.299999714</v>
      </c>
      <c r="H79" s="222"/>
      <c r="I79" s="222"/>
      <c r="J79" s="222"/>
      <c r="K79" s="222"/>
      <c r="L79" s="222"/>
      <c r="M79" s="222"/>
      <c r="N79" s="222"/>
      <c r="O79" s="222"/>
      <c r="P79" s="222"/>
      <c r="Q79" s="222"/>
      <c r="R79" s="222"/>
      <c r="S79" s="222"/>
      <c r="T79" s="222"/>
      <c r="U79" s="222"/>
      <c r="V79" s="222"/>
      <c r="W79" s="222"/>
      <c r="X79" s="222"/>
      <c r="Y79" s="222"/>
      <c r="Z79" s="222"/>
      <c r="AA79" s="222"/>
    </row>
    <row r="80" spans="1:27" ht="14.25" customHeight="1">
      <c r="A80" s="254">
        <f t="shared" si="26"/>
        <v>839586085.24999976</v>
      </c>
      <c r="B80" s="231">
        <f t="shared" si="27"/>
        <v>-435960535.40420818</v>
      </c>
      <c r="C80" s="243">
        <f t="shared" si="28"/>
        <v>-0.1489908504721823</v>
      </c>
      <c r="D80" s="232">
        <f t="shared" si="29"/>
        <v>76326007.749999762</v>
      </c>
      <c r="E80" s="231">
        <f t="shared" si="30"/>
        <v>-94865315.657037735</v>
      </c>
      <c r="F80" s="243">
        <f t="shared" si="31"/>
        <v>-0.44585208076533905</v>
      </c>
      <c r="G80" s="232">
        <f t="shared" si="32"/>
        <v>76326007.749999762</v>
      </c>
      <c r="H80" s="222"/>
      <c r="I80" s="222"/>
      <c r="J80" s="222"/>
      <c r="K80" s="222"/>
      <c r="L80" s="222"/>
      <c r="M80" s="222"/>
      <c r="N80" s="222"/>
      <c r="O80" s="222"/>
      <c r="P80" s="222"/>
      <c r="Q80" s="222"/>
      <c r="R80" s="222"/>
      <c r="S80" s="222"/>
      <c r="T80" s="222"/>
      <c r="U80" s="222"/>
      <c r="V80" s="222"/>
      <c r="W80" s="222"/>
      <c r="X80" s="222"/>
      <c r="Y80" s="222"/>
      <c r="Z80" s="222"/>
      <c r="AA80" s="222"/>
    </row>
    <row r="81" spans="1:27" ht="14.25" customHeight="1">
      <c r="A81" s="254">
        <f t="shared" si="26"/>
        <v>824320883.69999981</v>
      </c>
      <c r="B81" s="231">
        <f t="shared" si="27"/>
        <v>-451225736.95420814</v>
      </c>
      <c r="C81" s="243">
        <f t="shared" si="28"/>
        <v>-0.11919268037774584</v>
      </c>
      <c r="D81" s="232">
        <f t="shared" si="29"/>
        <v>61060806.199999809</v>
      </c>
      <c r="E81" s="231">
        <f t="shared" si="30"/>
        <v>-110130517.20703769</v>
      </c>
      <c r="F81" s="243">
        <f t="shared" si="31"/>
        <v>-0.35668166461227124</v>
      </c>
      <c r="G81" s="232">
        <f t="shared" si="32"/>
        <v>61060806.199999809</v>
      </c>
      <c r="H81" s="222"/>
      <c r="I81" s="222"/>
      <c r="J81" s="222"/>
      <c r="K81" s="222"/>
      <c r="L81" s="222"/>
      <c r="M81" s="222"/>
      <c r="N81" s="222"/>
      <c r="O81" s="222"/>
      <c r="P81" s="222"/>
      <c r="Q81" s="222"/>
      <c r="R81" s="222"/>
      <c r="S81" s="222"/>
      <c r="T81" s="222"/>
      <c r="U81" s="222"/>
      <c r="V81" s="222"/>
      <c r="W81" s="222"/>
      <c r="X81" s="222"/>
      <c r="Y81" s="222"/>
      <c r="Z81" s="222"/>
      <c r="AA81" s="222"/>
    </row>
    <row r="82" spans="1:27" ht="14.25" customHeight="1">
      <c r="A82" s="254">
        <f t="shared" si="26"/>
        <v>809055682.14999986</v>
      </c>
      <c r="B82" s="231">
        <f t="shared" si="27"/>
        <v>-466490938.50420809</v>
      </c>
      <c r="C82" s="243">
        <f t="shared" si="28"/>
        <v>-8.9394510283309386E-2</v>
      </c>
      <c r="D82" s="232">
        <f t="shared" si="29"/>
        <v>45795604.649999857</v>
      </c>
      <c r="E82" s="231">
        <f t="shared" si="30"/>
        <v>-125395718.75703764</v>
      </c>
      <c r="F82" s="243">
        <f t="shared" si="31"/>
        <v>-0.26751124845920343</v>
      </c>
      <c r="G82" s="232">
        <f t="shared" si="32"/>
        <v>45795604.649999857</v>
      </c>
      <c r="H82" s="222"/>
      <c r="I82" s="222"/>
      <c r="J82" s="222"/>
      <c r="K82" s="222"/>
      <c r="L82" s="222"/>
      <c r="M82" s="222"/>
      <c r="N82" s="222"/>
      <c r="O82" s="222"/>
      <c r="P82" s="222"/>
      <c r="Q82" s="222"/>
      <c r="R82" s="222"/>
      <c r="S82" s="222"/>
      <c r="T82" s="222"/>
      <c r="U82" s="222"/>
      <c r="V82" s="222"/>
      <c r="W82" s="222"/>
      <c r="X82" s="222"/>
      <c r="Y82" s="222"/>
      <c r="Z82" s="222"/>
      <c r="AA82" s="222"/>
    </row>
    <row r="83" spans="1:27" ht="14.25" customHeight="1">
      <c r="A83" s="254">
        <f t="shared" si="26"/>
        <v>793790480.5999999</v>
      </c>
      <c r="B83" s="231">
        <f t="shared" si="27"/>
        <v>-481756140.05420804</v>
      </c>
      <c r="C83" s="243">
        <f t="shared" si="28"/>
        <v>-5.9596340188872922E-2</v>
      </c>
      <c r="D83" s="232">
        <f t="shared" si="29"/>
        <v>30530403.099999905</v>
      </c>
      <c r="E83" s="231">
        <f t="shared" si="30"/>
        <v>-140660920.30703759</v>
      </c>
      <c r="F83" s="243">
        <f t="shared" si="31"/>
        <v>-0.17834083230613562</v>
      </c>
      <c r="G83" s="232">
        <f t="shared" si="32"/>
        <v>30530403.099999905</v>
      </c>
      <c r="H83" s="222"/>
      <c r="I83" s="222"/>
      <c r="J83" s="222"/>
      <c r="K83" s="222"/>
      <c r="L83" s="222"/>
      <c r="M83" s="222"/>
      <c r="N83" s="222"/>
      <c r="O83" s="222"/>
      <c r="P83" s="222"/>
      <c r="Q83" s="222"/>
      <c r="R83" s="222"/>
      <c r="S83" s="222"/>
      <c r="T83" s="222"/>
      <c r="U83" s="222"/>
      <c r="V83" s="222"/>
      <c r="W83" s="222"/>
      <c r="X83" s="222"/>
      <c r="Y83" s="222"/>
      <c r="Z83" s="222"/>
      <c r="AA83" s="222"/>
    </row>
    <row r="84" spans="1:27" ht="14.25" customHeight="1">
      <c r="A84" s="254">
        <f t="shared" si="26"/>
        <v>778525279.04999995</v>
      </c>
      <c r="B84" s="231">
        <f t="shared" si="27"/>
        <v>-497021341.60420799</v>
      </c>
      <c r="C84" s="243">
        <f t="shared" si="28"/>
        <v>-2.9798170094436461E-2</v>
      </c>
      <c r="D84" s="232">
        <f t="shared" si="29"/>
        <v>15265201.549999952</v>
      </c>
      <c r="E84" s="231">
        <f t="shared" si="30"/>
        <v>-155926121.85703754</v>
      </c>
      <c r="F84" s="243">
        <f t="shared" si="31"/>
        <v>-8.9170416153067811E-2</v>
      </c>
      <c r="G84" s="232">
        <f t="shared" si="32"/>
        <v>15265201.549999952</v>
      </c>
      <c r="H84" s="222"/>
      <c r="I84" s="222"/>
      <c r="J84" s="222"/>
      <c r="K84" s="222"/>
      <c r="L84" s="222"/>
      <c r="M84" s="222"/>
      <c r="N84" s="222"/>
      <c r="O84" s="222"/>
      <c r="P84" s="222"/>
      <c r="Q84" s="222"/>
      <c r="R84" s="222"/>
      <c r="S84" s="222"/>
      <c r="T84" s="222"/>
      <c r="U84" s="222"/>
      <c r="V84" s="222"/>
      <c r="W84" s="222"/>
      <c r="X84" s="222"/>
      <c r="Y84" s="222"/>
      <c r="Z84" s="222"/>
      <c r="AA84" s="222"/>
    </row>
    <row r="85" spans="1:27" ht="14.25" customHeight="1">
      <c r="A85" s="254">
        <f>C10</f>
        <v>763260077.5</v>
      </c>
      <c r="B85" s="231">
        <f t="shared" si="27"/>
        <v>-512286543.15420794</v>
      </c>
      <c r="C85" s="243">
        <f t="shared" si="28"/>
        <v>0</v>
      </c>
      <c r="D85" s="232">
        <f t="shared" si="29"/>
        <v>0</v>
      </c>
      <c r="E85" s="231">
        <f t="shared" si="30"/>
        <v>-171191323.4070375</v>
      </c>
      <c r="F85" s="243">
        <f t="shared" si="31"/>
        <v>0</v>
      </c>
      <c r="G85" s="232">
        <f t="shared" si="32"/>
        <v>0</v>
      </c>
      <c r="H85" s="222"/>
      <c r="I85" s="222"/>
      <c r="J85" s="222"/>
      <c r="K85" s="222"/>
      <c r="L85" s="222"/>
      <c r="M85" s="222"/>
      <c r="N85" s="222"/>
      <c r="O85" s="222"/>
      <c r="P85" s="222"/>
      <c r="Q85" s="222"/>
      <c r="R85" s="222"/>
      <c r="S85" s="222"/>
      <c r="T85" s="222"/>
      <c r="U85" s="222"/>
      <c r="V85" s="222"/>
      <c r="W85" s="222"/>
      <c r="X85" s="222"/>
      <c r="Y85" s="222"/>
      <c r="Z85" s="222"/>
      <c r="AA85" s="222"/>
    </row>
    <row r="86" spans="1:27" ht="14.25" customHeight="1">
      <c r="A86" s="255">
        <f t="shared" ref="A86:A95" si="33">A85-0.02*($A$85)</f>
        <v>747994875.95000005</v>
      </c>
      <c r="B86" s="231">
        <f t="shared" si="27"/>
        <v>-527551744.7042079</v>
      </c>
      <c r="C86" s="243">
        <f t="shared" si="28"/>
        <v>2.9798170094436461E-2</v>
      </c>
      <c r="D86" s="232">
        <f t="shared" si="29"/>
        <v>-15265201.549999952</v>
      </c>
      <c r="E86" s="231">
        <f t="shared" si="30"/>
        <v>-186456524.95703745</v>
      </c>
      <c r="F86" s="243">
        <f t="shared" si="31"/>
        <v>8.9170416153067811E-2</v>
      </c>
      <c r="G86" s="232">
        <f t="shared" si="32"/>
        <v>-15265201.549999952</v>
      </c>
      <c r="H86" s="222"/>
      <c r="I86" s="222"/>
      <c r="J86" s="222"/>
      <c r="K86" s="222"/>
      <c r="L86" s="222"/>
      <c r="M86" s="222"/>
      <c r="N86" s="222"/>
      <c r="O86" s="222"/>
      <c r="P86" s="222"/>
      <c r="Q86" s="222"/>
      <c r="R86" s="222"/>
      <c r="S86" s="222"/>
      <c r="T86" s="222"/>
      <c r="U86" s="222"/>
      <c r="V86" s="222"/>
      <c r="W86" s="222"/>
      <c r="X86" s="222"/>
      <c r="Y86" s="222"/>
      <c r="Z86" s="222"/>
      <c r="AA86" s="222"/>
    </row>
    <row r="87" spans="1:27" ht="14.25" customHeight="1">
      <c r="A87" s="255">
        <f t="shared" si="33"/>
        <v>732729674.4000001</v>
      </c>
      <c r="B87" s="231">
        <f t="shared" si="27"/>
        <v>-542816946.25420785</v>
      </c>
      <c r="C87" s="243">
        <f t="shared" si="28"/>
        <v>5.9596340188872922E-2</v>
      </c>
      <c r="D87" s="232">
        <f t="shared" si="29"/>
        <v>-30530403.099999905</v>
      </c>
      <c r="E87" s="231">
        <f t="shared" si="30"/>
        <v>-201721726.5070374</v>
      </c>
      <c r="F87" s="243">
        <f t="shared" si="31"/>
        <v>0.17834083230613562</v>
      </c>
      <c r="G87" s="232">
        <f t="shared" si="32"/>
        <v>-30530403.099999905</v>
      </c>
      <c r="H87" s="222"/>
      <c r="I87" s="222"/>
      <c r="J87" s="222"/>
      <c r="K87" s="222"/>
      <c r="L87" s="222"/>
      <c r="M87" s="222"/>
      <c r="N87" s="222"/>
      <c r="O87" s="222"/>
      <c r="P87" s="222"/>
      <c r="Q87" s="222"/>
      <c r="R87" s="222"/>
      <c r="S87" s="222"/>
      <c r="T87" s="222"/>
      <c r="U87" s="222"/>
      <c r="V87" s="222"/>
      <c r="W87" s="222"/>
      <c r="X87" s="222"/>
      <c r="Y87" s="222"/>
      <c r="Z87" s="222"/>
      <c r="AA87" s="222"/>
    </row>
    <row r="88" spans="1:27" ht="14.25" customHeight="1">
      <c r="A88" s="255">
        <f t="shared" si="33"/>
        <v>717464472.85000014</v>
      </c>
      <c r="B88" s="231">
        <f t="shared" si="27"/>
        <v>-558082147.8042078</v>
      </c>
      <c r="C88" s="243">
        <f t="shared" si="28"/>
        <v>8.9394510283309386E-2</v>
      </c>
      <c r="D88" s="232">
        <f t="shared" si="29"/>
        <v>-45795604.649999857</v>
      </c>
      <c r="E88" s="231">
        <f t="shared" si="30"/>
        <v>-216986928.05703735</v>
      </c>
      <c r="F88" s="243">
        <f t="shared" si="31"/>
        <v>0.26751124845920343</v>
      </c>
      <c r="G88" s="232">
        <f t="shared" si="32"/>
        <v>-45795604.649999857</v>
      </c>
      <c r="H88" s="222"/>
      <c r="I88" s="222"/>
      <c r="J88" s="222"/>
      <c r="K88" s="222"/>
      <c r="L88" s="222"/>
      <c r="M88" s="222"/>
      <c r="N88" s="222"/>
      <c r="O88" s="222"/>
      <c r="P88" s="222"/>
      <c r="Q88" s="222"/>
      <c r="R88" s="222"/>
      <c r="S88" s="222"/>
      <c r="T88" s="222"/>
      <c r="U88" s="222"/>
      <c r="V88" s="222"/>
      <c r="W88" s="222"/>
      <c r="X88" s="222"/>
      <c r="Y88" s="222"/>
      <c r="Z88" s="222"/>
      <c r="AA88" s="222"/>
    </row>
    <row r="89" spans="1:27" ht="14.25" customHeight="1">
      <c r="A89" s="255">
        <f t="shared" si="33"/>
        <v>702199271.30000019</v>
      </c>
      <c r="B89" s="231">
        <f t="shared" si="27"/>
        <v>-573347349.35420775</v>
      </c>
      <c r="C89" s="243">
        <f t="shared" si="28"/>
        <v>0.11919268037774584</v>
      </c>
      <c r="D89" s="232">
        <f t="shared" si="29"/>
        <v>-61060806.199999809</v>
      </c>
      <c r="E89" s="231">
        <f t="shared" si="30"/>
        <v>-232252129.60703731</v>
      </c>
      <c r="F89" s="243">
        <f t="shared" si="31"/>
        <v>0.35668166461227124</v>
      </c>
      <c r="G89" s="232">
        <f t="shared" si="32"/>
        <v>-61060806.199999809</v>
      </c>
      <c r="H89" s="222"/>
      <c r="I89" s="222"/>
      <c r="J89" s="222"/>
      <c r="K89" s="222"/>
      <c r="L89" s="222"/>
      <c r="M89" s="222"/>
      <c r="N89" s="222"/>
      <c r="O89" s="222"/>
      <c r="P89" s="222"/>
      <c r="Q89" s="222"/>
      <c r="R89" s="222"/>
      <c r="S89" s="222"/>
      <c r="T89" s="222"/>
      <c r="U89" s="222"/>
      <c r="V89" s="222"/>
      <c r="W89" s="222"/>
      <c r="X89" s="222"/>
      <c r="Y89" s="222"/>
      <c r="Z89" s="222"/>
      <c r="AA89" s="222"/>
    </row>
    <row r="90" spans="1:27" ht="14.25" customHeight="1">
      <c r="A90" s="255">
        <f t="shared" si="33"/>
        <v>686934069.75000024</v>
      </c>
      <c r="B90" s="231">
        <f t="shared" si="27"/>
        <v>-588612550.90420771</v>
      </c>
      <c r="C90" s="243">
        <f t="shared" si="28"/>
        <v>0.1489908504721823</v>
      </c>
      <c r="D90" s="232">
        <f t="shared" si="29"/>
        <v>-76326007.749999762</v>
      </c>
      <c r="E90" s="231">
        <f t="shared" si="30"/>
        <v>-247517331.15703726</v>
      </c>
      <c r="F90" s="243">
        <f t="shared" si="31"/>
        <v>0.44585208076533905</v>
      </c>
      <c r="G90" s="232">
        <f t="shared" si="32"/>
        <v>-76326007.749999762</v>
      </c>
      <c r="H90" s="222"/>
      <c r="I90" s="222"/>
      <c r="J90" s="222"/>
      <c r="K90" s="222"/>
      <c r="L90" s="222"/>
      <c r="M90" s="222"/>
      <c r="N90" s="222"/>
      <c r="O90" s="222"/>
      <c r="P90" s="222"/>
      <c r="Q90" s="222"/>
      <c r="R90" s="222"/>
      <c r="S90" s="222"/>
      <c r="T90" s="222"/>
      <c r="U90" s="222"/>
      <c r="V90" s="222"/>
      <c r="W90" s="222"/>
      <c r="X90" s="222"/>
      <c r="Y90" s="222"/>
      <c r="Z90" s="222"/>
      <c r="AA90" s="222"/>
    </row>
    <row r="91" spans="1:27" ht="14.25" customHeight="1">
      <c r="A91" s="255">
        <f t="shared" si="33"/>
        <v>671668868.20000029</v>
      </c>
      <c r="B91" s="231">
        <f t="shared" si="27"/>
        <v>-603877752.45420766</v>
      </c>
      <c r="C91" s="243">
        <f t="shared" si="28"/>
        <v>0.17878902056661877</v>
      </c>
      <c r="D91" s="232">
        <f t="shared" si="29"/>
        <v>-91591209.299999714</v>
      </c>
      <c r="E91" s="231">
        <f t="shared" si="30"/>
        <v>-262782532.70703721</v>
      </c>
      <c r="F91" s="243">
        <f t="shared" si="31"/>
        <v>0.53502249691840686</v>
      </c>
      <c r="G91" s="232">
        <f t="shared" si="32"/>
        <v>-91591209.299999714</v>
      </c>
      <c r="H91" s="222"/>
      <c r="I91" s="222"/>
      <c r="J91" s="222"/>
      <c r="K91" s="222"/>
      <c r="L91" s="222"/>
      <c r="M91" s="222"/>
      <c r="N91" s="222"/>
      <c r="O91" s="222"/>
      <c r="P91" s="222"/>
      <c r="Q91" s="222"/>
      <c r="R91" s="222"/>
      <c r="S91" s="222"/>
      <c r="T91" s="222"/>
      <c r="U91" s="222"/>
      <c r="V91" s="222"/>
      <c r="W91" s="222"/>
      <c r="X91" s="222"/>
      <c r="Y91" s="222"/>
      <c r="Z91" s="222"/>
      <c r="AA91" s="222"/>
    </row>
    <row r="92" spans="1:27" ht="14.25" customHeight="1">
      <c r="A92" s="255">
        <f t="shared" si="33"/>
        <v>656403666.65000033</v>
      </c>
      <c r="B92" s="231">
        <f t="shared" si="27"/>
        <v>-619142954.00420761</v>
      </c>
      <c r="C92" s="243">
        <f t="shared" si="28"/>
        <v>0.20858719066105522</v>
      </c>
      <c r="D92" s="232">
        <f t="shared" si="29"/>
        <v>-106856410.84999967</v>
      </c>
      <c r="E92" s="231">
        <f t="shared" si="30"/>
        <v>-278047734.25703716</v>
      </c>
      <c r="F92" s="243">
        <f t="shared" si="31"/>
        <v>0.62419291307147473</v>
      </c>
      <c r="G92" s="232">
        <f t="shared" si="32"/>
        <v>-106856410.84999967</v>
      </c>
      <c r="H92" s="222"/>
      <c r="I92" s="222"/>
      <c r="J92" s="222"/>
      <c r="K92" s="222"/>
      <c r="L92" s="222"/>
      <c r="M92" s="222"/>
      <c r="N92" s="222"/>
      <c r="O92" s="222"/>
      <c r="P92" s="222"/>
      <c r="Q92" s="222"/>
      <c r="R92" s="222"/>
      <c r="S92" s="222"/>
      <c r="T92" s="222"/>
      <c r="U92" s="222"/>
      <c r="V92" s="222"/>
      <c r="W92" s="222"/>
      <c r="X92" s="222"/>
      <c r="Y92" s="222"/>
      <c r="Z92" s="222"/>
      <c r="AA92" s="222"/>
    </row>
    <row r="93" spans="1:27" ht="14.25" customHeight="1">
      <c r="A93" s="255">
        <f t="shared" si="33"/>
        <v>641138465.10000038</v>
      </c>
      <c r="B93" s="231">
        <f t="shared" si="27"/>
        <v>-634408155.55420756</v>
      </c>
      <c r="C93" s="243">
        <f t="shared" si="28"/>
        <v>0.23838536075549169</v>
      </c>
      <c r="D93" s="232">
        <f t="shared" si="29"/>
        <v>-122121612.39999962</v>
      </c>
      <c r="E93" s="231">
        <f t="shared" si="30"/>
        <v>-293312935.80703712</v>
      </c>
      <c r="F93" s="243">
        <f t="shared" si="31"/>
        <v>0.71336332922454249</v>
      </c>
      <c r="G93" s="232">
        <f t="shared" si="32"/>
        <v>-122121612.39999962</v>
      </c>
      <c r="H93" s="222"/>
      <c r="I93" s="222"/>
      <c r="J93" s="222"/>
      <c r="K93" s="222"/>
      <c r="L93" s="222"/>
      <c r="M93" s="222"/>
      <c r="N93" s="222"/>
      <c r="O93" s="222"/>
      <c r="P93" s="222"/>
      <c r="Q93" s="222"/>
      <c r="R93" s="222"/>
      <c r="S93" s="222"/>
      <c r="T93" s="222"/>
      <c r="U93" s="222"/>
      <c r="V93" s="222"/>
      <c r="W93" s="222"/>
      <c r="X93" s="222"/>
      <c r="Y93" s="222"/>
      <c r="Z93" s="222"/>
      <c r="AA93" s="222"/>
    </row>
    <row r="94" spans="1:27" ht="14.25" customHeight="1">
      <c r="A94" s="255">
        <f t="shared" si="33"/>
        <v>625873263.55000043</v>
      </c>
      <c r="B94" s="231">
        <f t="shared" si="27"/>
        <v>-649673357.10420752</v>
      </c>
      <c r="C94" s="243">
        <f t="shared" si="28"/>
        <v>0.26818353084992813</v>
      </c>
      <c r="D94" s="232">
        <f t="shared" si="29"/>
        <v>-137386813.94999957</v>
      </c>
      <c r="E94" s="231">
        <f t="shared" si="30"/>
        <v>-308578137.35703707</v>
      </c>
      <c r="F94" s="243">
        <f t="shared" si="31"/>
        <v>0.80253374537761035</v>
      </c>
      <c r="G94" s="232">
        <f t="shared" si="32"/>
        <v>-137386813.94999957</v>
      </c>
      <c r="H94" s="222"/>
      <c r="I94" s="222"/>
      <c r="J94" s="222"/>
      <c r="K94" s="222"/>
      <c r="L94" s="222"/>
      <c r="M94" s="222"/>
      <c r="N94" s="222"/>
      <c r="O94" s="222"/>
      <c r="P94" s="222"/>
      <c r="Q94" s="222"/>
      <c r="R94" s="222"/>
      <c r="S94" s="222"/>
      <c r="T94" s="222"/>
      <c r="U94" s="222"/>
      <c r="V94" s="222"/>
      <c r="W94" s="222"/>
      <c r="X94" s="222"/>
      <c r="Y94" s="222"/>
      <c r="Z94" s="222"/>
      <c r="AA94" s="222"/>
    </row>
    <row r="95" spans="1:27" ht="14.25" customHeight="1">
      <c r="A95" s="255">
        <f t="shared" si="33"/>
        <v>610608062.00000048</v>
      </c>
      <c r="B95" s="231">
        <f t="shared" si="27"/>
        <v>-664938558.65420747</v>
      </c>
      <c r="C95" s="243">
        <f t="shared" si="28"/>
        <v>0.2979817009443646</v>
      </c>
      <c r="D95" s="232">
        <f t="shared" si="29"/>
        <v>-152652015.49999952</v>
      </c>
      <c r="E95" s="231">
        <f t="shared" si="30"/>
        <v>-323843338.90703702</v>
      </c>
      <c r="F95" s="243">
        <f t="shared" si="31"/>
        <v>0.89170416153067811</v>
      </c>
      <c r="G95" s="232">
        <f t="shared" si="32"/>
        <v>-152652015.49999952</v>
      </c>
      <c r="H95" s="222"/>
      <c r="I95" s="222"/>
      <c r="J95" s="222"/>
      <c r="K95" s="222"/>
      <c r="L95" s="222"/>
      <c r="M95" s="222"/>
      <c r="N95" s="222"/>
      <c r="O95" s="222"/>
      <c r="P95" s="222"/>
      <c r="Q95" s="222"/>
      <c r="R95" s="222"/>
      <c r="S95" s="222"/>
      <c r="T95" s="222"/>
      <c r="U95" s="222"/>
      <c r="V95" s="222"/>
      <c r="W95" s="222"/>
      <c r="X95" s="222"/>
      <c r="Y95" s="222"/>
      <c r="Z95" s="222"/>
      <c r="AA95" s="222"/>
    </row>
    <row r="96" spans="1:27" ht="14.25" customHeight="1">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c r="AA96" s="222"/>
    </row>
    <row r="97" spans="1:27" ht="14.25" customHeight="1">
      <c r="A97" s="240" t="s">
        <v>327</v>
      </c>
      <c r="B97" s="222" t="s">
        <v>326</v>
      </c>
      <c r="C97" s="222" t="s">
        <v>330</v>
      </c>
      <c r="D97" s="222" t="s">
        <v>331</v>
      </c>
      <c r="E97" s="222"/>
      <c r="F97" s="222"/>
      <c r="G97" s="222"/>
      <c r="H97" s="222"/>
      <c r="I97" s="222"/>
      <c r="J97" s="222"/>
      <c r="K97" s="222"/>
      <c r="L97" s="222"/>
      <c r="M97" s="222"/>
      <c r="N97" s="222"/>
      <c r="O97" s="222"/>
      <c r="P97" s="222"/>
      <c r="Q97" s="222"/>
      <c r="R97" s="222"/>
      <c r="S97" s="222"/>
      <c r="T97" s="222"/>
      <c r="U97" s="222"/>
      <c r="V97" s="222"/>
      <c r="W97" s="222"/>
      <c r="X97" s="222"/>
      <c r="Y97" s="222"/>
      <c r="Z97" s="222"/>
      <c r="AA97" s="222"/>
    </row>
    <row r="98" spans="1:27" ht="14.25" customHeight="1">
      <c r="A98" s="240"/>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c r="AA98" s="222"/>
    </row>
    <row r="99" spans="1:27" ht="14.25" customHeight="1">
      <c r="A99" s="254">
        <v>915912092.99999952</v>
      </c>
      <c r="B99" s="256">
        <v>-18539307.907037735</v>
      </c>
      <c r="C99" s="257">
        <v>-0.89170416153067933</v>
      </c>
      <c r="D99" s="256">
        <v>152652015.49999952</v>
      </c>
      <c r="E99" s="222"/>
      <c r="F99" s="222"/>
      <c r="G99" s="222"/>
      <c r="H99" s="222"/>
      <c r="I99" s="222"/>
      <c r="J99" s="222"/>
      <c r="K99" s="222"/>
      <c r="L99" s="222"/>
      <c r="M99" s="222"/>
      <c r="N99" s="222"/>
      <c r="O99" s="222"/>
      <c r="P99" s="222"/>
      <c r="Q99" s="222"/>
      <c r="R99" s="222"/>
      <c r="S99" s="222"/>
      <c r="T99" s="222"/>
      <c r="U99" s="222"/>
      <c r="V99" s="222"/>
      <c r="W99" s="222"/>
      <c r="X99" s="222"/>
      <c r="Y99" s="222"/>
      <c r="Z99" s="222"/>
      <c r="AA99" s="222"/>
    </row>
    <row r="100" spans="1:27" ht="14.25" customHeight="1">
      <c r="A100" s="254">
        <v>900646891.44999957</v>
      </c>
      <c r="B100" s="256">
        <v>-33804509.457037687</v>
      </c>
      <c r="C100" s="257">
        <v>-0.80253374537761146</v>
      </c>
      <c r="D100" s="256">
        <v>137386813.94999957</v>
      </c>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row>
    <row r="101" spans="1:27" ht="14.25" customHeight="1">
      <c r="A101" s="254">
        <v>885381689.89999962</v>
      </c>
      <c r="B101" s="256">
        <v>-49069711.00703764</v>
      </c>
      <c r="C101" s="257">
        <v>-0.71336332922454349</v>
      </c>
      <c r="D101" s="256">
        <v>122121612.39999962</v>
      </c>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c r="AA101" s="222"/>
    </row>
    <row r="102" spans="1:27" ht="14.25" customHeight="1">
      <c r="A102" s="254">
        <v>870116488.34999967</v>
      </c>
      <c r="B102" s="256">
        <v>-64334912.557037592</v>
      </c>
      <c r="C102" s="257">
        <v>-0.62419291307147551</v>
      </c>
      <c r="D102" s="256">
        <v>106856410.84999967</v>
      </c>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c r="AA102" s="222"/>
    </row>
    <row r="103" spans="1:27" ht="14.25" customHeight="1">
      <c r="A103" s="254">
        <v>854851286.79999971</v>
      </c>
      <c r="B103" s="256">
        <v>-79600114.107037544</v>
      </c>
      <c r="C103" s="257">
        <v>-0.53502249691840764</v>
      </c>
      <c r="D103" s="256">
        <v>91591209.299999714</v>
      </c>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c r="AA103" s="222"/>
    </row>
    <row r="104" spans="1:27" ht="14.25" customHeight="1">
      <c r="A104" s="254">
        <v>839586085.24999976</v>
      </c>
      <c r="B104" s="256">
        <v>-94865315.657037497</v>
      </c>
      <c r="C104" s="257">
        <v>-0.44585208076533966</v>
      </c>
      <c r="D104" s="256">
        <v>76326007.749999762</v>
      </c>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c r="AA104" s="222"/>
    </row>
    <row r="105" spans="1:27" ht="14.25" customHeight="1">
      <c r="A105" s="254">
        <v>824320883.69999981</v>
      </c>
      <c r="B105" s="256">
        <v>-110130517.20703745</v>
      </c>
      <c r="C105" s="257">
        <v>-0.35668166461227174</v>
      </c>
      <c r="D105" s="256">
        <v>61060806.199999809</v>
      </c>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c r="AA105" s="222"/>
    </row>
    <row r="106" spans="1:27" ht="14.25" customHeight="1">
      <c r="A106" s="254">
        <v>809055682.14999986</v>
      </c>
      <c r="B106" s="256">
        <v>-125395718.7570374</v>
      </c>
      <c r="C106" s="257">
        <v>-0.26751124845920382</v>
      </c>
      <c r="D106" s="256">
        <v>45795604.649999857</v>
      </c>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c r="AA106" s="222"/>
    </row>
    <row r="107" spans="1:27" ht="14.25" customHeight="1">
      <c r="A107" s="254">
        <v>793790480.5999999</v>
      </c>
      <c r="B107" s="256">
        <v>-140660920.30703735</v>
      </c>
      <c r="C107" s="257">
        <v>-0.17834083230613587</v>
      </c>
      <c r="D107" s="256">
        <v>30530403.099999905</v>
      </c>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c r="AA107" s="222"/>
    </row>
    <row r="108" spans="1:27" ht="14.25" customHeight="1">
      <c r="A108" s="254">
        <v>778525279.04999995</v>
      </c>
      <c r="B108" s="256">
        <v>-155926121.85703731</v>
      </c>
      <c r="C108" s="257">
        <v>-8.9170416153067936E-2</v>
      </c>
      <c r="D108" s="256">
        <v>15265201.549999952</v>
      </c>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c r="AA108" s="222"/>
    </row>
    <row r="109" spans="1:27" ht="14.25" customHeight="1">
      <c r="A109" s="254">
        <v>763260077.5</v>
      </c>
      <c r="B109" s="256">
        <v>-171191323.40703726</v>
      </c>
      <c r="C109" s="257">
        <v>0</v>
      </c>
      <c r="D109" s="256">
        <v>0</v>
      </c>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row>
    <row r="110" spans="1:27" ht="14.25" customHeight="1">
      <c r="A110" s="255">
        <v>747994875.95000005</v>
      </c>
      <c r="B110" s="256">
        <v>-186456524.95703721</v>
      </c>
      <c r="C110" s="257">
        <v>8.9170416153067936E-2</v>
      </c>
      <c r="D110" s="256">
        <v>-15265201.549999952</v>
      </c>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row>
    <row r="111" spans="1:27" ht="14.25" customHeight="1">
      <c r="A111" s="255">
        <v>732729674.4000001</v>
      </c>
      <c r="B111" s="256">
        <v>-201721726.50703716</v>
      </c>
      <c r="C111" s="257">
        <v>0.17834083230613587</v>
      </c>
      <c r="D111" s="256">
        <v>-30530403.099999905</v>
      </c>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c r="AA111" s="222"/>
    </row>
    <row r="112" spans="1:27" ht="14.25" customHeight="1">
      <c r="A112" s="255">
        <v>717464472.85000014</v>
      </c>
      <c r="B112" s="256">
        <v>-216986928.05703712</v>
      </c>
      <c r="C112" s="257">
        <v>0.26751124845920382</v>
      </c>
      <c r="D112" s="256">
        <v>-45795604.649999857</v>
      </c>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c r="AA112" s="222"/>
    </row>
    <row r="113" spans="1:27" ht="14.25" customHeight="1">
      <c r="A113" s="255">
        <v>702199271.30000019</v>
      </c>
      <c r="B113" s="256">
        <v>-232252129.60703707</v>
      </c>
      <c r="C113" s="257">
        <v>0.35668166461227174</v>
      </c>
      <c r="D113" s="256">
        <v>-61060806.199999809</v>
      </c>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c r="AA113" s="222"/>
    </row>
    <row r="114" spans="1:27" ht="14.25" customHeight="1">
      <c r="A114" s="255">
        <v>686934069.75000024</v>
      </c>
      <c r="B114" s="256">
        <v>-247517331.15703702</v>
      </c>
      <c r="C114" s="257">
        <v>0.44585208076533966</v>
      </c>
      <c r="D114" s="256">
        <v>-76326007.749999762</v>
      </c>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c r="AA114" s="222"/>
    </row>
    <row r="115" spans="1:27" ht="14.25" customHeight="1">
      <c r="A115" s="255">
        <v>671668868.20000029</v>
      </c>
      <c r="B115" s="256">
        <v>-262782532.70703697</v>
      </c>
      <c r="C115" s="257">
        <v>0.53502249691840764</v>
      </c>
      <c r="D115" s="256">
        <v>-91591209.299999714</v>
      </c>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row>
    <row r="116" spans="1:27" ht="14.25" customHeight="1">
      <c r="A116" s="255">
        <v>656403666.65000033</v>
      </c>
      <c r="B116" s="256">
        <v>-278047734.25703692</v>
      </c>
      <c r="C116" s="257">
        <v>0.62419291307147551</v>
      </c>
      <c r="D116" s="256">
        <v>-106856410.84999967</v>
      </c>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row>
    <row r="117" spans="1:27" ht="14.25" customHeight="1">
      <c r="A117" s="255">
        <v>641138465.10000038</v>
      </c>
      <c r="B117" s="256">
        <v>-293312935.80703688</v>
      </c>
      <c r="C117" s="257">
        <v>0.71336332922454349</v>
      </c>
      <c r="D117" s="256">
        <v>-122121612.39999962</v>
      </c>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c r="AA117" s="222"/>
    </row>
    <row r="118" spans="1:27" ht="14.25" customHeight="1">
      <c r="A118" s="255">
        <v>625873263.55000043</v>
      </c>
      <c r="B118" s="256">
        <v>-308578137.35703683</v>
      </c>
      <c r="C118" s="257">
        <v>0.80253374537761146</v>
      </c>
      <c r="D118" s="256">
        <v>-137386813.94999957</v>
      </c>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row>
    <row r="119" spans="1:27" ht="14.25" customHeight="1">
      <c r="A119" s="255">
        <v>610608062.00000048</v>
      </c>
      <c r="B119" s="256">
        <v>-323843338.90703678</v>
      </c>
      <c r="C119" s="257">
        <v>0.89170416153067933</v>
      </c>
      <c r="D119" s="256">
        <v>-152652015.49999952</v>
      </c>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c r="AA119" s="222"/>
    </row>
    <row r="120" spans="1:27" ht="14.25" customHeight="1">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c r="AA120" s="222"/>
    </row>
    <row r="121" spans="1:27" ht="14.25" customHeight="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c r="AA121" s="222"/>
    </row>
    <row r="122" spans="1:27" ht="14.25" customHeight="1">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row>
    <row r="123" spans="1:27" ht="14.25" customHeight="1">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row>
    <row r="124" spans="1:27" ht="14.25" customHeight="1">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row>
    <row r="125" spans="1:27" ht="14.25" customHeight="1">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c r="AA125" s="222"/>
    </row>
    <row r="126" spans="1:27" ht="14.25" customHeight="1">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c r="AA126" s="222"/>
    </row>
    <row r="127" spans="1:27" ht="14.25" customHeight="1">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row>
    <row r="128" spans="1:27" ht="14.25" customHeight="1">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c r="AA128" s="222"/>
    </row>
    <row r="129" spans="1:27" ht="14.25" customHeight="1">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c r="AA129" s="222"/>
    </row>
    <row r="130" spans="1:27" ht="14.25" customHeight="1">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c r="AA130" s="222"/>
    </row>
    <row r="131" spans="1:27" ht="14.25" customHeight="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c r="AA131" s="222"/>
    </row>
    <row r="132" spans="1:27" ht="14.25" customHeight="1">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c r="AA132" s="222"/>
    </row>
    <row r="133" spans="1:27" ht="14.25" customHeight="1">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row>
    <row r="134" spans="1:27" ht="14.25" customHeight="1">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c r="AA134" s="222"/>
    </row>
    <row r="135" spans="1:27" ht="14.25" customHeight="1">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c r="AA135" s="222"/>
    </row>
    <row r="136" spans="1:27" ht="14.25" customHeight="1">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c r="AA136" s="222"/>
    </row>
    <row r="137" spans="1:27" ht="14.25" customHeight="1">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c r="AA137" s="222"/>
    </row>
    <row r="138" spans="1:27" ht="14.25" customHeight="1">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c r="AA138" s="222"/>
    </row>
    <row r="139" spans="1:27" ht="14.25" customHeight="1">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c r="AA139" s="222"/>
    </row>
    <row r="140" spans="1:27" ht="14.25" customHeight="1">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c r="AA140" s="222"/>
    </row>
    <row r="141" spans="1:27" ht="14.25" customHeight="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c r="AA141" s="222"/>
    </row>
    <row r="142" spans="1:27" ht="14.25" customHeight="1">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row>
    <row r="143" spans="1:27" ht="14.25" customHeight="1">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c r="AA143" s="222"/>
    </row>
    <row r="144" spans="1:27" ht="14.25" customHeight="1">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c r="AA144" s="222"/>
    </row>
    <row r="145" spans="1:27" ht="14.25" customHeight="1">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c r="AA145" s="222"/>
    </row>
    <row r="146" spans="1:27" ht="14.25" customHeight="1">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row>
    <row r="147" spans="1:27" ht="14.25" customHeight="1">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c r="AA147" s="222"/>
    </row>
    <row r="148" spans="1:27" ht="14.25" customHeight="1">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row>
    <row r="149" spans="1:27" ht="14.25" customHeight="1">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c r="AA149" s="222"/>
    </row>
    <row r="150" spans="1:27" ht="14.25" customHeight="1">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c r="AA150" s="222"/>
    </row>
    <row r="151" spans="1:27" ht="14.25" customHeight="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c r="AA151" s="222"/>
    </row>
    <row r="152" spans="1:27" ht="14.25" customHeight="1">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c r="AA152" s="222"/>
    </row>
    <row r="153" spans="1:27" ht="14.25" customHeight="1">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row>
    <row r="154" spans="1:27" ht="14.25" customHeight="1">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c r="AA154" s="222"/>
    </row>
    <row r="155" spans="1:27" ht="14.25" customHeight="1">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c r="AA155" s="222"/>
    </row>
    <row r="156" spans="1:27" ht="14.25" customHeight="1">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c r="AA156" s="222"/>
    </row>
    <row r="157" spans="1:27" ht="14.25" customHeight="1">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row>
    <row r="158" spans="1:27" ht="14.25" customHeight="1">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c r="AA158" s="222"/>
    </row>
    <row r="159" spans="1:27" ht="14.25" customHeight="1">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c r="AA159" s="222"/>
    </row>
    <row r="160" spans="1:27" ht="14.25" customHeight="1">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c r="AA160" s="222"/>
    </row>
    <row r="161" spans="1:27" ht="14.25" customHeight="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c r="AA161" s="222"/>
    </row>
    <row r="162" spans="1:27" ht="14.25" customHeight="1">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c r="AA162" s="222"/>
    </row>
    <row r="163" spans="1:27" ht="14.25" customHeight="1">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c r="AA163" s="222"/>
    </row>
    <row r="164" spans="1:27" ht="14.25" customHeight="1">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c r="AA164" s="222"/>
    </row>
    <row r="165" spans="1:27" ht="14.25" customHeight="1">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c r="AA165" s="222"/>
    </row>
    <row r="166" spans="1:27" ht="14.25" customHeight="1">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row>
    <row r="167" spans="1:27" ht="14.25" customHeight="1">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c r="AA167" s="222"/>
    </row>
    <row r="168" spans="1:27" ht="14.25" customHeight="1">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c r="AA168" s="222"/>
    </row>
    <row r="169" spans="1:27" ht="14.25" customHeight="1">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c r="AA169" s="222"/>
    </row>
    <row r="170" spans="1:27" ht="14.25" customHeight="1">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row>
    <row r="171" spans="1:27" ht="14.25" customHeight="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c r="AA171" s="222"/>
    </row>
    <row r="172" spans="1:27" ht="14.25" customHeight="1">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row>
    <row r="173" spans="1:27" ht="14.25" customHeight="1">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c r="AA173" s="222"/>
    </row>
    <row r="174" spans="1:27" ht="14.25" customHeight="1">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c r="AA174" s="222"/>
    </row>
    <row r="175" spans="1:27" ht="14.25" customHeight="1">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c r="AA175" s="222"/>
    </row>
    <row r="176" spans="1:27" ht="14.25" customHeight="1">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c r="AA176" s="222"/>
    </row>
    <row r="177" spans="1:27" ht="14.25" customHeight="1">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c r="AA177" s="222"/>
    </row>
    <row r="178" spans="1:27" ht="14.25" customHeight="1">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c r="AA178" s="222"/>
    </row>
    <row r="179" spans="1:27" ht="14.25" customHeight="1">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c r="AA179" s="222"/>
    </row>
    <row r="180" spans="1:27" ht="14.25" customHeight="1">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c r="AA180" s="222"/>
    </row>
    <row r="181" spans="1:27" ht="14.25" customHeight="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row>
    <row r="182" spans="1:27" ht="14.25" customHeight="1">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c r="AA182" s="222"/>
    </row>
    <row r="183" spans="1:27" ht="14.25" customHeight="1">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c r="AA183" s="222"/>
    </row>
    <row r="184" spans="1:27" ht="14.25" customHeight="1">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c r="AA184" s="222"/>
    </row>
    <row r="185" spans="1:27" ht="14.25" customHeight="1">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row>
    <row r="186" spans="1:27" ht="14.25" customHeight="1">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row>
    <row r="187" spans="1:27" ht="14.25" customHeight="1">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row>
    <row r="188" spans="1:27" ht="14.25" customHeight="1">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row>
    <row r="189" spans="1:27" ht="14.25" customHeight="1">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c r="AA189" s="222"/>
    </row>
    <row r="190" spans="1:27" ht="14.25" customHeight="1">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row>
    <row r="191" spans="1:27" ht="14.25" customHeight="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c r="AA191" s="222"/>
    </row>
    <row r="192" spans="1:27" ht="14.25" customHeight="1">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c r="AA192" s="222"/>
    </row>
    <row r="193" spans="1:27" ht="14.25" customHeight="1">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c r="AA193" s="222"/>
    </row>
    <row r="194" spans="1:27" ht="14.25" customHeight="1">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row>
    <row r="195" spans="1:27" ht="14.25" customHeight="1">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c r="AA195" s="222"/>
    </row>
    <row r="196" spans="1:27" ht="14.25" customHeight="1">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row>
    <row r="197" spans="1:27" ht="14.25" customHeight="1">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row>
    <row r="198" spans="1:27" ht="14.25" customHeight="1">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row>
    <row r="199" spans="1:27" ht="14.25" customHeight="1">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c r="AA199" s="222"/>
    </row>
    <row r="200" spans="1:27" ht="14.25" customHeight="1">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row>
    <row r="201" spans="1:27" ht="14.25" customHeight="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row>
    <row r="202" spans="1:27" ht="14.25" customHeight="1">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row>
    <row r="203" spans="1:27" ht="14.25" customHeight="1">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row>
    <row r="204" spans="1:27" ht="14.25" customHeight="1">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c r="AA204" s="222"/>
    </row>
    <row r="205" spans="1:27" ht="14.25" customHeight="1">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row>
    <row r="206" spans="1:27" ht="14.25" customHeight="1">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row>
    <row r="207" spans="1:27" ht="14.25" customHeight="1">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row>
    <row r="208" spans="1:27" ht="14.25" customHeight="1">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row>
    <row r="209" spans="1:27" ht="14.25" customHeight="1">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row>
    <row r="210" spans="1:27" ht="14.25" customHeight="1">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c r="AA210" s="222"/>
    </row>
    <row r="211" spans="1:27" ht="14.25" customHeight="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c r="AA211" s="222"/>
    </row>
    <row r="212" spans="1:27" ht="14.25" customHeight="1">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row>
    <row r="213" spans="1:27" ht="14.25" customHeight="1">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c r="AA213" s="222"/>
    </row>
    <row r="214" spans="1:27" ht="14.25" customHeight="1">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row>
    <row r="215" spans="1:27" ht="14.25" customHeight="1">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c r="AA215" s="222"/>
    </row>
    <row r="216" spans="1:27" ht="14.25" customHeight="1">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c r="AA216" s="222"/>
    </row>
    <row r="217" spans="1:27" ht="14.25" customHeight="1">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c r="AA217" s="222"/>
    </row>
    <row r="218" spans="1:27" ht="14.25" customHeight="1">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row>
    <row r="219" spans="1:27" ht="14.25" customHeight="1">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c r="AA219" s="222"/>
    </row>
    <row r="220" spans="1:27" ht="14.25" customHeight="1">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row>
    <row r="221" spans="1:27" ht="14.25" customHeight="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row>
    <row r="222" spans="1:27" ht="14.25" customHeight="1">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row>
    <row r="223" spans="1:27" ht="14.25" customHeight="1">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c r="AA223" s="222"/>
    </row>
    <row r="224" spans="1:27" ht="14.25" customHeight="1">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row>
    <row r="225" spans="1:27" ht="14.25" customHeight="1">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row>
    <row r="226" spans="1:27" ht="14.25" customHeight="1">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c r="AA226" s="222"/>
    </row>
    <row r="227" spans="1:27" ht="14.25" customHeight="1">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row>
    <row r="228" spans="1:27" ht="14.25" customHeight="1">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c r="AA228" s="222"/>
    </row>
    <row r="229" spans="1:27" ht="14.25" customHeight="1">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row>
    <row r="230" spans="1:27" ht="14.25" customHeight="1">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c r="AA230" s="222"/>
    </row>
    <row r="231" spans="1:27" ht="14.25" customHeight="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c r="AA231" s="222"/>
    </row>
    <row r="232" spans="1:27" ht="14.25" customHeight="1">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c r="AA232" s="222"/>
    </row>
    <row r="233" spans="1:27" ht="14.25" customHeight="1">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c r="AA233" s="222"/>
    </row>
    <row r="234" spans="1:27" ht="14.25" customHeight="1">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c r="AA234" s="222"/>
    </row>
    <row r="235" spans="1:27" ht="14.25" customHeight="1">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c r="AA235" s="222"/>
    </row>
    <row r="236" spans="1:27" ht="14.25" customHeight="1">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c r="AA236" s="222"/>
    </row>
    <row r="237" spans="1:27" ht="14.25" customHeight="1">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c r="AA237" s="222"/>
    </row>
    <row r="238" spans="1:27" ht="14.25" customHeight="1">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row>
    <row r="239" spans="1:27" ht="14.25" customHeight="1">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c r="AA239" s="222"/>
    </row>
    <row r="240" spans="1:27" ht="14.25" customHeight="1">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c r="AA240" s="222"/>
    </row>
    <row r="241" spans="1:27" ht="14.25" customHeight="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c r="AA241" s="222"/>
    </row>
    <row r="242" spans="1:27" ht="14.25" customHeight="1">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row>
    <row r="243" spans="1:27" ht="14.25" customHeight="1">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c r="AA243" s="222"/>
    </row>
    <row r="244" spans="1:27" ht="14.25" customHeight="1">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row>
    <row r="245" spans="1:27" ht="14.25" customHeight="1">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c r="AA245" s="222"/>
    </row>
    <row r="246" spans="1:27" ht="14.25" customHeight="1">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c r="AA246" s="222"/>
    </row>
    <row r="247" spans="1:27" ht="14.25" customHeight="1">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c r="AA247" s="222"/>
    </row>
    <row r="248" spans="1:27" ht="14.25" customHeight="1">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c r="AA248" s="222"/>
    </row>
    <row r="249" spans="1:27" ht="14.25" customHeight="1">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c r="AA249" s="222"/>
    </row>
    <row r="250" spans="1:27" ht="14.25" customHeight="1">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c r="AA250" s="222"/>
    </row>
    <row r="251" spans="1:27" ht="14.25" customHeight="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c r="AA251" s="222"/>
    </row>
    <row r="252" spans="1:27" ht="14.25" customHeight="1">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c r="AA252" s="222"/>
    </row>
    <row r="253" spans="1:27" ht="14.25" customHeight="1">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row>
    <row r="254" spans="1:27" ht="14.25" customHeight="1">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c r="AA254" s="222"/>
    </row>
    <row r="255" spans="1:27" ht="14.25" customHeight="1">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c r="AA255" s="222"/>
    </row>
    <row r="256" spans="1:27" ht="14.25" customHeight="1">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c r="AA256" s="222"/>
    </row>
    <row r="257" spans="1:27" ht="14.25" customHeight="1">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c r="AA257" s="222"/>
    </row>
    <row r="258" spans="1:27" ht="14.25" customHeight="1">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c r="AA258" s="222"/>
    </row>
    <row r="259" spans="1:27" ht="14.25" customHeight="1">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c r="AA259" s="222"/>
    </row>
    <row r="260" spans="1:27" ht="14.25" customHeight="1">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c r="AA260" s="222"/>
    </row>
    <row r="261" spans="1:27" ht="14.25" customHeight="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c r="AA261" s="222"/>
    </row>
    <row r="262" spans="1:27" ht="14.25" customHeight="1">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c r="AA262" s="222"/>
    </row>
    <row r="263" spans="1:27" ht="14.25" customHeight="1">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c r="AA263" s="222"/>
    </row>
    <row r="264" spans="1:27" ht="14.25" customHeight="1">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c r="AA264" s="222"/>
    </row>
    <row r="265" spans="1:27" ht="14.25" customHeight="1">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c r="AA265" s="222"/>
    </row>
    <row r="266" spans="1:27" ht="14.25" customHeight="1">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c r="AA266" s="222"/>
    </row>
    <row r="267" spans="1:27" ht="14.25" customHeight="1">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c r="AA267" s="222"/>
    </row>
    <row r="268" spans="1:27" ht="14.25" customHeight="1">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c r="AA268" s="222"/>
    </row>
    <row r="269" spans="1:27" ht="14.25" customHeight="1">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row>
    <row r="270" spans="1:27" ht="14.25" customHeight="1">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c r="AA270" s="222"/>
    </row>
    <row r="271" spans="1:27" ht="14.25" customHeight="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c r="AA271" s="222"/>
    </row>
    <row r="272" spans="1:27" ht="14.25" customHeight="1">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c r="AA272" s="222"/>
    </row>
    <row r="273" spans="1:27" ht="14.25" customHeight="1">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row>
    <row r="274" spans="1:27" ht="14.25" customHeight="1">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c r="AA274" s="222"/>
    </row>
    <row r="275" spans="1:27" ht="14.25" customHeight="1">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row>
    <row r="276" spans="1:27" ht="14.25" customHeight="1">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row>
    <row r="277" spans="1:27" ht="14.25" customHeight="1">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row>
    <row r="278" spans="1:27" ht="14.25" customHeight="1">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row>
    <row r="279" spans="1:27" ht="14.25" customHeight="1">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row>
    <row r="280" spans="1:27" ht="14.25" customHeight="1">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row>
    <row r="281" spans="1:27" ht="14.25" customHeight="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row>
    <row r="282" spans="1:27" ht="14.25" customHeight="1">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row>
    <row r="283" spans="1:27" ht="14.25" customHeight="1">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row>
    <row r="284" spans="1:27" ht="14.25" customHeight="1">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c r="AA284" s="222"/>
    </row>
    <row r="285" spans="1:27" ht="14.25" customHeight="1">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row>
    <row r="286" spans="1:27" ht="14.25" customHeight="1">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row>
    <row r="287" spans="1:27" ht="14.25" customHeight="1">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row>
    <row r="288" spans="1:27" ht="14.25" customHeight="1">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row>
    <row r="289" spans="1:27" ht="14.25" customHeight="1">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row>
    <row r="290" spans="1:27" ht="14.25" customHeight="1">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row>
    <row r="291" spans="1:27" ht="14.25" customHeight="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row>
    <row r="292" spans="1:27" ht="14.25" customHeight="1">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row>
    <row r="293" spans="1:27" ht="14.25" customHeight="1">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row>
    <row r="294" spans="1:27" ht="14.25" customHeight="1">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c r="AA294" s="222"/>
    </row>
    <row r="295" spans="1:27" ht="14.25" customHeight="1">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row>
    <row r="296" spans="1:27" ht="14.25" customHeight="1">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c r="AA296" s="222"/>
    </row>
    <row r="297" spans="1:27" ht="14.25" customHeight="1">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c r="AA297" s="222"/>
    </row>
    <row r="298" spans="1:27" ht="14.25" customHeight="1">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c r="AA298" s="222"/>
    </row>
    <row r="299" spans="1:27" ht="14.25" customHeight="1">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row>
    <row r="300" spans="1:27" ht="14.25" customHeight="1">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c r="AA300" s="222"/>
    </row>
    <row r="301" spans="1:27" ht="14.25" customHeight="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row>
    <row r="302" spans="1:27" ht="14.25" customHeight="1">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row>
    <row r="303" spans="1:27" ht="14.25" customHeight="1">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c r="AA303" s="222"/>
    </row>
    <row r="304" spans="1:27" ht="14.25" customHeight="1">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row>
    <row r="305" spans="1:27" ht="14.25" customHeight="1">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row>
    <row r="306" spans="1:27" ht="14.25" customHeight="1">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row>
    <row r="307" spans="1:27" ht="14.25" customHeight="1">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row>
    <row r="308" spans="1:27" ht="14.25" customHeight="1">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row>
    <row r="309" spans="1:27" ht="14.25" customHeight="1">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row>
    <row r="310" spans="1:27" ht="14.25" customHeight="1">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c r="AA310" s="222"/>
    </row>
    <row r="311" spans="1:27" ht="14.25" customHeight="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row>
    <row r="312" spans="1:27" ht="14.25" customHeight="1">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row>
    <row r="313" spans="1:27" ht="14.25" customHeight="1">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row>
    <row r="314" spans="1:27" ht="14.25" customHeight="1">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row>
    <row r="315" spans="1:27" ht="14.25" customHeight="1">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row>
    <row r="316" spans="1:27" ht="14.25" customHeight="1">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row>
    <row r="317" spans="1:27" ht="14.25" customHeight="1">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row>
    <row r="318" spans="1:27" ht="14.25" customHeight="1">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row>
    <row r="319" spans="1:27" ht="14.25" customHeight="1">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row>
    <row r="320" spans="1:27" ht="14.25" customHeight="1">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c r="AA320" s="222"/>
    </row>
    <row r="321" spans="1:27" ht="14.25" customHeight="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row>
    <row r="322" spans="1:27" ht="14.25" customHeight="1">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c r="AA322" s="222"/>
    </row>
    <row r="323" spans="1:27" ht="14.25" customHeight="1">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c r="AA323" s="222"/>
    </row>
    <row r="324" spans="1:27" ht="14.25" customHeight="1">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c r="AA324" s="222"/>
    </row>
    <row r="325" spans="1:27" ht="14.25" customHeight="1">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row>
    <row r="326" spans="1:27" ht="14.25" customHeight="1">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c r="AA326" s="222"/>
    </row>
    <row r="327" spans="1:27" ht="14.25" customHeight="1">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row>
    <row r="328" spans="1:27" ht="14.25" customHeight="1">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row>
    <row r="329" spans="1:27" ht="14.25" customHeight="1">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row>
    <row r="330" spans="1:27" ht="14.25" customHeight="1">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row>
    <row r="331" spans="1:27" ht="14.25" customHeight="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row>
    <row r="332" spans="1:27" ht="14.25" customHeight="1">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row>
    <row r="333" spans="1:27" ht="14.25" customHeight="1">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row>
    <row r="334" spans="1:27" ht="14.25" customHeight="1">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row>
    <row r="335" spans="1:27" ht="14.25" customHeight="1">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row>
    <row r="336" spans="1:27" ht="14.25" customHeight="1">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c r="AA336" s="222"/>
    </row>
    <row r="337" spans="1:27" ht="14.25" customHeight="1">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row>
    <row r="338" spans="1:27" ht="14.25" customHeight="1">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row>
    <row r="339" spans="1:27" ht="14.25" customHeight="1">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row>
    <row r="340" spans="1:27" ht="14.25" customHeight="1">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row>
    <row r="341" spans="1:27" ht="14.25" customHeight="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row>
    <row r="342" spans="1:27" ht="14.25" customHeight="1">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row>
    <row r="343" spans="1:27" ht="14.25" customHeight="1">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row>
    <row r="344" spans="1:27" ht="14.25" customHeight="1">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row>
    <row r="345" spans="1:27" ht="14.25" customHeight="1">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row>
    <row r="346" spans="1:27" ht="14.25" customHeight="1">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c r="AA346" s="222"/>
    </row>
    <row r="347" spans="1:27" ht="14.25" customHeight="1">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row>
    <row r="348" spans="1:27" ht="14.25" customHeight="1">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c r="AA348" s="222"/>
    </row>
    <row r="349" spans="1:27" ht="14.25" customHeight="1">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c r="AA349" s="222"/>
    </row>
    <row r="350" spans="1:27" ht="14.25" customHeight="1">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c r="AA350" s="222"/>
    </row>
    <row r="351" spans="1:27" ht="14.25" customHeight="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row>
    <row r="352" spans="1:27" ht="14.25" customHeight="1">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c r="AA352" s="222"/>
    </row>
    <row r="353" spans="1:27" ht="14.25" customHeight="1">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row>
    <row r="354" spans="1:27" ht="14.25" customHeight="1">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row>
    <row r="355" spans="1:27" ht="14.25" customHeight="1">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row>
    <row r="356" spans="1:27" ht="14.25" customHeight="1">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row>
    <row r="357" spans="1:27" ht="14.25" customHeight="1">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row>
    <row r="358" spans="1:27" ht="14.25" customHeight="1">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row>
    <row r="359" spans="1:27" ht="14.25" customHeight="1">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row>
    <row r="360" spans="1:27" ht="14.25" customHeight="1">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row>
    <row r="361" spans="1:27" ht="14.25" customHeight="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row>
    <row r="362" spans="1:27" ht="14.25" customHeight="1">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c r="AA362" s="222"/>
    </row>
    <row r="363" spans="1:27" ht="14.25" customHeight="1">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row>
    <row r="364" spans="1:27" ht="14.25" customHeight="1">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row>
    <row r="365" spans="1:27" ht="14.25" customHeight="1">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row>
    <row r="366" spans="1:27" ht="14.25" customHeight="1">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row>
    <row r="367" spans="1:27" ht="14.25" customHeight="1">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row>
    <row r="368" spans="1:27" ht="14.25" customHeight="1">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row>
    <row r="369" spans="1:27" ht="14.25" customHeight="1">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row>
    <row r="370" spans="1:27" ht="14.25" customHeight="1">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row>
    <row r="371" spans="1:27" ht="14.25" customHeight="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row>
    <row r="372" spans="1:27" ht="14.25" customHeight="1">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c r="AA372" s="222"/>
    </row>
    <row r="373" spans="1:27" ht="14.25" customHeight="1">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row>
    <row r="374" spans="1:27" ht="14.25" customHeight="1">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c r="AA374" s="222"/>
    </row>
    <row r="375" spans="1:27" ht="14.25" customHeight="1">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c r="AA375" s="222"/>
    </row>
    <row r="376" spans="1:27" ht="14.25" customHeight="1">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c r="AA376" s="222"/>
    </row>
    <row r="377" spans="1:27" ht="14.25" customHeight="1">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row>
    <row r="378" spans="1:27" ht="14.25" customHeight="1">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c r="AA378" s="222"/>
    </row>
    <row r="379" spans="1:27" ht="14.25" customHeight="1">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row>
    <row r="380" spans="1:27" ht="14.25" customHeight="1">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row>
    <row r="381" spans="1:27" ht="14.25" customHeight="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row>
    <row r="382" spans="1:27" ht="14.25" customHeight="1">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row>
    <row r="383" spans="1:27" ht="14.25" customHeight="1">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row>
    <row r="384" spans="1:27" ht="14.25" customHeight="1">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row>
    <row r="385" spans="1:27" ht="14.25" customHeight="1">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row>
    <row r="386" spans="1:27" ht="14.25" customHeight="1">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c r="AA386" s="222"/>
    </row>
    <row r="387" spans="1:27" ht="14.25" customHeight="1">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c r="AA387" s="222"/>
    </row>
    <row r="388" spans="1:27" ht="14.25" customHeight="1">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c r="AA388" s="222"/>
    </row>
    <row r="389" spans="1:27" ht="14.25" customHeight="1">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row>
    <row r="390" spans="1:27" ht="14.25" customHeight="1">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row>
    <row r="391" spans="1:27" ht="14.25" customHeight="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row>
    <row r="392" spans="1:27" ht="14.25" customHeight="1">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row>
    <row r="393" spans="1:27" ht="14.25" customHeight="1">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row>
    <row r="394" spans="1:27" ht="14.25" customHeight="1">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row>
    <row r="395" spans="1:27" ht="14.25" customHeight="1">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row>
    <row r="396" spans="1:27" ht="14.25" customHeight="1">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row>
    <row r="397" spans="1:27" ht="14.25" customHeight="1">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row>
    <row r="398" spans="1:27" ht="14.25" customHeight="1">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c r="AA398" s="222"/>
    </row>
    <row r="399" spans="1:27" ht="14.25" customHeight="1">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row>
    <row r="400" spans="1:27" ht="14.25" customHeight="1">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c r="AA400" s="222"/>
    </row>
    <row r="401" spans="1:27" ht="14.25" customHeight="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c r="AA401" s="222"/>
    </row>
    <row r="402" spans="1:27" ht="14.25" customHeight="1">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c r="AA402" s="222"/>
    </row>
    <row r="403" spans="1:27" ht="14.25" customHeight="1">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row>
    <row r="404" spans="1:27" ht="14.25" customHeight="1">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c r="AA404" s="222"/>
    </row>
    <row r="405" spans="1:27" ht="14.25" customHeight="1">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row>
    <row r="406" spans="1:27" ht="14.25" customHeight="1">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row>
    <row r="407" spans="1:27" ht="14.25" customHeight="1">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row>
    <row r="408" spans="1:27" ht="14.25" customHeight="1">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row>
    <row r="409" spans="1:27" ht="14.25" customHeight="1">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row>
    <row r="410" spans="1:27" ht="14.25" customHeight="1">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row>
    <row r="411" spans="1:27" ht="14.25" customHeight="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row>
    <row r="412" spans="1:27" ht="14.25" customHeight="1">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row>
    <row r="413" spans="1:27" ht="14.25" customHeight="1">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c r="AA413" s="222"/>
    </row>
    <row r="414" spans="1:27" ht="14.25" customHeight="1">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c r="AA414" s="222"/>
    </row>
    <row r="415" spans="1:27" ht="14.25" customHeight="1">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row>
    <row r="416" spans="1:27" ht="14.25" customHeight="1">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c r="AA416" s="222"/>
    </row>
    <row r="417" spans="1:27" ht="14.25" customHeight="1">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c r="AA417" s="222"/>
    </row>
    <row r="418" spans="1:27" ht="14.25" customHeight="1">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c r="AA418" s="222"/>
    </row>
    <row r="419" spans="1:27" ht="14.25" customHeight="1">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c r="AA419" s="222"/>
    </row>
    <row r="420" spans="1:27" ht="14.25" customHeight="1">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c r="AA420" s="222"/>
    </row>
    <row r="421" spans="1:27" ht="14.25" customHeight="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c r="AA421" s="222"/>
    </row>
    <row r="422" spans="1:27" ht="14.25" customHeight="1">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c r="AA422" s="222"/>
    </row>
    <row r="423" spans="1:27" ht="14.25" customHeight="1">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c r="AA423" s="222"/>
    </row>
    <row r="424" spans="1:27" ht="14.25" customHeight="1">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c r="AA424" s="222"/>
    </row>
    <row r="425" spans="1:27" ht="14.25" customHeight="1">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row>
    <row r="426" spans="1:27" ht="14.25" customHeight="1">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c r="AA426" s="222"/>
    </row>
    <row r="427" spans="1:27" ht="14.25" customHeight="1">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c r="AA427" s="222"/>
    </row>
    <row r="428" spans="1:27" ht="14.25" customHeight="1">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c r="AA428" s="222"/>
    </row>
    <row r="429" spans="1:27" ht="14.25" customHeight="1">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row>
    <row r="430" spans="1:27" ht="14.25" customHeight="1">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c r="AA430" s="222"/>
    </row>
    <row r="431" spans="1:27" ht="14.25" customHeight="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row>
    <row r="432" spans="1:27" ht="14.25" customHeight="1">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c r="AA432" s="222"/>
    </row>
    <row r="433" spans="1:27" ht="14.25" customHeight="1">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c r="AA433" s="222"/>
    </row>
    <row r="434" spans="1:27" ht="14.25" customHeight="1">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c r="AA434" s="222"/>
    </row>
    <row r="435" spans="1:27" ht="14.25" customHeight="1">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c r="AA435" s="222"/>
    </row>
    <row r="436" spans="1:27" ht="14.25" customHeight="1">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row>
    <row r="437" spans="1:27" ht="14.25" customHeight="1">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row>
    <row r="438" spans="1:27" ht="14.25" customHeight="1">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row>
    <row r="439" spans="1:27" ht="14.25" customHeight="1">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row>
    <row r="440" spans="1:27" ht="14.25" customHeight="1">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c r="AA440" s="222"/>
    </row>
    <row r="441" spans="1:27" ht="14.25" customHeight="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row>
    <row r="442" spans="1:27" ht="14.25" customHeight="1">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c r="AA442" s="222"/>
    </row>
    <row r="443" spans="1:27" ht="14.25" customHeight="1">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c r="AA443" s="222"/>
    </row>
    <row r="444" spans="1:27" ht="14.25" customHeight="1">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c r="AA444" s="222"/>
    </row>
    <row r="445" spans="1:27" ht="14.25" customHeight="1">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c r="AA445" s="222"/>
    </row>
    <row r="446" spans="1:27" ht="14.25" customHeight="1">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c r="AA446" s="222"/>
    </row>
    <row r="447" spans="1:27" ht="14.25" customHeight="1">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c r="AA447" s="222"/>
    </row>
    <row r="448" spans="1:27" ht="14.25" customHeight="1">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c r="AA448" s="222"/>
    </row>
    <row r="449" spans="1:27" ht="14.25" customHeight="1">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c r="AA449" s="222"/>
    </row>
    <row r="450" spans="1:27" ht="14.25" customHeight="1">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c r="AA450" s="222"/>
    </row>
    <row r="451" spans="1:27" ht="14.25" customHeight="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row>
    <row r="452" spans="1:27" ht="14.25" customHeight="1">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c r="AA452" s="222"/>
    </row>
    <row r="453" spans="1:27" ht="14.25" customHeight="1">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c r="AA453" s="222"/>
    </row>
    <row r="454" spans="1:27" ht="14.25" customHeight="1">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c r="AA454" s="222"/>
    </row>
    <row r="455" spans="1:27" ht="14.25" customHeight="1">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row>
    <row r="456" spans="1:27" ht="14.25" customHeight="1">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c r="AA456" s="222"/>
    </row>
    <row r="457" spans="1:27" ht="14.25" customHeight="1">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row>
    <row r="458" spans="1:27" ht="14.25" customHeight="1">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c r="AA458" s="222"/>
    </row>
    <row r="459" spans="1:27" ht="14.25" customHeight="1">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c r="AA459" s="222"/>
    </row>
    <row r="460" spans="1:27" ht="14.25" customHeight="1">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c r="AA460" s="222"/>
    </row>
    <row r="461" spans="1:27" ht="14.25" customHeight="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c r="AA461" s="222"/>
    </row>
    <row r="462" spans="1:27" ht="14.25" customHeight="1">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c r="AA462" s="222"/>
    </row>
    <row r="463" spans="1:27" ht="14.25" customHeight="1">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c r="AA463" s="222"/>
    </row>
    <row r="464" spans="1:27" ht="14.25" customHeight="1">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c r="AA464" s="222"/>
    </row>
    <row r="465" spans="1:27" ht="14.25" customHeight="1">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c r="AA465" s="222"/>
    </row>
    <row r="466" spans="1:27" ht="14.25" customHeight="1">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c r="AA466" s="222"/>
    </row>
    <row r="467" spans="1:27" ht="14.25" customHeight="1">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row>
    <row r="468" spans="1:27" ht="14.25" customHeight="1">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c r="AA468" s="222"/>
    </row>
    <row r="469" spans="1:27" ht="14.25" customHeight="1">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c r="AA469" s="222"/>
    </row>
    <row r="470" spans="1:27" ht="14.25" customHeight="1">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c r="AA470" s="222"/>
    </row>
    <row r="471" spans="1:27" ht="14.25" customHeight="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c r="AA471" s="222"/>
    </row>
    <row r="472" spans="1:27" ht="14.25" customHeight="1">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c r="AA472" s="222"/>
    </row>
    <row r="473" spans="1:27" ht="14.25" customHeight="1">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c r="AA473" s="222"/>
    </row>
    <row r="474" spans="1:27" ht="14.25" customHeight="1">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c r="AA474" s="222"/>
    </row>
    <row r="475" spans="1:27" ht="14.25" customHeight="1">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c r="AA475" s="222"/>
    </row>
    <row r="476" spans="1:27" ht="14.25" customHeight="1">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c r="AA476" s="222"/>
    </row>
    <row r="477" spans="1:27" ht="14.25" customHeight="1">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row>
    <row r="478" spans="1:27" ht="14.25" customHeight="1">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c r="AA478" s="222"/>
    </row>
    <row r="479" spans="1:27" ht="14.25" customHeight="1">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c r="AA479" s="222"/>
    </row>
    <row r="480" spans="1:27" ht="14.25" customHeight="1">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c r="AA480" s="222"/>
    </row>
    <row r="481" spans="1:27" ht="14.25" customHeight="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row>
    <row r="482" spans="1:27" ht="14.25" customHeight="1">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c r="AA482" s="222"/>
    </row>
    <row r="483" spans="1:27" ht="14.25" customHeight="1">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row>
    <row r="484" spans="1:27" ht="14.25" customHeight="1">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row>
    <row r="485" spans="1:27" ht="14.25" customHeight="1">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c r="AA485" s="222"/>
    </row>
    <row r="486" spans="1:27" ht="14.25" customHeight="1">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c r="AA486" s="222"/>
    </row>
    <row r="487" spans="1:27" ht="14.25" customHeight="1">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c r="AA487" s="222"/>
    </row>
    <row r="488" spans="1:27" ht="14.25" customHeight="1">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c r="AA488" s="222"/>
    </row>
    <row r="489" spans="1:27" ht="14.25" customHeight="1">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c r="AA489" s="222"/>
    </row>
    <row r="490" spans="1:27" ht="14.25" customHeight="1">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c r="AA490" s="222"/>
    </row>
    <row r="491" spans="1:27" ht="14.25" customHeight="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c r="AA491" s="222"/>
    </row>
    <row r="492" spans="1:27" ht="14.25" customHeight="1">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c r="AA492" s="222"/>
    </row>
    <row r="493" spans="1:27" ht="14.25" customHeight="1">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row>
    <row r="494" spans="1:27" ht="14.25" customHeight="1">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c r="AA494" s="222"/>
    </row>
    <row r="495" spans="1:27" ht="14.25" customHeight="1">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c r="AA495" s="222"/>
    </row>
    <row r="496" spans="1:27" ht="14.25" customHeight="1">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c r="AA496" s="222"/>
    </row>
    <row r="497" spans="1:27" ht="14.25" customHeight="1">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c r="AA497" s="222"/>
    </row>
    <row r="498" spans="1:27" ht="14.25" customHeight="1">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c r="AA498" s="222"/>
    </row>
    <row r="499" spans="1:27" ht="14.25" customHeight="1">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c r="AA499" s="222"/>
    </row>
    <row r="500" spans="1:27" ht="14.25" customHeight="1">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c r="AA500" s="222"/>
    </row>
    <row r="501" spans="1:27" ht="14.25" customHeight="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c r="AA501" s="222"/>
    </row>
    <row r="502" spans="1:27" ht="14.25" customHeight="1">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row>
    <row r="503" spans="1:27" ht="14.25" customHeight="1">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c r="AA503" s="222"/>
    </row>
    <row r="504" spans="1:27" ht="14.25" customHeight="1">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c r="AA504" s="222"/>
    </row>
    <row r="505" spans="1:27" ht="14.25" customHeight="1">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c r="AA505" s="222"/>
    </row>
    <row r="506" spans="1:27" ht="14.25" customHeight="1">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c r="AA506" s="222"/>
    </row>
    <row r="507" spans="1:27" ht="14.25" customHeight="1">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c r="AA507" s="222"/>
    </row>
    <row r="508" spans="1:27" ht="14.25" customHeight="1">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row>
    <row r="509" spans="1:27" ht="14.25" customHeight="1">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row>
    <row r="510" spans="1:27" ht="14.25" customHeight="1">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row>
    <row r="511" spans="1:27" ht="14.25" customHeight="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row>
    <row r="512" spans="1:27" ht="14.25" customHeight="1">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c r="AA512" s="222"/>
    </row>
    <row r="513" spans="1:27" ht="14.25" customHeight="1">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c r="AA513" s="222"/>
    </row>
    <row r="514" spans="1:27" ht="14.25" customHeight="1">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c r="AA514" s="222"/>
    </row>
    <row r="515" spans="1:27" ht="14.25" customHeight="1">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c r="AA515" s="222"/>
    </row>
    <row r="516" spans="1:27" ht="14.25" customHeight="1">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c r="AA516" s="222"/>
    </row>
    <row r="517" spans="1:27" ht="14.25" customHeight="1">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c r="AA517" s="222"/>
    </row>
    <row r="518" spans="1:27" ht="14.25" customHeight="1">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c r="AA518" s="222"/>
    </row>
    <row r="519" spans="1:27" ht="14.25" customHeight="1">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c r="AA519" s="222"/>
    </row>
    <row r="520" spans="1:27" ht="14.25" customHeight="1">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c r="AA520" s="222"/>
    </row>
    <row r="521" spans="1:27" ht="14.25" customHeight="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c r="AA521" s="222"/>
    </row>
    <row r="522" spans="1:27" ht="14.25" customHeight="1">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c r="AA522" s="222"/>
    </row>
    <row r="523" spans="1:27" ht="14.25" customHeight="1">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c r="AA523" s="222"/>
    </row>
    <row r="524" spans="1:27" ht="14.25" customHeight="1">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c r="AA524" s="222"/>
    </row>
    <row r="525" spans="1:27" ht="14.25" customHeight="1">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c r="AA525" s="222"/>
    </row>
    <row r="526" spans="1:27" ht="14.25" customHeight="1">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c r="AA526" s="222"/>
    </row>
    <row r="527" spans="1:27" ht="14.25" customHeight="1">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c r="AA527" s="222"/>
    </row>
    <row r="528" spans="1:27" ht="14.25" customHeight="1">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c r="AA528" s="222"/>
    </row>
    <row r="529" spans="1:27" ht="14.25" customHeight="1">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c r="AA529" s="222"/>
    </row>
    <row r="530" spans="1:27" ht="14.25" customHeight="1">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c r="AA530" s="222"/>
    </row>
    <row r="531" spans="1:27" ht="14.25" customHeight="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c r="AA531" s="222"/>
    </row>
    <row r="532" spans="1:27" ht="14.25" customHeight="1">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c r="AA532" s="222"/>
    </row>
    <row r="533" spans="1:27" ht="14.25" customHeight="1">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c r="AA533" s="222"/>
    </row>
    <row r="534" spans="1:27" ht="14.25" customHeight="1">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c r="AA534" s="222"/>
    </row>
    <row r="535" spans="1:27" ht="14.25" customHeight="1">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c r="AA535" s="222"/>
    </row>
    <row r="536" spans="1:27" ht="14.25" customHeight="1">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c r="AA536" s="222"/>
    </row>
    <row r="537" spans="1:27" ht="14.25" customHeight="1">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c r="AA537" s="222"/>
    </row>
    <row r="538" spans="1:27" ht="14.25" customHeight="1">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c r="AA538" s="222"/>
    </row>
    <row r="539" spans="1:27" ht="14.25" customHeight="1">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c r="AA539" s="222"/>
    </row>
    <row r="540" spans="1:27" ht="14.25" customHeight="1">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c r="AA540" s="222"/>
    </row>
    <row r="541" spans="1:27" ht="14.25" customHeight="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c r="AA541" s="222"/>
    </row>
    <row r="542" spans="1:27" ht="14.25" customHeight="1">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c r="AA542" s="222"/>
    </row>
    <row r="543" spans="1:27" ht="14.25" customHeight="1">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c r="AA543" s="222"/>
    </row>
    <row r="544" spans="1:27" ht="14.25" customHeight="1">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c r="AA544" s="222"/>
    </row>
    <row r="545" spans="1:27" ht="14.25" customHeight="1">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c r="AA545" s="222"/>
    </row>
    <row r="546" spans="1:27" ht="14.25" customHeight="1">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c r="AA546" s="222"/>
    </row>
    <row r="547" spans="1:27" ht="14.25" customHeight="1">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c r="AA547" s="222"/>
    </row>
    <row r="548" spans="1:27" ht="14.25" customHeight="1">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c r="AA548" s="222"/>
    </row>
    <row r="549" spans="1:27" ht="14.25" customHeight="1">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c r="AA549" s="222"/>
    </row>
    <row r="550" spans="1:27" ht="14.25" customHeight="1">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c r="AA550" s="222"/>
    </row>
    <row r="551" spans="1:27" ht="14.25" customHeight="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c r="AA551" s="222"/>
    </row>
    <row r="552" spans="1:27" ht="14.25" customHeight="1">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c r="AA552" s="222"/>
    </row>
    <row r="553" spans="1:27" ht="14.25" customHeight="1">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c r="AA553" s="222"/>
    </row>
    <row r="554" spans="1:27" ht="14.25" customHeight="1">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c r="AA554" s="222"/>
    </row>
    <row r="555" spans="1:27" ht="14.25" customHeight="1">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c r="AA555" s="222"/>
    </row>
    <row r="556" spans="1:27" ht="14.25" customHeight="1">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c r="AA556" s="222"/>
    </row>
    <row r="557" spans="1:27" ht="14.25" customHeight="1">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c r="AA557" s="222"/>
    </row>
    <row r="558" spans="1:27" ht="14.25" customHeight="1">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c r="AA558" s="222"/>
    </row>
    <row r="559" spans="1:27" ht="14.25" customHeight="1">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c r="AA559" s="222"/>
    </row>
    <row r="560" spans="1:27" ht="14.25" customHeight="1">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c r="AA560" s="222"/>
    </row>
    <row r="561" spans="1:27" ht="14.25" customHeight="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c r="AA561" s="222"/>
    </row>
    <row r="562" spans="1:27" ht="14.25" customHeight="1">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c r="AA562" s="222"/>
    </row>
    <row r="563" spans="1:27" ht="14.25" customHeight="1">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c r="AA563" s="222"/>
    </row>
    <row r="564" spans="1:27" ht="14.25" customHeight="1">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c r="AA564" s="222"/>
    </row>
    <row r="565" spans="1:27" ht="14.25" customHeight="1">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c r="AA565" s="222"/>
    </row>
    <row r="566" spans="1:27" ht="14.25" customHeight="1">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c r="AA566" s="222"/>
    </row>
    <row r="567" spans="1:27" ht="14.25" customHeight="1">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c r="AA567" s="222"/>
    </row>
    <row r="568" spans="1:27" ht="14.25" customHeight="1">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c r="AA568" s="222"/>
    </row>
    <row r="569" spans="1:27" ht="14.25" customHeight="1">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c r="AA569" s="222"/>
    </row>
    <row r="570" spans="1:27" ht="14.25" customHeight="1">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c r="AA570" s="222"/>
    </row>
    <row r="571" spans="1:27" ht="14.25" customHeight="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c r="AA571" s="222"/>
    </row>
    <row r="572" spans="1:27" ht="14.25" customHeight="1">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c r="AA572" s="222"/>
    </row>
    <row r="573" spans="1:27" ht="14.25" customHeight="1">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c r="AA573" s="222"/>
    </row>
    <row r="574" spans="1:27" ht="14.25" customHeight="1">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c r="AA574" s="222"/>
    </row>
    <row r="575" spans="1:27" ht="14.25" customHeight="1">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c r="AA575" s="222"/>
    </row>
    <row r="576" spans="1:27" ht="14.25" customHeight="1">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c r="AA576" s="222"/>
    </row>
    <row r="577" spans="1:27" ht="14.25" customHeight="1">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c r="AA577" s="222"/>
    </row>
    <row r="578" spans="1:27" ht="14.25" customHeight="1">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c r="AA578" s="222"/>
    </row>
    <row r="579" spans="1:27" ht="14.25" customHeight="1">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c r="AA579" s="222"/>
    </row>
    <row r="580" spans="1:27" ht="14.25" customHeight="1">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c r="AA580" s="222"/>
    </row>
    <row r="581" spans="1:27" ht="14.25" customHeight="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c r="AA581" s="222"/>
    </row>
    <row r="582" spans="1:27" ht="14.25" customHeight="1">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c r="AA582" s="222"/>
    </row>
    <row r="583" spans="1:27" ht="14.25" customHeight="1">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c r="AA583" s="222"/>
    </row>
    <row r="584" spans="1:27" ht="14.25" customHeight="1">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c r="AA584" s="222"/>
    </row>
    <row r="585" spans="1:27" ht="14.25" customHeight="1">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c r="AA585" s="222"/>
    </row>
    <row r="586" spans="1:27" ht="14.25" customHeight="1">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c r="AA586" s="222"/>
    </row>
    <row r="587" spans="1:27" ht="14.25" customHeight="1">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c r="AA587" s="222"/>
    </row>
    <row r="588" spans="1:27" ht="14.25" customHeight="1">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c r="AA588" s="222"/>
    </row>
    <row r="589" spans="1:27" ht="14.25" customHeight="1">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c r="AA589" s="222"/>
    </row>
    <row r="590" spans="1:27" ht="14.25" customHeight="1">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c r="AA590" s="222"/>
    </row>
    <row r="591" spans="1:27" ht="14.25" customHeight="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c r="AA591" s="222"/>
    </row>
    <row r="592" spans="1:27" ht="14.25" customHeight="1">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c r="AA592" s="222"/>
    </row>
    <row r="593" spans="1:27" ht="14.25" customHeight="1">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c r="AA593" s="222"/>
    </row>
    <row r="594" spans="1:27" ht="14.25" customHeight="1">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c r="AA594" s="222"/>
    </row>
    <row r="595" spans="1:27" ht="14.25" customHeight="1">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c r="AA595" s="222"/>
    </row>
    <row r="596" spans="1:27" ht="14.25" customHeight="1">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c r="AA596" s="222"/>
    </row>
    <row r="597" spans="1:27" ht="14.25" customHeight="1">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c r="AA597" s="222"/>
    </row>
    <row r="598" spans="1:27" ht="14.25" customHeight="1">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c r="AA598" s="222"/>
    </row>
    <row r="599" spans="1:27" ht="14.25" customHeight="1">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c r="AA599" s="222"/>
    </row>
    <row r="600" spans="1:27" ht="14.25" customHeight="1">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c r="AA600" s="222"/>
    </row>
    <row r="601" spans="1:27" ht="14.25" customHeight="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c r="AA601" s="222"/>
    </row>
    <row r="602" spans="1:27" ht="14.25" customHeight="1">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c r="AA602" s="222"/>
    </row>
    <row r="603" spans="1:27" ht="14.25" customHeight="1">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c r="AA603" s="222"/>
    </row>
    <row r="604" spans="1:27" ht="14.25" customHeight="1">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c r="AA604" s="222"/>
    </row>
    <row r="605" spans="1:27" ht="14.25" customHeight="1">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c r="AA605" s="222"/>
    </row>
    <row r="606" spans="1:27" ht="14.25" customHeight="1">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c r="AA606" s="222"/>
    </row>
    <row r="607" spans="1:27" ht="14.25" customHeight="1">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c r="AA607" s="222"/>
    </row>
    <row r="608" spans="1:27" ht="14.25" customHeight="1">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c r="AA608" s="222"/>
    </row>
    <row r="609" spans="1:27" ht="14.25" customHeight="1">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c r="AA609" s="222"/>
    </row>
    <row r="610" spans="1:27" ht="14.25" customHeight="1">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c r="AA610" s="222"/>
    </row>
    <row r="611" spans="1:27" ht="14.25" customHeight="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c r="AA611" s="222"/>
    </row>
    <row r="612" spans="1:27" ht="14.25" customHeight="1">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c r="AA612" s="222"/>
    </row>
    <row r="613" spans="1:27" ht="14.25" customHeight="1">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c r="AA613" s="222"/>
    </row>
    <row r="614" spans="1:27" ht="14.25" customHeight="1">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c r="AA614" s="222"/>
    </row>
    <row r="615" spans="1:27" ht="14.25" customHeight="1">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c r="AA615" s="222"/>
    </row>
    <row r="616" spans="1:27" ht="14.25" customHeight="1">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c r="AA616" s="222"/>
    </row>
    <row r="617" spans="1:27" ht="14.25" customHeight="1">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c r="AA617" s="222"/>
    </row>
    <row r="618" spans="1:27" ht="14.25" customHeight="1">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c r="AA618" s="222"/>
    </row>
    <row r="619" spans="1:27" ht="14.25" customHeight="1">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c r="AA619" s="222"/>
    </row>
    <row r="620" spans="1:27" ht="14.25" customHeight="1">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c r="AA620" s="222"/>
    </row>
    <row r="621" spans="1:27" ht="14.25" customHeight="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c r="AA621" s="222"/>
    </row>
    <row r="622" spans="1:27" ht="14.25" customHeight="1">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c r="AA622" s="222"/>
    </row>
    <row r="623" spans="1:27" ht="14.25" customHeight="1">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c r="AA623" s="222"/>
    </row>
    <row r="624" spans="1:27" ht="14.25" customHeight="1">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c r="AA624" s="222"/>
    </row>
    <row r="625" spans="1:27" ht="14.25" customHeight="1">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c r="AA625" s="222"/>
    </row>
    <row r="626" spans="1:27" ht="14.25" customHeight="1">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c r="AA626" s="222"/>
    </row>
    <row r="627" spans="1:27" ht="14.25" customHeight="1">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c r="AA627" s="222"/>
    </row>
    <row r="628" spans="1:27" ht="14.25" customHeight="1">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c r="AA628" s="222"/>
    </row>
    <row r="629" spans="1:27" ht="14.25" customHeight="1">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c r="AA629" s="222"/>
    </row>
    <row r="630" spans="1:27" ht="14.25" customHeight="1">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c r="AA630" s="222"/>
    </row>
    <row r="631" spans="1:27" ht="14.25" customHeight="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c r="AA631" s="222"/>
    </row>
    <row r="632" spans="1:27" ht="14.25" customHeight="1">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c r="AA632" s="222"/>
    </row>
    <row r="633" spans="1:27" ht="14.25" customHeight="1">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c r="AA633" s="222"/>
    </row>
    <row r="634" spans="1:27" ht="14.25" customHeight="1">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c r="AA634" s="222"/>
    </row>
    <row r="635" spans="1:27" ht="14.25" customHeight="1">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c r="AA635" s="222"/>
    </row>
    <row r="636" spans="1:27" ht="14.25" customHeight="1">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c r="AA636" s="222"/>
    </row>
    <row r="637" spans="1:27" ht="14.25" customHeight="1">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c r="AA637" s="222"/>
    </row>
    <row r="638" spans="1:27" ht="14.25" customHeight="1">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c r="AA638" s="222"/>
    </row>
    <row r="639" spans="1:27" ht="14.25" customHeight="1">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c r="AA639" s="222"/>
    </row>
    <row r="640" spans="1:27" ht="14.25" customHeight="1">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c r="AA640" s="222"/>
    </row>
    <row r="641" spans="1:27" ht="14.25" customHeight="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c r="AA641" s="222"/>
    </row>
    <row r="642" spans="1:27" ht="14.25" customHeight="1">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c r="AA642" s="222"/>
    </row>
    <row r="643" spans="1:27" ht="14.25" customHeight="1">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c r="AA643" s="222"/>
    </row>
    <row r="644" spans="1:27" ht="14.25" customHeight="1">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c r="AA644" s="222"/>
    </row>
    <row r="645" spans="1:27" ht="14.25" customHeight="1">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c r="AA645" s="222"/>
    </row>
    <row r="646" spans="1:27" ht="14.25" customHeight="1">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c r="AA646" s="222"/>
    </row>
    <row r="647" spans="1:27" ht="14.25" customHeight="1">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c r="AA647" s="222"/>
    </row>
    <row r="648" spans="1:27" ht="14.25" customHeight="1">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c r="AA648" s="222"/>
    </row>
    <row r="649" spans="1:27" ht="14.25" customHeight="1">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c r="AA649" s="222"/>
    </row>
    <row r="650" spans="1:27" ht="14.25" customHeight="1">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c r="AA650" s="222"/>
    </row>
    <row r="651" spans="1:27" ht="14.25" customHeight="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c r="AA651" s="222"/>
    </row>
    <row r="652" spans="1:27" ht="14.25" customHeight="1">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c r="AA652" s="222"/>
    </row>
    <row r="653" spans="1:27" ht="14.25" customHeight="1">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c r="AA653" s="222"/>
    </row>
    <row r="654" spans="1:27" ht="14.25" customHeight="1">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c r="AA654" s="222"/>
    </row>
    <row r="655" spans="1:27" ht="14.25" customHeight="1">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c r="AA655" s="222"/>
    </row>
    <row r="656" spans="1:27" ht="14.25" customHeight="1">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c r="AA656" s="222"/>
    </row>
    <row r="657" spans="1:27" ht="14.25" customHeight="1">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c r="AA657" s="222"/>
    </row>
    <row r="658" spans="1:27" ht="14.25" customHeight="1">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c r="AA658" s="222"/>
    </row>
    <row r="659" spans="1:27" ht="14.25" customHeight="1">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c r="AA659" s="222"/>
    </row>
    <row r="660" spans="1:27" ht="14.25" customHeight="1">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c r="AA660" s="222"/>
    </row>
    <row r="661" spans="1:27" ht="14.25" customHeight="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c r="AA661" s="222"/>
    </row>
    <row r="662" spans="1:27" ht="14.25" customHeight="1">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c r="AA662" s="222"/>
    </row>
    <row r="663" spans="1:27" ht="14.25" customHeight="1">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c r="AA663" s="222"/>
    </row>
    <row r="664" spans="1:27" ht="14.25" customHeight="1">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c r="AA664" s="222"/>
    </row>
    <row r="665" spans="1:27" ht="14.25" customHeight="1">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c r="AA665" s="222"/>
    </row>
    <row r="666" spans="1:27" ht="14.25" customHeight="1">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c r="AA666" s="222"/>
    </row>
    <row r="667" spans="1:27" ht="14.25" customHeight="1">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c r="AA667" s="222"/>
    </row>
    <row r="668" spans="1:27" ht="14.25" customHeight="1">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c r="AA668" s="222"/>
    </row>
    <row r="669" spans="1:27" ht="14.25" customHeight="1">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c r="AA669" s="222"/>
    </row>
    <row r="670" spans="1:27" ht="14.25" customHeight="1">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c r="AA670" s="222"/>
    </row>
    <row r="671" spans="1:27" ht="14.25" customHeight="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c r="AA671" s="222"/>
    </row>
    <row r="672" spans="1:27" ht="14.25" customHeight="1">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c r="AA672" s="222"/>
    </row>
    <row r="673" spans="1:27" ht="14.25" customHeight="1">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c r="AA673" s="222"/>
    </row>
    <row r="674" spans="1:27" ht="14.25" customHeight="1">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c r="AA674" s="222"/>
    </row>
    <row r="675" spans="1:27" ht="14.25" customHeight="1">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c r="AA675" s="222"/>
    </row>
    <row r="676" spans="1:27" ht="14.25" customHeight="1">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c r="AA676" s="222"/>
    </row>
    <row r="677" spans="1:27" ht="14.25" customHeight="1">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c r="AA677" s="222"/>
    </row>
    <row r="678" spans="1:27" ht="14.25" customHeight="1">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c r="AA678" s="222"/>
    </row>
    <row r="679" spans="1:27" ht="14.25" customHeight="1">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c r="AA679" s="222"/>
    </row>
    <row r="680" spans="1:27" ht="14.25" customHeight="1">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c r="AA680" s="222"/>
    </row>
    <row r="681" spans="1:27" ht="14.25" customHeight="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c r="AA681" s="222"/>
    </row>
    <row r="682" spans="1:27" ht="14.25" customHeight="1">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c r="AA682" s="222"/>
    </row>
    <row r="683" spans="1:27" ht="14.25" customHeight="1">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c r="AA683" s="222"/>
    </row>
    <row r="684" spans="1:27" ht="14.25" customHeight="1">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c r="AA684" s="222"/>
    </row>
    <row r="685" spans="1:27" ht="14.25" customHeight="1">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c r="AA685" s="222"/>
    </row>
    <row r="686" spans="1:27" ht="14.25" customHeight="1">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c r="AA686" s="222"/>
    </row>
    <row r="687" spans="1:27" ht="14.25" customHeight="1">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c r="AA687" s="222"/>
    </row>
    <row r="688" spans="1:27" ht="14.25" customHeight="1">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c r="AA688" s="222"/>
    </row>
    <row r="689" spans="1:27" ht="14.25" customHeight="1">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c r="AA689" s="222"/>
    </row>
    <row r="690" spans="1:27" ht="14.25" customHeight="1">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c r="AA690" s="222"/>
    </row>
    <row r="691" spans="1:27" ht="14.25" customHeight="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c r="AA691" s="222"/>
    </row>
    <row r="692" spans="1:27" ht="14.25" customHeight="1">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c r="AA692" s="222"/>
    </row>
    <row r="693" spans="1:27" ht="14.25" customHeight="1">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c r="AA693" s="222"/>
    </row>
    <row r="694" spans="1:27" ht="14.25" customHeight="1">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c r="AA694" s="222"/>
    </row>
    <row r="695" spans="1:27" ht="14.25" customHeight="1">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c r="AA695" s="222"/>
    </row>
    <row r="696" spans="1:27" ht="14.25" customHeight="1">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c r="AA696" s="222"/>
    </row>
    <row r="697" spans="1:27" ht="14.25" customHeight="1">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c r="AA697" s="222"/>
    </row>
    <row r="698" spans="1:27" ht="14.25" customHeight="1">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c r="AA698" s="222"/>
    </row>
    <row r="699" spans="1:27" ht="14.25" customHeight="1">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c r="AA699" s="222"/>
    </row>
    <row r="700" spans="1:27" ht="14.25" customHeight="1">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c r="AA700" s="222"/>
    </row>
    <row r="701" spans="1:27" ht="14.25" customHeight="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c r="AA701" s="222"/>
    </row>
    <row r="702" spans="1:27" ht="14.25" customHeight="1">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c r="AA702" s="222"/>
    </row>
    <row r="703" spans="1:27" ht="14.25" customHeight="1">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c r="AA703" s="222"/>
    </row>
    <row r="704" spans="1:27" ht="14.25" customHeight="1">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c r="AA704" s="222"/>
    </row>
    <row r="705" spans="1:27" ht="14.25" customHeight="1">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c r="AA705" s="222"/>
    </row>
    <row r="706" spans="1:27" ht="14.25" customHeight="1">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c r="AA706" s="222"/>
    </row>
    <row r="707" spans="1:27" ht="14.25" customHeight="1">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c r="AA707" s="222"/>
    </row>
    <row r="708" spans="1:27" ht="14.25" customHeight="1">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c r="AA708" s="222"/>
    </row>
    <row r="709" spans="1:27" ht="14.25" customHeight="1">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c r="AA709" s="222"/>
    </row>
    <row r="710" spans="1:27" ht="14.25" customHeight="1">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c r="AA710" s="222"/>
    </row>
    <row r="711" spans="1:27" ht="14.25" customHeight="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c r="AA711" s="222"/>
    </row>
    <row r="712" spans="1:27" ht="14.25" customHeight="1">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c r="AA712" s="222"/>
    </row>
    <row r="713" spans="1:27" ht="14.25" customHeight="1">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c r="AA713" s="222"/>
    </row>
    <row r="714" spans="1:27" ht="14.25" customHeight="1">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c r="AA714" s="222"/>
    </row>
    <row r="715" spans="1:27" ht="14.25" customHeight="1">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c r="AA715" s="222"/>
    </row>
    <row r="716" spans="1:27" ht="14.25" customHeight="1">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c r="AA716" s="222"/>
    </row>
    <row r="717" spans="1:27" ht="14.25" customHeight="1">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c r="AA717" s="222"/>
    </row>
    <row r="718" spans="1:27" ht="14.25" customHeight="1">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c r="AA718" s="222"/>
    </row>
    <row r="719" spans="1:27" ht="14.25" customHeight="1">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c r="AA719" s="222"/>
    </row>
    <row r="720" spans="1:27" ht="14.25" customHeight="1">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c r="AA720" s="222"/>
    </row>
    <row r="721" spans="1:27" ht="14.25" customHeight="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c r="AA721" s="222"/>
    </row>
    <row r="722" spans="1:27" ht="14.25" customHeight="1">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c r="AA722" s="222"/>
    </row>
    <row r="723" spans="1:27" ht="14.25" customHeight="1">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c r="AA723" s="222"/>
    </row>
    <row r="724" spans="1:27" ht="14.25" customHeight="1">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c r="AA724" s="222"/>
    </row>
    <row r="725" spans="1:27" ht="14.25" customHeight="1">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c r="AA725" s="222"/>
    </row>
    <row r="726" spans="1:27" ht="14.25" customHeight="1">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c r="AA726" s="222"/>
    </row>
    <row r="727" spans="1:27" ht="14.25" customHeight="1">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c r="AA727" s="222"/>
    </row>
    <row r="728" spans="1:27" ht="14.25" customHeight="1">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c r="AA728" s="222"/>
    </row>
    <row r="729" spans="1:27" ht="14.25" customHeight="1">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c r="AA729" s="222"/>
    </row>
    <row r="730" spans="1:27" ht="14.25" customHeight="1">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c r="AA730" s="222"/>
    </row>
    <row r="731" spans="1:27" ht="14.25" customHeight="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c r="AA731" s="222"/>
    </row>
    <row r="732" spans="1:27" ht="14.25" customHeight="1">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c r="AA732" s="222"/>
    </row>
    <row r="733" spans="1:27" ht="14.25" customHeight="1">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c r="AA733" s="222"/>
    </row>
    <row r="734" spans="1:27" ht="14.25" customHeight="1">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c r="AA734" s="222"/>
    </row>
    <row r="735" spans="1:27" ht="14.25" customHeight="1">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c r="AA735" s="222"/>
    </row>
    <row r="736" spans="1:27" ht="14.25" customHeight="1">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c r="AA736" s="222"/>
    </row>
    <row r="737" spans="1:27" ht="14.25" customHeight="1">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c r="AA737" s="222"/>
    </row>
    <row r="738" spans="1:27" ht="14.25" customHeight="1">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c r="AA738" s="222"/>
    </row>
    <row r="739" spans="1:27" ht="14.25" customHeight="1">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c r="AA739" s="222"/>
    </row>
    <row r="740" spans="1:27" ht="14.25" customHeight="1">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c r="AA740" s="222"/>
    </row>
    <row r="741" spans="1:27" ht="14.25" customHeight="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c r="AA741" s="222"/>
    </row>
    <row r="742" spans="1:27" ht="14.25" customHeight="1">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c r="AA742" s="222"/>
    </row>
    <row r="743" spans="1:27" ht="14.25" customHeight="1">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c r="AA743" s="222"/>
    </row>
    <row r="744" spans="1:27" ht="14.25" customHeight="1">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c r="AA744" s="222"/>
    </row>
    <row r="745" spans="1:27" ht="14.25" customHeight="1">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c r="AA745" s="222"/>
    </row>
    <row r="746" spans="1:27" ht="14.25" customHeight="1">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c r="AA746" s="222"/>
    </row>
    <row r="747" spans="1:27" ht="14.25" customHeight="1">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c r="AA747" s="222"/>
    </row>
    <row r="748" spans="1:27" ht="14.25" customHeight="1">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c r="AA748" s="222"/>
    </row>
    <row r="749" spans="1:27" ht="14.25" customHeight="1">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c r="AA749" s="222"/>
    </row>
    <row r="750" spans="1:27" ht="14.25" customHeight="1">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c r="AA750" s="222"/>
    </row>
    <row r="751" spans="1:27" ht="14.25" customHeight="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c r="AA751" s="222"/>
    </row>
    <row r="752" spans="1:27" ht="14.25" customHeight="1">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c r="AA752" s="222"/>
    </row>
    <row r="753" spans="1:27" ht="14.25" customHeight="1">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c r="AA753" s="222"/>
    </row>
    <row r="754" spans="1:27" ht="14.25" customHeight="1">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c r="AA754" s="222"/>
    </row>
    <row r="755" spans="1:27" ht="14.25" customHeight="1">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c r="AA755" s="222"/>
    </row>
    <row r="756" spans="1:27" ht="14.25" customHeight="1">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c r="AA756" s="222"/>
    </row>
    <row r="757" spans="1:27" ht="14.25" customHeight="1">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c r="AA757" s="222"/>
    </row>
    <row r="758" spans="1:27" ht="14.25" customHeight="1">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c r="AA758" s="222"/>
    </row>
    <row r="759" spans="1:27" ht="14.25" customHeight="1">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c r="AA759" s="222"/>
    </row>
    <row r="760" spans="1:27" ht="14.25" customHeight="1">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c r="AA760" s="222"/>
    </row>
    <row r="761" spans="1:27" ht="14.25" customHeight="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c r="AA761" s="222"/>
    </row>
    <row r="762" spans="1:27" ht="14.25" customHeight="1">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c r="AA762" s="222"/>
    </row>
    <row r="763" spans="1:27" ht="14.25" customHeight="1">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c r="AA763" s="222"/>
    </row>
    <row r="764" spans="1:27" ht="14.25" customHeight="1">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c r="AA764" s="222"/>
    </row>
    <row r="765" spans="1:27" ht="14.25" customHeight="1">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c r="AA765" s="222"/>
    </row>
    <row r="766" spans="1:27" ht="14.25" customHeight="1">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c r="AA766" s="222"/>
    </row>
    <row r="767" spans="1:27" ht="14.25" customHeight="1">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c r="AA767" s="222"/>
    </row>
    <row r="768" spans="1:27" ht="14.25" customHeight="1">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c r="AA768" s="222"/>
    </row>
    <row r="769" spans="1:27" ht="14.25" customHeight="1">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c r="AA769" s="222"/>
    </row>
    <row r="770" spans="1:27" ht="14.25" customHeight="1">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c r="AA770" s="222"/>
    </row>
    <row r="771" spans="1:27" ht="14.25" customHeight="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c r="AA771" s="222"/>
    </row>
    <row r="772" spans="1:27" ht="14.25" customHeight="1">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c r="AA772" s="222"/>
    </row>
    <row r="773" spans="1:27" ht="14.25" customHeight="1">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c r="AA773" s="222"/>
    </row>
    <row r="774" spans="1:27" ht="14.25" customHeight="1">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c r="AA774" s="222"/>
    </row>
    <row r="775" spans="1:27" ht="14.25" customHeight="1">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c r="AA775" s="222"/>
    </row>
    <row r="776" spans="1:27" ht="14.25" customHeight="1">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c r="AA776" s="222"/>
    </row>
    <row r="777" spans="1:27" ht="14.25" customHeight="1">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c r="AA777" s="222"/>
    </row>
    <row r="778" spans="1:27" ht="14.25" customHeight="1">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c r="AA778" s="222"/>
    </row>
    <row r="779" spans="1:27" ht="14.25" customHeight="1">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c r="AA779" s="222"/>
    </row>
    <row r="780" spans="1:27" ht="14.25" customHeight="1">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c r="AA780" s="222"/>
    </row>
    <row r="781" spans="1:27" ht="14.25" customHeight="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c r="AA781" s="222"/>
    </row>
    <row r="782" spans="1:27" ht="14.25" customHeight="1">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c r="AA782" s="222"/>
    </row>
    <row r="783" spans="1:27" ht="14.25" customHeight="1">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c r="AA783" s="222"/>
    </row>
    <row r="784" spans="1:27" ht="14.25" customHeight="1">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c r="AA784" s="222"/>
    </row>
    <row r="785" spans="1:27" ht="14.25" customHeight="1">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c r="AA785" s="222"/>
    </row>
    <row r="786" spans="1:27" ht="14.25" customHeight="1">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c r="AA786" s="222"/>
    </row>
    <row r="787" spans="1:27" ht="14.25" customHeight="1">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c r="AA787" s="222"/>
    </row>
    <row r="788" spans="1:27" ht="14.25" customHeight="1">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c r="AA788" s="222"/>
    </row>
    <row r="789" spans="1:27" ht="14.25" customHeight="1">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c r="AA789" s="222"/>
    </row>
    <row r="790" spans="1:27" ht="14.25" customHeight="1">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c r="AA790" s="222"/>
    </row>
    <row r="791" spans="1:27" ht="14.25" customHeight="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c r="AA791" s="222"/>
    </row>
    <row r="792" spans="1:27" ht="14.25" customHeight="1">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c r="AA792" s="222"/>
    </row>
    <row r="793" spans="1:27" ht="14.25" customHeight="1">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c r="AA793" s="222"/>
    </row>
    <row r="794" spans="1:27" ht="14.25" customHeight="1">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c r="AA794" s="222"/>
    </row>
    <row r="795" spans="1:27" ht="14.25" customHeight="1">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c r="AA795" s="222"/>
    </row>
    <row r="796" spans="1:27" ht="14.25" customHeight="1">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c r="AA796" s="222"/>
    </row>
    <row r="797" spans="1:27" ht="14.25" customHeight="1">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c r="AA797" s="222"/>
    </row>
    <row r="798" spans="1:27" ht="14.25" customHeight="1">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c r="AA798" s="222"/>
    </row>
    <row r="799" spans="1:27" ht="14.25" customHeight="1">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c r="AA799" s="222"/>
    </row>
    <row r="800" spans="1:27" ht="14.25" customHeight="1">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c r="AA800" s="222"/>
    </row>
    <row r="801" spans="1:27" ht="14.25" customHeight="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c r="AA801" s="222"/>
    </row>
    <row r="802" spans="1:27" ht="14.25" customHeight="1">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c r="AA802" s="222"/>
    </row>
    <row r="803" spans="1:27" ht="14.25" customHeight="1">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c r="AA803" s="222"/>
    </row>
    <row r="804" spans="1:27" ht="14.25" customHeight="1">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c r="AA804" s="222"/>
    </row>
    <row r="805" spans="1:27" ht="14.25" customHeight="1">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c r="AA805" s="222"/>
    </row>
    <row r="806" spans="1:27" ht="14.25" customHeight="1">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c r="AA806" s="222"/>
    </row>
    <row r="807" spans="1:27" ht="14.25" customHeight="1">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c r="AA807" s="222"/>
    </row>
    <row r="808" spans="1:27" ht="14.25" customHeight="1">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c r="AA808" s="222"/>
    </row>
    <row r="809" spans="1:27" ht="14.25" customHeight="1">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c r="AA809" s="222"/>
    </row>
    <row r="810" spans="1:27" ht="14.25" customHeight="1">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c r="AA810" s="222"/>
    </row>
    <row r="811" spans="1:27" ht="14.25" customHeight="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c r="AA811" s="222"/>
    </row>
    <row r="812" spans="1:27" ht="14.25" customHeight="1">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c r="AA812" s="222"/>
    </row>
    <row r="813" spans="1:27" ht="14.25" customHeight="1">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c r="AA813" s="222"/>
    </row>
    <row r="814" spans="1:27" ht="14.25" customHeight="1">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c r="AA814" s="222"/>
    </row>
    <row r="815" spans="1:27" ht="14.25" customHeight="1">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c r="AA815" s="222"/>
    </row>
    <row r="816" spans="1:27" ht="14.25" customHeight="1">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c r="AA816" s="222"/>
    </row>
    <row r="817" spans="1:27" ht="14.25" customHeight="1">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c r="AA817" s="222"/>
    </row>
    <row r="818" spans="1:27" ht="14.25" customHeight="1">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c r="AA818" s="222"/>
    </row>
    <row r="819" spans="1:27" ht="14.25" customHeight="1">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c r="AA819" s="222"/>
    </row>
    <row r="820" spans="1:27" ht="14.25" customHeight="1">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c r="AA820" s="222"/>
    </row>
    <row r="821" spans="1:27" ht="14.25" customHeight="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c r="AA821" s="222"/>
    </row>
    <row r="822" spans="1:27" ht="14.25" customHeight="1">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c r="AA822" s="222"/>
    </row>
    <row r="823" spans="1:27" ht="14.25" customHeight="1">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c r="AA823" s="222"/>
    </row>
    <row r="824" spans="1:27" ht="14.25" customHeight="1">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c r="AA824" s="222"/>
    </row>
    <row r="825" spans="1:27" ht="14.25" customHeight="1">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c r="AA825" s="222"/>
    </row>
    <row r="826" spans="1:27" ht="14.25" customHeight="1">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c r="AA826" s="222"/>
    </row>
    <row r="827" spans="1:27" ht="14.25" customHeight="1">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c r="AA827" s="222"/>
    </row>
    <row r="828" spans="1:27" ht="14.25" customHeight="1">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c r="AA828" s="222"/>
    </row>
    <row r="829" spans="1:27" ht="14.25" customHeight="1">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c r="AA829" s="222"/>
    </row>
    <row r="830" spans="1:27" ht="14.25" customHeight="1">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c r="AA830" s="222"/>
    </row>
    <row r="831" spans="1:27" ht="14.25" customHeight="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c r="AA831" s="222"/>
    </row>
    <row r="832" spans="1:27" ht="14.25" customHeight="1">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c r="AA832" s="222"/>
    </row>
    <row r="833" spans="1:27" ht="14.25" customHeight="1">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c r="AA833" s="222"/>
    </row>
    <row r="834" spans="1:27" ht="14.25" customHeight="1">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c r="AA834" s="222"/>
    </row>
    <row r="835" spans="1:27" ht="14.25" customHeight="1">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c r="AA835" s="222"/>
    </row>
    <row r="836" spans="1:27" ht="14.25" customHeight="1">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c r="AA836" s="222"/>
    </row>
    <row r="837" spans="1:27" ht="14.25" customHeight="1">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c r="AA837" s="222"/>
    </row>
    <row r="838" spans="1:27" ht="14.25" customHeight="1">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c r="AA838" s="222"/>
    </row>
    <row r="839" spans="1:27" ht="14.25" customHeight="1">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c r="AA839" s="222"/>
    </row>
    <row r="840" spans="1:27" ht="14.25" customHeight="1">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c r="AA840" s="222"/>
    </row>
    <row r="841" spans="1:27" ht="14.25" customHeight="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c r="AA841" s="222"/>
    </row>
    <row r="842" spans="1:27" ht="14.25" customHeight="1">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c r="AA842" s="222"/>
    </row>
    <row r="843" spans="1:27" ht="14.25" customHeight="1">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c r="AA843" s="222"/>
    </row>
    <row r="844" spans="1:27" ht="14.25" customHeight="1">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c r="AA844" s="222"/>
    </row>
    <row r="845" spans="1:27" ht="14.25" customHeight="1">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c r="AA845" s="222"/>
    </row>
    <row r="846" spans="1:27" ht="14.25" customHeight="1">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c r="AA846" s="222"/>
    </row>
    <row r="847" spans="1:27" ht="14.25" customHeight="1">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c r="AA847" s="222"/>
    </row>
    <row r="848" spans="1:27" ht="14.25" customHeight="1">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c r="AA848" s="222"/>
    </row>
    <row r="849" spans="1:27" ht="14.25" customHeight="1">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c r="AA849" s="222"/>
    </row>
    <row r="850" spans="1:27" ht="14.25" customHeight="1">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c r="AA850" s="222"/>
    </row>
    <row r="851" spans="1:27" ht="14.25" customHeight="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c r="AA851" s="222"/>
    </row>
    <row r="852" spans="1:27" ht="14.25" customHeight="1">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c r="AA852" s="222"/>
    </row>
    <row r="853" spans="1:27" ht="14.25" customHeight="1">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c r="AA853" s="222"/>
    </row>
    <row r="854" spans="1:27" ht="14.25" customHeight="1">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c r="AA854" s="222"/>
    </row>
    <row r="855" spans="1:27" ht="14.25" customHeight="1">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c r="AA855" s="222"/>
    </row>
    <row r="856" spans="1:27" ht="14.25" customHeight="1">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c r="AA856" s="222"/>
    </row>
    <row r="857" spans="1:27" ht="14.25" customHeight="1">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c r="AA857" s="222"/>
    </row>
    <row r="858" spans="1:27" ht="14.25" customHeight="1">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c r="AA858" s="222"/>
    </row>
    <row r="859" spans="1:27" ht="14.25" customHeight="1">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c r="AA859" s="222"/>
    </row>
    <row r="860" spans="1:27" ht="14.25" customHeight="1">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c r="AA860" s="222"/>
    </row>
    <row r="861" spans="1:27" ht="14.25" customHeight="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c r="AA861" s="222"/>
    </row>
    <row r="862" spans="1:27" ht="14.25" customHeight="1">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c r="AA862" s="222"/>
    </row>
    <row r="863" spans="1:27" ht="14.25" customHeight="1">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c r="AA863" s="222"/>
    </row>
    <row r="864" spans="1:27" ht="14.25" customHeight="1">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c r="AA864" s="222"/>
    </row>
    <row r="865" spans="1:27" ht="14.25" customHeight="1">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c r="AA865" s="222"/>
    </row>
    <row r="866" spans="1:27" ht="14.25" customHeight="1">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c r="AA866" s="222"/>
    </row>
    <row r="867" spans="1:27" ht="14.25" customHeight="1">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c r="AA867" s="222"/>
    </row>
    <row r="868" spans="1:27" ht="14.25" customHeight="1">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c r="AA868" s="222"/>
    </row>
    <row r="869" spans="1:27" ht="14.25" customHeight="1">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c r="AA869" s="222"/>
    </row>
    <row r="870" spans="1:27" ht="14.25" customHeight="1">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c r="AA870" s="222"/>
    </row>
    <row r="871" spans="1:27" ht="14.25" customHeight="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c r="AA871" s="222"/>
    </row>
    <row r="872" spans="1:27" ht="14.25" customHeight="1">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c r="AA872" s="222"/>
    </row>
    <row r="873" spans="1:27" ht="14.25" customHeight="1">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c r="AA873" s="222"/>
    </row>
    <row r="874" spans="1:27" ht="14.25" customHeight="1">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c r="AA874" s="222"/>
    </row>
    <row r="875" spans="1:27" ht="14.25" customHeight="1">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c r="AA875" s="222"/>
    </row>
    <row r="876" spans="1:27" ht="14.25" customHeight="1">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c r="AA876" s="222"/>
    </row>
    <row r="877" spans="1:27" ht="14.25" customHeight="1">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c r="AA877" s="222"/>
    </row>
    <row r="878" spans="1:27" ht="14.25" customHeight="1">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c r="AA878" s="222"/>
    </row>
    <row r="879" spans="1:27" ht="14.25" customHeight="1">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c r="AA879" s="222"/>
    </row>
    <row r="880" spans="1:27" ht="14.25" customHeight="1">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c r="AA880" s="222"/>
    </row>
    <row r="881" spans="1:27" ht="14.25" customHeight="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c r="AA881" s="222"/>
    </row>
    <row r="882" spans="1:27" ht="14.25" customHeight="1">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c r="AA882" s="222"/>
    </row>
    <row r="883" spans="1:27" ht="14.25" customHeight="1">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c r="AA883" s="222"/>
    </row>
    <row r="884" spans="1:27" ht="14.25" customHeight="1">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c r="AA884" s="222"/>
    </row>
    <row r="885" spans="1:27" ht="14.25" customHeight="1">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c r="AA885" s="222"/>
    </row>
    <row r="886" spans="1:27" ht="14.25" customHeight="1">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c r="AA886" s="222"/>
    </row>
    <row r="887" spans="1:27" ht="14.25" customHeight="1">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c r="AA887" s="222"/>
    </row>
    <row r="888" spans="1:27" ht="14.25" customHeight="1">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c r="AA888" s="222"/>
    </row>
    <row r="889" spans="1:27" ht="14.25" customHeight="1">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c r="AA889" s="222"/>
    </row>
    <row r="890" spans="1:27" ht="14.25" customHeight="1">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c r="AA890" s="222"/>
    </row>
    <row r="891" spans="1:27" ht="14.25" customHeight="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c r="AA891" s="222"/>
    </row>
    <row r="892" spans="1:27" ht="14.25" customHeight="1">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c r="AA892" s="222"/>
    </row>
    <row r="893" spans="1:27" ht="14.25" customHeight="1">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c r="AA893" s="222"/>
    </row>
    <row r="894" spans="1:27" ht="14.25" customHeight="1">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c r="AA894" s="222"/>
    </row>
    <row r="895" spans="1:27" ht="14.25" customHeight="1">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c r="AA895" s="222"/>
    </row>
    <row r="896" spans="1:27" ht="14.25" customHeight="1">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c r="AA896" s="222"/>
    </row>
    <row r="897" spans="1:27" ht="14.25" customHeight="1">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c r="AA897" s="222"/>
    </row>
    <row r="898" spans="1:27" ht="14.25" customHeight="1">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c r="AA898" s="222"/>
    </row>
    <row r="899" spans="1:27" ht="14.25" customHeight="1">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c r="AA899" s="222"/>
    </row>
    <row r="900" spans="1:27" ht="14.25" customHeight="1">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c r="AA900" s="222"/>
    </row>
    <row r="901" spans="1:27" ht="14.25" customHeight="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c r="AA901" s="222"/>
    </row>
    <row r="902" spans="1:27" ht="14.25" customHeight="1">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c r="AA902" s="222"/>
    </row>
    <row r="903" spans="1:27" ht="14.25" customHeight="1">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c r="AA903" s="222"/>
    </row>
    <row r="904" spans="1:27" ht="14.25" customHeight="1">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c r="AA904" s="222"/>
    </row>
    <row r="905" spans="1:27" ht="14.25" customHeight="1">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c r="AA905" s="222"/>
    </row>
    <row r="906" spans="1:27" ht="14.25" customHeight="1">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c r="AA906" s="222"/>
    </row>
    <row r="907" spans="1:27" ht="14.25" customHeight="1">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c r="AA907" s="222"/>
    </row>
    <row r="908" spans="1:27" ht="14.25" customHeight="1">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c r="AA908" s="222"/>
    </row>
    <row r="909" spans="1:27" ht="14.25" customHeight="1">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c r="AA909" s="222"/>
    </row>
    <row r="910" spans="1:27" ht="14.25" customHeight="1">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c r="AA910" s="222"/>
    </row>
    <row r="911" spans="1:27" ht="14.25" customHeight="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c r="AA911" s="222"/>
    </row>
    <row r="912" spans="1:27" ht="14.25" customHeight="1">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c r="AA912" s="222"/>
    </row>
    <row r="913" spans="1:27" ht="14.25" customHeight="1">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c r="AA913" s="222"/>
    </row>
    <row r="914" spans="1:27" ht="14.25" customHeight="1">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c r="AA914" s="222"/>
    </row>
    <row r="915" spans="1:27" ht="14.25" customHeight="1">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c r="AA915" s="222"/>
    </row>
    <row r="916" spans="1:27" ht="14.25" customHeight="1">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c r="AA916" s="222"/>
    </row>
    <row r="917" spans="1:27" ht="14.25" customHeight="1">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c r="AA917" s="222"/>
    </row>
    <row r="918" spans="1:27" ht="14.25" customHeight="1">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c r="AA918" s="222"/>
    </row>
    <row r="919" spans="1:27" ht="14.25" customHeight="1">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c r="AA919" s="222"/>
    </row>
    <row r="920" spans="1:27" ht="14.25" customHeight="1">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c r="AA920" s="222"/>
    </row>
    <row r="921" spans="1:27" ht="14.25" customHeight="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c r="AA921" s="222"/>
    </row>
    <row r="922" spans="1:27" ht="14.25" customHeight="1">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c r="AA922" s="222"/>
    </row>
    <row r="923" spans="1:27" ht="14.25" customHeight="1">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c r="AA923" s="222"/>
    </row>
    <row r="924" spans="1:27" ht="14.25" customHeight="1">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c r="AA924" s="222"/>
    </row>
    <row r="925" spans="1:27" ht="14.25" customHeight="1">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c r="AA925" s="222"/>
    </row>
    <row r="926" spans="1:27" ht="14.25" customHeight="1">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c r="AA926" s="222"/>
    </row>
    <row r="927" spans="1:27" ht="14.25" customHeight="1">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c r="AA927" s="222"/>
    </row>
    <row r="928" spans="1:27" ht="14.25" customHeight="1">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c r="AA928" s="222"/>
    </row>
    <row r="929" spans="1:27" ht="14.25" customHeight="1">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c r="AA929" s="222"/>
    </row>
    <row r="930" spans="1:27" ht="14.25" customHeight="1">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c r="AA930" s="222"/>
    </row>
    <row r="931" spans="1:27" ht="14.25" customHeight="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c r="AA931" s="222"/>
    </row>
    <row r="932" spans="1:27" ht="14.25" customHeight="1">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c r="AA932" s="222"/>
    </row>
    <row r="933" spans="1:27" ht="14.25" customHeight="1">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c r="AA933" s="222"/>
    </row>
    <row r="934" spans="1:27" ht="14.25" customHeight="1">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c r="AA934" s="222"/>
    </row>
    <row r="935" spans="1:27" ht="14.25" customHeight="1">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c r="AA935" s="222"/>
    </row>
    <row r="936" spans="1:27" ht="14.25" customHeight="1">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c r="AA936" s="222"/>
    </row>
    <row r="937" spans="1:27" ht="14.25" customHeight="1">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c r="AA937" s="222"/>
    </row>
    <row r="938" spans="1:27" ht="14.25" customHeight="1">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c r="AA938" s="222"/>
    </row>
    <row r="939" spans="1:27" ht="14.25" customHeight="1">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c r="AA939" s="222"/>
    </row>
    <row r="940" spans="1:27" ht="14.25" customHeight="1">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c r="AA940" s="222"/>
    </row>
    <row r="941" spans="1:27" ht="14.25" customHeight="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c r="AA941" s="222"/>
    </row>
    <row r="942" spans="1:27" ht="14.25" customHeight="1">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c r="AA942" s="222"/>
    </row>
    <row r="943" spans="1:27" ht="14.25" customHeight="1">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c r="AA943" s="222"/>
    </row>
    <row r="944" spans="1:27" ht="14.25" customHeight="1">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c r="AA944" s="222"/>
    </row>
    <row r="945" spans="1:27" ht="14.25" customHeight="1">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c r="AA945" s="222"/>
    </row>
    <row r="946" spans="1:27" ht="14.25" customHeight="1">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c r="AA946" s="222"/>
    </row>
    <row r="947" spans="1:27" ht="14.25" customHeight="1">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c r="AA947" s="222"/>
    </row>
    <row r="948" spans="1:27" ht="14.25" customHeight="1">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c r="AA948" s="222"/>
    </row>
    <row r="949" spans="1:27" ht="14.25" customHeight="1">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c r="AA949" s="222"/>
    </row>
    <row r="950" spans="1:27" ht="14.25" customHeight="1">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c r="AA950" s="222"/>
    </row>
    <row r="951" spans="1:27" ht="14.25" customHeight="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c r="AA951" s="222"/>
    </row>
    <row r="952" spans="1:27" ht="14.25" customHeight="1">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c r="AA952" s="222"/>
    </row>
    <row r="953" spans="1:27" ht="14.25" customHeight="1">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c r="AA953" s="222"/>
    </row>
    <row r="954" spans="1:27" ht="14.25" customHeight="1">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c r="AA954" s="222"/>
    </row>
    <row r="955" spans="1:27" ht="14.25" customHeight="1">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c r="AA955" s="222"/>
    </row>
    <row r="956" spans="1:27" ht="14.25" customHeight="1">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c r="AA956" s="222"/>
    </row>
    <row r="957" spans="1:27" ht="14.25" customHeight="1">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c r="AA957" s="222"/>
    </row>
    <row r="958" spans="1:27" ht="14.25" customHeight="1">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c r="AA958" s="222"/>
    </row>
    <row r="959" spans="1:27" ht="14.25" customHeight="1">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c r="AA959" s="222"/>
    </row>
    <row r="960" spans="1:27" ht="14.25" customHeight="1">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c r="AA960" s="222"/>
    </row>
    <row r="961" spans="1:27" ht="14.25" customHeight="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c r="AA961" s="222"/>
    </row>
    <row r="962" spans="1:27" ht="14.25" customHeight="1">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c r="AA962" s="222"/>
    </row>
    <row r="963" spans="1:27" ht="14.25" customHeight="1">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c r="AA963" s="222"/>
    </row>
    <row r="964" spans="1:27" ht="14.25" customHeight="1">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c r="AA964" s="222"/>
    </row>
    <row r="965" spans="1:27" ht="14.25" customHeight="1">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c r="AA965" s="222"/>
    </row>
    <row r="966" spans="1:27" ht="14.25" customHeight="1">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c r="AA966" s="222"/>
    </row>
    <row r="967" spans="1:27" ht="14.25" customHeight="1">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c r="AA967" s="222"/>
    </row>
    <row r="968" spans="1:27" ht="14.25" customHeight="1">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c r="AA968" s="222"/>
    </row>
    <row r="969" spans="1:27" ht="14.25" customHeight="1">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c r="AA969" s="222"/>
    </row>
    <row r="970" spans="1:27" ht="14.25" customHeight="1">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c r="AA970" s="222"/>
    </row>
    <row r="971" spans="1:27" ht="14.25" customHeight="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c r="AA971" s="222"/>
    </row>
    <row r="972" spans="1:27" ht="14.25" customHeight="1">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c r="AA972" s="222"/>
    </row>
    <row r="973" spans="1:27" ht="14.25" customHeight="1">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c r="AA973" s="222"/>
    </row>
    <row r="974" spans="1:27" ht="14.25" customHeight="1">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c r="AA974" s="222"/>
    </row>
    <row r="975" spans="1:27" ht="14.25" customHeight="1">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c r="AA975" s="222"/>
    </row>
    <row r="976" spans="1:27" ht="14.25" customHeight="1">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c r="AA976" s="222"/>
    </row>
    <row r="977" spans="1:27" ht="14.25" customHeight="1">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c r="AA977" s="222"/>
    </row>
    <row r="978" spans="1:27" ht="14.25" customHeight="1">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c r="AA978" s="222"/>
    </row>
    <row r="979" spans="1:27" ht="14.25" customHeight="1">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c r="AA979" s="222"/>
    </row>
    <row r="980" spans="1:27" ht="14.25" customHeight="1">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c r="AA980" s="222"/>
    </row>
    <row r="981" spans="1:27" ht="14.25" customHeight="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c r="AA981" s="222"/>
    </row>
    <row r="982" spans="1:27" ht="14.25" customHeight="1">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c r="AA982" s="222"/>
    </row>
    <row r="983" spans="1:27" ht="14.25" customHeight="1">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c r="AA983" s="222"/>
    </row>
    <row r="984" spans="1:27" ht="14.25" customHeight="1">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c r="AA984" s="222"/>
    </row>
    <row r="985" spans="1:27" ht="14.25" customHeight="1">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c r="AA985" s="222"/>
    </row>
    <row r="986" spans="1:27" ht="14.25" customHeight="1">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c r="AA986" s="222"/>
    </row>
    <row r="987" spans="1:27" ht="14.25" customHeight="1">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c r="AA987" s="222"/>
    </row>
    <row r="988" spans="1:27" ht="14.25" customHeight="1">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c r="AA988" s="222"/>
    </row>
    <row r="989" spans="1:27" ht="14.25" customHeight="1">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c r="AA989" s="222"/>
    </row>
    <row r="990" spans="1:27" ht="14.25" customHeight="1">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c r="AA990" s="222"/>
    </row>
    <row r="991" spans="1:27" ht="14.25" customHeight="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c r="AA991" s="222"/>
    </row>
    <row r="992" spans="1:27" ht="14.25" customHeight="1">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c r="AA992" s="222"/>
    </row>
    <row r="993" spans="1:27" ht="14.25" customHeight="1">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c r="AA993" s="222"/>
    </row>
    <row r="994" spans="1:27" ht="14.25" customHeight="1">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c r="AA994" s="222"/>
    </row>
    <row r="995" spans="1:27" ht="14.25" customHeight="1">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c r="AA995" s="222"/>
    </row>
    <row r="996" spans="1:27" ht="14.25" customHeight="1">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c r="AA996" s="222"/>
    </row>
    <row r="997" spans="1:27" ht="14.25" customHeight="1">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c r="AA997" s="222"/>
    </row>
    <row r="998" spans="1:27" ht="14.25" customHeight="1">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c r="AA998" s="222"/>
    </row>
    <row r="999" spans="1:27" ht="14.25" customHeight="1">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c r="AA999" s="222"/>
    </row>
    <row r="1000" spans="1:27" ht="14.25" customHeight="1">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c r="AA1000" s="222"/>
    </row>
  </sheetData>
  <mergeCells count="3">
    <mergeCell ref="B5:C5"/>
    <mergeCell ref="E5:F5"/>
    <mergeCell ref="M9:N9"/>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EC0B5-DF14-4C07-A989-792A869FC5B8}">
  <dimension ref="A1:Z1000"/>
  <sheetViews>
    <sheetView zoomScale="62" zoomScaleNormal="62" workbookViewId="0">
      <selection activeCell="K28" sqref="K28"/>
    </sheetView>
  </sheetViews>
  <sheetFormatPr defaultColWidth="14.44140625" defaultRowHeight="15" customHeight="1"/>
  <cols>
    <col min="1" max="1" width="8.6640625" customWidth="1"/>
    <col min="2" max="2" width="35.44140625" customWidth="1"/>
    <col min="3" max="3" width="11.33203125" customWidth="1"/>
    <col min="4" max="4" width="12.88671875" customWidth="1"/>
    <col min="5" max="5" width="16.44140625" customWidth="1"/>
    <col min="6" max="6" width="11.33203125" customWidth="1"/>
    <col min="7" max="8" width="8.6640625" customWidth="1"/>
    <col min="9" max="9" width="12" customWidth="1"/>
    <col min="10" max="10" width="10.44140625" customWidth="1"/>
    <col min="11" max="11" width="33.6640625" customWidth="1"/>
    <col min="12" max="12" width="20.6640625" customWidth="1"/>
    <col min="13" max="23" width="8.6640625" customWidth="1"/>
    <col min="24" max="25" width="13.21875" bestFit="1" customWidth="1"/>
    <col min="26" max="26" width="9.88671875" bestFit="1" customWidth="1"/>
  </cols>
  <sheetData>
    <row r="1" spans="1:26" ht="14.25" customHeight="1">
      <c r="A1" s="85"/>
      <c r="B1" s="85"/>
      <c r="C1" s="85"/>
      <c r="D1" s="85"/>
      <c r="E1" s="85"/>
      <c r="F1" s="85"/>
      <c r="G1" s="85"/>
      <c r="H1" s="85"/>
      <c r="I1" s="85"/>
      <c r="J1" s="85"/>
      <c r="K1" s="85"/>
      <c r="L1" s="85"/>
      <c r="M1" s="85"/>
      <c r="N1" s="85"/>
      <c r="O1" s="85"/>
      <c r="P1" s="85"/>
      <c r="Q1" s="85"/>
      <c r="R1" s="85"/>
      <c r="S1" s="85"/>
      <c r="T1" s="85"/>
      <c r="U1" s="85"/>
      <c r="V1" s="85"/>
      <c r="W1" s="85"/>
      <c r="X1" s="85"/>
      <c r="Y1" s="85"/>
    </row>
    <row r="2" spans="1:26" ht="14.25" customHeight="1">
      <c r="A2" s="85"/>
      <c r="B2" s="85"/>
      <c r="C2" s="85"/>
      <c r="D2" s="85"/>
      <c r="E2" s="85"/>
      <c r="F2" s="85"/>
      <c r="G2" s="85"/>
      <c r="H2" s="85"/>
      <c r="I2" s="85"/>
      <c r="J2" s="85"/>
      <c r="K2" s="85"/>
      <c r="L2" s="85"/>
      <c r="M2" s="85"/>
      <c r="N2" s="85"/>
      <c r="O2" s="85"/>
      <c r="P2" s="85"/>
      <c r="Q2" s="85"/>
      <c r="R2" s="85"/>
      <c r="S2" s="85"/>
      <c r="T2" s="85"/>
      <c r="U2" s="85"/>
      <c r="V2" s="85"/>
      <c r="W2" s="85"/>
      <c r="X2" s="85"/>
      <c r="Y2" s="85"/>
    </row>
    <row r="3" spans="1:26" ht="14.25" customHeight="1">
      <c r="A3" s="85"/>
      <c r="B3" s="85"/>
      <c r="C3" s="85"/>
      <c r="D3" s="85"/>
      <c r="E3" s="85"/>
      <c r="F3" s="85"/>
      <c r="G3" s="85"/>
      <c r="H3" s="85"/>
      <c r="I3" s="85"/>
      <c r="J3" s="85"/>
      <c r="K3" s="85"/>
      <c r="L3" s="85"/>
      <c r="M3" s="85"/>
      <c r="N3" s="85"/>
      <c r="O3" s="85"/>
      <c r="P3" s="85"/>
      <c r="Q3" s="85"/>
      <c r="R3" s="85"/>
      <c r="S3" s="85"/>
      <c r="T3" s="85"/>
      <c r="U3" s="85"/>
      <c r="V3" s="85"/>
      <c r="W3" s="85"/>
      <c r="X3" s="85"/>
      <c r="Y3" s="85"/>
    </row>
    <row r="4" spans="1:26" ht="14.25" customHeight="1">
      <c r="A4" s="85"/>
      <c r="B4" s="85"/>
      <c r="C4" s="85"/>
      <c r="D4" s="85"/>
      <c r="E4" s="85"/>
      <c r="F4" s="85"/>
      <c r="G4" s="85"/>
      <c r="H4" s="85"/>
      <c r="I4" s="85"/>
      <c r="J4" s="85"/>
      <c r="K4" s="85"/>
      <c r="L4" s="85"/>
      <c r="M4" s="85"/>
      <c r="N4" s="85"/>
      <c r="O4" s="85"/>
      <c r="P4" s="85"/>
      <c r="Q4" s="85"/>
      <c r="R4" s="85"/>
      <c r="S4" s="85"/>
      <c r="T4" s="85"/>
      <c r="U4" s="85"/>
      <c r="V4" s="85"/>
      <c r="W4" s="85"/>
      <c r="X4" s="85"/>
      <c r="Y4" s="85"/>
    </row>
    <row r="5" spans="1:26" ht="14.25" customHeight="1">
      <c r="A5" s="85"/>
      <c r="B5" s="85"/>
      <c r="C5" s="85"/>
      <c r="D5" s="85"/>
      <c r="E5" s="85"/>
      <c r="F5" s="85"/>
      <c r="G5" s="85"/>
      <c r="H5" s="85"/>
      <c r="I5" s="85"/>
      <c r="J5" s="85"/>
      <c r="K5" s="85"/>
      <c r="L5" s="85"/>
      <c r="M5" s="85"/>
      <c r="N5" s="85"/>
      <c r="O5" s="85"/>
      <c r="P5" s="85"/>
      <c r="Q5" s="85"/>
      <c r="R5" s="85"/>
      <c r="S5" s="85"/>
      <c r="T5" s="85"/>
      <c r="U5" s="85"/>
      <c r="V5" s="85"/>
      <c r="W5" s="85"/>
      <c r="X5" s="85"/>
      <c r="Y5" s="85"/>
    </row>
    <row r="6" spans="1:26" ht="14.4">
      <c r="Q6" s="85"/>
      <c r="R6" s="85"/>
      <c r="S6" s="85"/>
      <c r="T6" s="85"/>
      <c r="U6" s="85"/>
      <c r="V6" s="85"/>
      <c r="W6" s="85"/>
      <c r="X6" s="85"/>
      <c r="Y6" s="85"/>
    </row>
    <row r="7" spans="1:26" ht="14.4">
      <c r="A7" s="85"/>
      <c r="B7" s="339" t="s">
        <v>192</v>
      </c>
      <c r="C7" s="339"/>
      <c r="D7" s="339"/>
      <c r="E7" s="339"/>
      <c r="F7" s="339"/>
      <c r="G7" s="339"/>
      <c r="H7" s="85"/>
      <c r="I7" s="85"/>
      <c r="J7" s="85"/>
      <c r="K7" s="339" t="s">
        <v>193</v>
      </c>
      <c r="L7" s="339"/>
      <c r="M7" s="339"/>
      <c r="N7" s="339"/>
      <c r="O7" s="339"/>
      <c r="P7" s="339"/>
      <c r="Q7" s="85"/>
      <c r="R7" s="85"/>
      <c r="S7" s="85"/>
      <c r="T7" s="85"/>
      <c r="U7" s="85"/>
      <c r="V7" s="85"/>
      <c r="W7" s="85"/>
      <c r="X7" s="85"/>
      <c r="Y7" s="85"/>
    </row>
    <row r="8" spans="1:26" ht="18">
      <c r="A8" s="85"/>
      <c r="B8" s="85"/>
      <c r="C8" s="102"/>
      <c r="D8" s="85"/>
      <c r="E8" s="85"/>
      <c r="F8" s="102"/>
      <c r="G8" s="85"/>
      <c r="H8" s="85"/>
      <c r="I8" s="103" t="s">
        <v>194</v>
      </c>
      <c r="J8" s="85"/>
      <c r="K8" s="85"/>
      <c r="L8" s="85"/>
      <c r="M8" s="85"/>
      <c r="N8" s="85"/>
      <c r="O8" s="85"/>
      <c r="P8" s="85"/>
      <c r="Q8" s="85"/>
      <c r="R8" s="85"/>
      <c r="S8" s="85"/>
      <c r="T8" s="85"/>
      <c r="U8" s="85"/>
      <c r="V8" s="85"/>
      <c r="W8" s="85"/>
      <c r="X8" s="85"/>
      <c r="Y8" s="85"/>
    </row>
    <row r="9" spans="1:26" ht="14.25" customHeight="1">
      <c r="A9" s="85"/>
      <c r="B9" s="85"/>
      <c r="C9" s="104"/>
      <c r="D9" s="85"/>
      <c r="E9" s="85"/>
      <c r="F9" s="104"/>
      <c r="G9" s="85"/>
      <c r="H9" s="85"/>
      <c r="I9" s="105">
        <v>3.0148054497269115E-2</v>
      </c>
      <c r="J9" s="85"/>
      <c r="K9" s="85"/>
      <c r="L9" s="85"/>
      <c r="M9" s="85"/>
      <c r="N9" s="85"/>
      <c r="O9" s="85"/>
      <c r="P9" s="85"/>
      <c r="Q9" s="85"/>
      <c r="R9" s="85"/>
      <c r="S9" s="85"/>
      <c r="T9" s="85"/>
      <c r="U9" s="85"/>
      <c r="V9" s="85"/>
      <c r="W9" s="340" t="s">
        <v>195</v>
      </c>
      <c r="X9" s="340"/>
      <c r="Y9" s="340"/>
      <c r="Z9" s="340"/>
    </row>
    <row r="10" spans="1:26" ht="14.25" customHeight="1">
      <c r="A10" s="85"/>
      <c r="B10" s="85"/>
      <c r="C10" s="102"/>
      <c r="D10" s="85"/>
      <c r="E10" s="85"/>
      <c r="F10" s="102"/>
      <c r="G10" s="85"/>
      <c r="H10" s="85"/>
      <c r="I10" s="85"/>
      <c r="J10" s="85"/>
      <c r="K10" s="341"/>
      <c r="L10" s="259"/>
      <c r="M10" s="85"/>
      <c r="N10" s="85"/>
      <c r="O10" s="85"/>
      <c r="P10" s="85"/>
      <c r="Q10" s="85"/>
      <c r="R10" s="85"/>
      <c r="S10" s="85"/>
      <c r="T10" s="85"/>
      <c r="U10" s="85"/>
      <c r="V10" s="85"/>
      <c r="W10" s="106"/>
      <c r="X10" s="107" t="s">
        <v>196</v>
      </c>
      <c r="Y10" s="108" t="s">
        <v>197</v>
      </c>
      <c r="Z10" s="33" t="s">
        <v>220</v>
      </c>
    </row>
    <row r="11" spans="1:26" ht="14.4">
      <c r="A11" s="85"/>
      <c r="B11" s="100"/>
      <c r="C11" s="102"/>
      <c r="D11" s="85"/>
      <c r="E11" s="100"/>
      <c r="F11" s="102"/>
      <c r="G11" s="85"/>
      <c r="H11" s="85"/>
      <c r="I11" s="85"/>
      <c r="J11" s="85"/>
      <c r="K11" s="100"/>
      <c r="L11" s="100"/>
      <c r="M11" s="85"/>
      <c r="N11" s="85"/>
      <c r="O11" s="85"/>
      <c r="P11" s="85"/>
      <c r="Q11" s="85"/>
      <c r="R11" s="85"/>
      <c r="S11" s="85"/>
      <c r="T11" s="85"/>
      <c r="U11" s="85"/>
      <c r="V11" s="85"/>
      <c r="W11" s="109" t="s">
        <v>194</v>
      </c>
      <c r="X11" s="110">
        <f>C27</f>
        <v>-18.334147111453447</v>
      </c>
      <c r="Y11" s="111">
        <f>L27</f>
        <v>-18.334079337859151</v>
      </c>
      <c r="Z11" s="112">
        <f>X11-Y11</f>
        <v>-6.7773594295772455E-5</v>
      </c>
    </row>
    <row r="12" spans="1:26" ht="14.25" customHeight="1">
      <c r="A12" s="85"/>
      <c r="B12" s="85"/>
      <c r="C12" s="102"/>
      <c r="D12" s="85"/>
      <c r="E12" s="85"/>
      <c r="F12" s="102"/>
      <c r="G12" s="85"/>
      <c r="H12" s="85"/>
      <c r="I12" s="85"/>
      <c r="J12" s="85"/>
      <c r="K12" s="85"/>
      <c r="L12" s="85"/>
      <c r="M12" s="85"/>
      <c r="N12" s="85"/>
      <c r="O12" s="85"/>
      <c r="P12" s="85"/>
      <c r="Q12" s="85"/>
      <c r="R12" s="85"/>
      <c r="S12" s="85"/>
      <c r="T12" s="85"/>
      <c r="U12" s="85"/>
      <c r="V12" s="85"/>
      <c r="W12" s="113">
        <v>0.01</v>
      </c>
      <c r="X12" s="114">
        <f t="dataTable" ref="X12:Y41" dt2D="0" dtr="0" r1="I9"/>
        <v>-25.86084026033657</v>
      </c>
      <c r="Y12" s="115">
        <v>-30.390018867037199</v>
      </c>
      <c r="Z12" s="116">
        <f t="shared" ref="Z12:Z41" si="0">X12-Y12</f>
        <v>4.5291786067006292</v>
      </c>
    </row>
    <row r="13" spans="1:26" ht="14.25" customHeight="1">
      <c r="A13" s="85"/>
      <c r="B13" s="85"/>
      <c r="C13" s="85"/>
      <c r="D13" s="85"/>
      <c r="E13" s="85"/>
      <c r="F13" s="85"/>
      <c r="G13" s="85"/>
      <c r="H13" s="85"/>
      <c r="I13" s="85"/>
      <c r="J13" s="117"/>
      <c r="K13" s="118"/>
      <c r="L13" s="118"/>
      <c r="M13" s="85"/>
      <c r="N13" s="85"/>
      <c r="O13" s="85"/>
      <c r="P13" s="85"/>
      <c r="Q13" s="85"/>
      <c r="R13" s="85"/>
      <c r="S13" s="85"/>
      <c r="T13" s="85"/>
      <c r="U13" s="85"/>
      <c r="V13" s="85"/>
      <c r="W13" s="113">
        <v>0.02</v>
      </c>
      <c r="X13" s="114">
        <v>-22.225134340259871</v>
      </c>
      <c r="Y13" s="115">
        <v>-24.639637853193964</v>
      </c>
      <c r="Z13" s="116">
        <f t="shared" si="0"/>
        <v>2.4145035129340933</v>
      </c>
    </row>
    <row r="14" spans="1:26" ht="14.25" customHeight="1">
      <c r="A14" s="85"/>
      <c r="B14" s="100"/>
      <c r="C14" s="119"/>
      <c r="D14" s="85"/>
      <c r="E14" s="85"/>
      <c r="F14" s="85"/>
      <c r="G14" s="85"/>
      <c r="H14" s="85"/>
      <c r="I14" s="85"/>
      <c r="J14" s="117"/>
      <c r="K14" s="118"/>
      <c r="L14" s="118"/>
      <c r="M14" s="85"/>
      <c r="N14" s="85"/>
      <c r="O14" s="85"/>
      <c r="P14" s="85"/>
      <c r="Q14" s="85"/>
      <c r="R14" s="85"/>
      <c r="S14" s="85"/>
      <c r="T14" s="85"/>
      <c r="U14" s="85"/>
      <c r="V14" s="85"/>
      <c r="W14" s="113">
        <v>0.03</v>
      </c>
      <c r="X14" s="114">
        <v>-18.392342703462347</v>
      </c>
      <c r="Y14" s="115">
        <v>-18.429358109693503</v>
      </c>
      <c r="Z14" s="116">
        <f t="shared" si="0"/>
        <v>3.7015406231155623E-2</v>
      </c>
    </row>
    <row r="15" spans="1:26" ht="14.25" customHeight="1">
      <c r="A15" s="85"/>
      <c r="B15" s="85"/>
      <c r="C15" s="85"/>
      <c r="D15" s="85"/>
      <c r="E15" s="85"/>
      <c r="F15" s="85"/>
      <c r="G15" s="85"/>
      <c r="H15" s="85"/>
      <c r="I15" s="85"/>
      <c r="J15" s="117"/>
      <c r="K15" s="118"/>
      <c r="L15" s="118"/>
      <c r="M15" s="85"/>
      <c r="N15" s="85"/>
      <c r="O15" s="85"/>
      <c r="P15" s="85"/>
      <c r="Q15" s="85"/>
      <c r="R15" s="85"/>
      <c r="S15" s="85"/>
      <c r="T15" s="85"/>
      <c r="U15" s="85"/>
      <c r="V15" s="85"/>
      <c r="W15" s="113">
        <v>0.04</v>
      </c>
      <c r="X15" s="114">
        <v>-14.368929751837634</v>
      </c>
      <c r="Y15" s="115">
        <v>-11.784744953560301</v>
      </c>
      <c r="Z15" s="116">
        <f t="shared" si="0"/>
        <v>-2.5841847982773327</v>
      </c>
    </row>
    <row r="16" spans="1:26" ht="14.25" customHeight="1">
      <c r="A16" s="85"/>
      <c r="B16" s="85"/>
      <c r="C16" s="85"/>
      <c r="D16" s="85"/>
      <c r="E16" s="85"/>
      <c r="F16" s="102"/>
      <c r="G16" s="85"/>
      <c r="H16" s="85"/>
      <c r="I16" s="85"/>
      <c r="J16" s="117"/>
      <c r="K16" s="118"/>
      <c r="L16" s="118"/>
      <c r="M16" s="85"/>
      <c r="N16" s="85"/>
      <c r="O16" s="85"/>
      <c r="P16" s="85"/>
      <c r="Q16" s="85"/>
      <c r="R16" s="85"/>
      <c r="S16" s="85"/>
      <c r="T16" s="85"/>
      <c r="U16" s="85"/>
      <c r="V16" s="85"/>
      <c r="W16" s="113">
        <v>0.05</v>
      </c>
      <c r="X16" s="114">
        <v>-10.162433445664746</v>
      </c>
      <c r="Y16" s="115">
        <v>-4.7362545774098983</v>
      </c>
      <c r="Z16" s="116">
        <f t="shared" si="0"/>
        <v>-5.4261788682548477</v>
      </c>
    </row>
    <row r="17" spans="1:26" ht="14.25" customHeight="1">
      <c r="A17" s="85"/>
      <c r="B17" s="85"/>
      <c r="C17" s="85"/>
      <c r="D17" s="85"/>
      <c r="E17" s="85"/>
      <c r="F17" s="85"/>
      <c r="G17" s="85"/>
      <c r="H17" s="85"/>
      <c r="I17" s="85"/>
      <c r="J17" s="117"/>
      <c r="K17" s="118"/>
      <c r="L17" s="118"/>
      <c r="M17" s="85"/>
      <c r="N17" s="85"/>
      <c r="O17" s="85"/>
      <c r="P17" s="85"/>
      <c r="Q17" s="85"/>
      <c r="R17" s="85"/>
      <c r="S17" s="85"/>
      <c r="T17" s="85"/>
      <c r="U17" s="85"/>
      <c r="V17" s="85"/>
      <c r="W17" s="113">
        <v>0.06</v>
      </c>
      <c r="X17" s="114">
        <v>-5.7812650250333624</v>
      </c>
      <c r="Y17" s="115">
        <v>2.6823687318180527</v>
      </c>
      <c r="Z17" s="116">
        <f t="shared" si="0"/>
        <v>-8.4636337568514151</v>
      </c>
    </row>
    <row r="18" spans="1:26" ht="14.25" customHeight="1">
      <c r="A18" s="85"/>
      <c r="B18" s="100"/>
      <c r="C18" s="118"/>
      <c r="D18" s="85"/>
      <c r="E18" s="100"/>
      <c r="F18" s="118"/>
      <c r="G18" s="85"/>
      <c r="H18" s="85"/>
      <c r="I18" s="85"/>
      <c r="J18" s="117"/>
      <c r="K18" s="118"/>
      <c r="L18" s="118"/>
      <c r="M18" s="85"/>
      <c r="N18" s="85"/>
      <c r="O18" s="85"/>
      <c r="P18" s="85"/>
      <c r="Q18" s="85"/>
      <c r="R18" s="85"/>
      <c r="S18" s="85"/>
      <c r="T18" s="85"/>
      <c r="U18" s="85"/>
      <c r="V18" s="85"/>
      <c r="W18" s="113">
        <v>7.0000000000000007E-2</v>
      </c>
      <c r="X18" s="114">
        <v>-1.2345053156034069</v>
      </c>
      <c r="Y18" s="115">
        <v>10.435643692174162</v>
      </c>
      <c r="Z18" s="116">
        <f t="shared" si="0"/>
        <v>-11.670149007777569</v>
      </c>
    </row>
    <row r="19" spans="1:26" ht="14.25" customHeight="1">
      <c r="A19" s="85"/>
      <c r="B19" s="85"/>
      <c r="C19" s="85"/>
      <c r="D19" s="85"/>
      <c r="E19" s="85"/>
      <c r="F19" s="85"/>
      <c r="G19" s="85"/>
      <c r="H19" s="85"/>
      <c r="I19" s="85"/>
      <c r="J19" s="117"/>
      <c r="K19" s="118"/>
      <c r="L19" s="118"/>
      <c r="M19" s="85"/>
      <c r="N19" s="85"/>
      <c r="O19" s="85"/>
      <c r="P19" s="85"/>
      <c r="Q19" s="85"/>
      <c r="R19" s="85"/>
      <c r="S19" s="85"/>
      <c r="T19" s="85"/>
      <c r="U19" s="85"/>
      <c r="V19" s="85"/>
      <c r="W19" s="113">
        <v>0.08</v>
      </c>
      <c r="X19" s="114">
        <v>3.4682945783194414</v>
      </c>
      <c r="Y19" s="115">
        <v>18.487742544411844</v>
      </c>
      <c r="Z19" s="116">
        <f t="shared" si="0"/>
        <v>-15.019447966092404</v>
      </c>
    </row>
    <row r="20" spans="1:26" ht="14.25" customHeight="1">
      <c r="A20" s="85"/>
      <c r="B20" s="100"/>
      <c r="C20" s="119"/>
      <c r="D20" s="85"/>
      <c r="E20" s="85"/>
      <c r="F20" s="85"/>
      <c r="G20" s="85"/>
      <c r="H20" s="85"/>
      <c r="I20" s="85"/>
      <c r="J20" s="117"/>
      <c r="K20" s="118"/>
      <c r="L20" s="118"/>
      <c r="M20" s="85"/>
      <c r="N20" s="85"/>
      <c r="O20" s="85"/>
      <c r="P20" s="85"/>
      <c r="Q20" s="85"/>
      <c r="R20" s="85"/>
      <c r="S20" s="85"/>
      <c r="T20" s="85"/>
      <c r="U20" s="85"/>
      <c r="V20" s="85"/>
      <c r="W20" s="113">
        <v>0.09</v>
      </c>
      <c r="X20" s="114">
        <v>8.3173016702533538</v>
      </c>
      <c r="Y20" s="115">
        <v>26.803650507465079</v>
      </c>
      <c r="Z20" s="116">
        <f t="shared" si="0"/>
        <v>-18.486348837211725</v>
      </c>
    </row>
    <row r="21" spans="1:26" ht="14.25" customHeight="1">
      <c r="A21" s="85"/>
      <c r="D21" s="85"/>
      <c r="E21" s="85"/>
      <c r="F21" s="85"/>
      <c r="H21" s="85"/>
      <c r="J21" s="117"/>
      <c r="K21" s="118"/>
      <c r="L21" s="118"/>
      <c r="M21" s="85"/>
      <c r="N21" s="85"/>
      <c r="O21" s="85"/>
      <c r="P21" s="85"/>
      <c r="Q21" s="85"/>
      <c r="R21" s="85"/>
      <c r="S21" s="85"/>
      <c r="T21" s="85"/>
      <c r="U21" s="85"/>
      <c r="V21" s="85"/>
      <c r="W21" s="113">
        <v>0.1</v>
      </c>
      <c r="X21" s="114">
        <v>13.302573527764388</v>
      </c>
      <c r="Y21" s="115">
        <v>35.350061616648389</v>
      </c>
      <c r="Z21" s="116">
        <f t="shared" si="0"/>
        <v>-22.047488088884002</v>
      </c>
    </row>
    <row r="22" spans="1:26" ht="14.25" customHeight="1">
      <c r="A22" s="85"/>
      <c r="D22" s="85"/>
      <c r="E22" s="85"/>
      <c r="F22" s="85"/>
      <c r="G22" s="85"/>
      <c r="H22" s="85"/>
      <c r="I22" s="85"/>
      <c r="J22" s="117"/>
      <c r="K22" s="118"/>
      <c r="L22" s="118"/>
      <c r="M22" s="85"/>
      <c r="N22" s="85"/>
      <c r="O22" s="85"/>
      <c r="P22" s="85"/>
      <c r="Q22" s="85"/>
      <c r="R22" s="85"/>
      <c r="S22" s="85"/>
      <c r="T22" s="85"/>
      <c r="U22" s="85"/>
      <c r="V22" s="85"/>
      <c r="W22" s="113">
        <v>0.11</v>
      </c>
      <c r="X22" s="114">
        <v>18.414211221232001</v>
      </c>
      <c r="Y22" s="115">
        <v>44.096010344021089</v>
      </c>
      <c r="Z22" s="116">
        <f t="shared" si="0"/>
        <v>-25.681799122789087</v>
      </c>
    </row>
    <row r="23" spans="1:26" ht="14.25" customHeight="1">
      <c r="A23" s="85"/>
      <c r="B23" s="98" t="s">
        <v>198</v>
      </c>
      <c r="C23" s="98">
        <v>634.45500000000004</v>
      </c>
      <c r="I23" s="85"/>
      <c r="J23" s="117"/>
      <c r="K23" s="98" t="s">
        <v>198</v>
      </c>
      <c r="L23" s="120">
        <f>981.8</f>
        <v>981.8</v>
      </c>
      <c r="M23" s="85"/>
      <c r="N23" s="85"/>
      <c r="O23" s="85"/>
      <c r="P23" s="85"/>
      <c r="Q23" s="85"/>
      <c r="R23" s="85"/>
      <c r="S23" s="85"/>
      <c r="T23" s="85"/>
      <c r="U23" s="85"/>
      <c r="V23" s="85"/>
      <c r="W23" s="113">
        <v>0.12</v>
      </c>
      <c r="X23" s="114">
        <v>23.642490710251693</v>
      </c>
      <c r="Y23" s="115">
        <v>53.013261594709327</v>
      </c>
      <c r="Z23" s="116">
        <f t="shared" si="0"/>
        <v>-29.370770884457635</v>
      </c>
    </row>
    <row r="24" spans="1:26" ht="14.25" customHeight="1">
      <c r="A24" s="85"/>
      <c r="B24" s="98" t="s">
        <v>199</v>
      </c>
      <c r="C24" s="98">
        <v>8.5050000000000008</v>
      </c>
      <c r="I24" s="85"/>
      <c r="J24" s="117"/>
      <c r="K24" s="98" t="s">
        <v>199</v>
      </c>
      <c r="L24" s="120">
        <v>5.67</v>
      </c>
      <c r="M24" s="85"/>
      <c r="N24" s="85"/>
      <c r="O24" s="85"/>
      <c r="P24" s="85"/>
      <c r="Q24" s="85"/>
      <c r="R24" s="85"/>
      <c r="S24" s="85"/>
      <c r="T24" s="85"/>
      <c r="U24" s="85"/>
      <c r="V24" s="85"/>
      <c r="W24" s="113">
        <v>0.13</v>
      </c>
      <c r="X24" s="114">
        <v>28.977971886901816</v>
      </c>
      <c r="Y24" s="115">
        <v>62.076495667020723</v>
      </c>
      <c r="Z24" s="116">
        <f t="shared" si="0"/>
        <v>-33.09852378011891</v>
      </c>
    </row>
    <row r="25" spans="1:26" ht="14.25" customHeight="1">
      <c r="A25" s="85"/>
      <c r="B25" s="98" t="s">
        <v>200</v>
      </c>
      <c r="C25" s="121">
        <v>22.68</v>
      </c>
      <c r="I25" s="85"/>
      <c r="J25" s="117"/>
      <c r="K25" s="121" t="s">
        <v>200</v>
      </c>
      <c r="L25" s="120">
        <v>11.34</v>
      </c>
      <c r="M25" s="85"/>
      <c r="N25" s="85"/>
      <c r="O25" s="85"/>
      <c r="P25" s="85"/>
      <c r="Q25" s="85"/>
      <c r="R25" s="85"/>
      <c r="S25" s="85"/>
      <c r="T25" s="85"/>
      <c r="U25" s="85"/>
      <c r="V25" s="85"/>
      <c r="W25" s="113">
        <v>0.14000000000000001</v>
      </c>
      <c r="X25" s="114">
        <v>34.411585576123677</v>
      </c>
      <c r="Y25" s="115">
        <v>71.263330722526234</v>
      </c>
      <c r="Z25" s="116">
        <f t="shared" si="0"/>
        <v>-36.851745146402557</v>
      </c>
    </row>
    <row r="26" spans="1:26" ht="14.25" customHeight="1">
      <c r="A26" s="85"/>
      <c r="B26" s="98" t="s">
        <v>201</v>
      </c>
      <c r="C26" s="122">
        <v>76.326007750000002</v>
      </c>
      <c r="I26" s="85"/>
      <c r="J26" s="117"/>
      <c r="K26" s="98" t="s">
        <v>201</v>
      </c>
      <c r="L26" s="122">
        <v>76.326007750000002</v>
      </c>
      <c r="M26" s="85"/>
      <c r="N26" s="85"/>
      <c r="O26" s="85"/>
      <c r="P26" s="85"/>
      <c r="Q26" s="85"/>
      <c r="R26" s="85"/>
      <c r="S26" s="85"/>
      <c r="T26" s="85"/>
      <c r="U26" s="85"/>
      <c r="V26" s="85"/>
      <c r="W26" s="113">
        <v>0.15</v>
      </c>
      <c r="X26" s="114">
        <v>39.934699636643437</v>
      </c>
      <c r="Y26" s="115">
        <v>80.55422520054023</v>
      </c>
      <c r="Z26" s="116">
        <f t="shared" si="0"/>
        <v>-40.619525563896794</v>
      </c>
    </row>
    <row r="27" spans="1:26" ht="14.25" customHeight="1">
      <c r="A27" s="85"/>
      <c r="B27" s="98" t="s">
        <v>202</v>
      </c>
      <c r="C27" s="123">
        <f>-PMT(I9,20,C23,,)+C24-C26-PMT(I9,20,PV(I9,18,PMT(I9,3,,C25,),,),,)</f>
        <v>-18.334147111453447</v>
      </c>
      <c r="I27" s="85"/>
      <c r="J27" s="117"/>
      <c r="K27" s="121" t="s">
        <v>203</v>
      </c>
      <c r="L27" s="124">
        <f>-PMT(I9,30,L23,,)+L24-L26-PMT(I9,5,,L25,)</f>
        <v>-18.334079337859151</v>
      </c>
      <c r="M27" s="85"/>
      <c r="N27" s="85"/>
      <c r="O27" s="85"/>
      <c r="P27" s="85"/>
      <c r="Q27" s="85"/>
      <c r="R27" s="85"/>
      <c r="S27" s="85"/>
      <c r="T27" s="85"/>
      <c r="U27" s="85"/>
      <c r="V27" s="85"/>
      <c r="W27" s="113">
        <v>0.16</v>
      </c>
      <c r="X27" s="114">
        <v>45.539165911251594</v>
      </c>
      <c r="Y27" s="115">
        <v>89.932298548998318</v>
      </c>
      <c r="Z27" s="116">
        <f t="shared" si="0"/>
        <v>-44.393132637746724</v>
      </c>
    </row>
    <row r="28" spans="1:26" ht="14.25" customHeight="1">
      <c r="A28" s="85"/>
      <c r="B28" s="85"/>
      <c r="C28" s="85"/>
      <c r="I28" s="85"/>
      <c r="J28" s="117"/>
      <c r="K28" s="85"/>
      <c r="L28" s="102"/>
      <c r="M28" s="85"/>
      <c r="N28" s="85"/>
      <c r="O28" s="85"/>
      <c r="P28" s="85"/>
      <c r="Q28" s="85"/>
      <c r="R28" s="85"/>
      <c r="S28" s="85"/>
      <c r="T28" s="85"/>
      <c r="U28" s="85"/>
      <c r="V28" s="85"/>
      <c r="W28" s="113">
        <v>0.17</v>
      </c>
      <c r="X28" s="114">
        <v>51.217350161089499</v>
      </c>
      <c r="Y28" s="115">
        <v>99.383102493449684</v>
      </c>
      <c r="Z28" s="116">
        <f t="shared" si="0"/>
        <v>-48.165752332360185</v>
      </c>
    </row>
    <row r="29" spans="1:26" ht="14.25" customHeight="1">
      <c r="A29" s="85"/>
      <c r="B29" s="85"/>
      <c r="C29" s="85"/>
      <c r="I29" s="85"/>
      <c r="J29" s="117"/>
      <c r="K29" s="85" t="s">
        <v>204</v>
      </c>
      <c r="L29" s="125">
        <f>L27-C27</f>
        <v>6.7773594295772455E-5</v>
      </c>
      <c r="M29" s="85"/>
      <c r="N29" s="85"/>
      <c r="O29" s="85"/>
      <c r="P29" s="85"/>
      <c r="Q29" s="85"/>
      <c r="R29" s="85"/>
      <c r="S29" s="85"/>
      <c r="T29" s="85"/>
      <c r="U29" s="85"/>
      <c r="V29" s="85"/>
      <c r="W29" s="113">
        <v>0.18</v>
      </c>
      <c r="X29" s="114">
        <v>56.962147314682547</v>
      </c>
      <c r="Y29" s="115">
        <v>108.89436824539177</v>
      </c>
      <c r="Z29" s="116">
        <f t="shared" si="0"/>
        <v>-51.932220930709228</v>
      </c>
    </row>
    <row r="30" spans="1:26" ht="14.25" customHeight="1">
      <c r="A30" s="85"/>
      <c r="B30" s="85"/>
      <c r="C30" s="85"/>
      <c r="I30" s="85"/>
      <c r="J30" s="117"/>
      <c r="K30" s="126" t="s">
        <v>205</v>
      </c>
      <c r="L30" s="102"/>
      <c r="M30" s="85"/>
      <c r="N30" s="85"/>
      <c r="O30" s="85"/>
      <c r="P30" s="85"/>
      <c r="Q30" s="85"/>
      <c r="R30" s="85"/>
      <c r="S30" s="85"/>
      <c r="T30" s="85"/>
      <c r="U30" s="85"/>
      <c r="V30" s="85"/>
      <c r="W30" s="113">
        <v>0.19</v>
      </c>
      <c r="X30" s="114">
        <v>62.766984404357999</v>
      </c>
      <c r="Y30" s="115">
        <v>118.45574850491691</v>
      </c>
      <c r="Z30" s="116">
        <f t="shared" si="0"/>
        <v>-55.688764100558913</v>
      </c>
    </row>
    <row r="31" spans="1:26" ht="14.25" customHeight="1">
      <c r="A31" s="85"/>
      <c r="B31" s="85"/>
      <c r="C31" s="85"/>
      <c r="I31" s="85"/>
      <c r="J31" s="117"/>
      <c r="K31" s="85"/>
      <c r="L31" s="119"/>
      <c r="M31" s="85"/>
      <c r="N31" s="85"/>
      <c r="O31" s="85"/>
      <c r="P31" s="85"/>
      <c r="Q31" s="85"/>
      <c r="R31" s="85"/>
      <c r="S31" s="85"/>
      <c r="T31" s="85"/>
      <c r="U31" s="85"/>
      <c r="V31" s="85"/>
      <c r="W31" s="113">
        <v>0.2</v>
      </c>
      <c r="X31" s="114">
        <v>68.625813487046727</v>
      </c>
      <c r="Y31" s="115">
        <v>128.05856737611046</v>
      </c>
      <c r="Z31" s="116">
        <f t="shared" si="0"/>
        <v>-59.432753889063733</v>
      </c>
    </row>
    <row r="32" spans="1:26" ht="14.25" customHeight="1">
      <c r="A32" s="85"/>
      <c r="B32" s="85"/>
      <c r="C32" s="85"/>
      <c r="I32" s="85"/>
      <c r="J32" s="117"/>
      <c r="L32" s="102"/>
      <c r="M32" s="85"/>
      <c r="N32" s="85"/>
      <c r="O32" s="85"/>
      <c r="P32" s="85"/>
      <c r="Q32" s="85"/>
      <c r="R32" s="85"/>
      <c r="S32" s="85"/>
      <c r="T32" s="85"/>
      <c r="U32" s="85"/>
      <c r="V32" s="85"/>
      <c r="W32" s="113">
        <v>0.21</v>
      </c>
      <c r="X32" s="114">
        <v>74.533096687763503</v>
      </c>
      <c r="Y32" s="115">
        <v>137.6955866146919</v>
      </c>
      <c r="Z32" s="116">
        <f t="shared" si="0"/>
        <v>-63.162489926928401</v>
      </c>
    </row>
    <row r="33" spans="1:26" ht="14.25" customHeight="1">
      <c r="A33" s="85"/>
      <c r="I33" s="85"/>
      <c r="J33" s="117"/>
      <c r="K33" s="118"/>
      <c r="L33" s="118"/>
      <c r="M33" s="85"/>
      <c r="N33" s="85"/>
      <c r="O33" s="85"/>
      <c r="P33" s="85"/>
      <c r="Q33" s="85"/>
      <c r="R33" s="85"/>
      <c r="S33" s="85"/>
      <c r="T33" s="85"/>
      <c r="U33" s="85"/>
      <c r="V33" s="85"/>
      <c r="W33" s="113">
        <v>0.22</v>
      </c>
      <c r="X33" s="114">
        <v>80.483785292502901</v>
      </c>
      <c r="Y33" s="115">
        <v>147.36079298891002</v>
      </c>
      <c r="Z33" s="116">
        <f t="shared" si="0"/>
        <v>-66.877007696407119</v>
      </c>
    </row>
    <row r="34" spans="1:26" ht="14.25" customHeight="1">
      <c r="A34" s="85"/>
      <c r="I34" s="85"/>
      <c r="J34" s="85"/>
      <c r="M34" s="85"/>
      <c r="N34" s="85"/>
      <c r="O34" s="85"/>
      <c r="P34" s="85"/>
      <c r="Q34" s="85"/>
      <c r="R34" s="85"/>
      <c r="S34" s="85"/>
      <c r="T34" s="85"/>
      <c r="U34" s="85"/>
      <c r="V34" s="85"/>
      <c r="W34" s="113">
        <v>0.23</v>
      </c>
      <c r="X34" s="114">
        <v>86.47329457785051</v>
      </c>
      <c r="Y34" s="115">
        <v>157.04920886049703</v>
      </c>
      <c r="Z34" s="116">
        <f t="shared" si="0"/>
        <v>-70.575914282646522</v>
      </c>
    </row>
    <row r="35" spans="1:26" ht="14.25" customHeight="1">
      <c r="A35" s="85"/>
      <c r="D35" s="85"/>
      <c r="E35" s="85"/>
      <c r="F35" s="85"/>
      <c r="G35" s="85"/>
      <c r="H35" s="85"/>
      <c r="I35" s="85"/>
      <c r="J35" s="85"/>
      <c r="K35" s="85"/>
      <c r="L35" s="85"/>
      <c r="M35" s="85"/>
      <c r="N35" s="85"/>
      <c r="O35" s="85"/>
      <c r="P35" s="85"/>
      <c r="Q35" s="85"/>
      <c r="R35" s="85"/>
      <c r="S35" s="85"/>
      <c r="T35" s="85"/>
      <c r="U35" s="85"/>
      <c r="V35" s="85"/>
      <c r="W35" s="113">
        <v>0.24</v>
      </c>
      <c r="X35" s="114">
        <v>92.4974758167658</v>
      </c>
      <c r="Y35" s="115">
        <v>166.75672623039932</v>
      </c>
      <c r="Z35" s="116">
        <f t="shared" si="0"/>
        <v>-74.259250413633524</v>
      </c>
    </row>
    <row r="36" spans="1:26" ht="14.25" customHeight="1">
      <c r="A36" s="85"/>
      <c r="B36" s="127"/>
      <c r="C36" s="128"/>
      <c r="D36" s="85"/>
      <c r="E36" s="85"/>
      <c r="F36" s="85"/>
      <c r="G36" s="85"/>
      <c r="H36" s="85"/>
      <c r="I36" s="85"/>
      <c r="J36" s="85"/>
      <c r="K36" s="85"/>
      <c r="L36" s="85"/>
      <c r="M36" s="85"/>
      <c r="N36" s="85"/>
      <c r="O36" s="85"/>
      <c r="P36" s="85"/>
      <c r="Q36" s="85"/>
      <c r="R36" s="85"/>
      <c r="S36" s="85"/>
      <c r="T36" s="85"/>
      <c r="U36" s="85"/>
      <c r="V36" s="85"/>
      <c r="W36" s="113">
        <v>0.25</v>
      </c>
      <c r="X36" s="114">
        <v>98.552586658063518</v>
      </c>
      <c r="Y36" s="115">
        <v>176.47996327750855</v>
      </c>
      <c r="Z36" s="116">
        <f t="shared" si="0"/>
        <v>-77.927376619445027</v>
      </c>
    </row>
    <row r="37" spans="1:26" ht="14.25" customHeight="1">
      <c r="A37" s="85"/>
      <c r="B37" s="85"/>
      <c r="C37" s="85"/>
      <c r="D37" s="85"/>
      <c r="E37" s="85"/>
      <c r="F37" s="85"/>
      <c r="G37" s="85"/>
      <c r="H37" s="85"/>
      <c r="I37" s="85"/>
      <c r="J37" s="85"/>
      <c r="K37" s="85"/>
      <c r="L37" s="85"/>
      <c r="M37" s="85"/>
      <c r="N37" s="85"/>
      <c r="O37" s="85"/>
      <c r="P37" s="85"/>
      <c r="Q37" s="85"/>
      <c r="R37" s="85"/>
      <c r="S37" s="85"/>
      <c r="T37" s="85"/>
      <c r="U37" s="85"/>
      <c r="V37" s="85"/>
      <c r="W37" s="113">
        <v>0.26</v>
      </c>
      <c r="X37" s="114">
        <v>104.63526085087516</v>
      </c>
      <c r="Y37" s="115">
        <v>186.2161416910773</v>
      </c>
      <c r="Z37" s="116">
        <f t="shared" si="0"/>
        <v>-81.580880840202141</v>
      </c>
    </row>
    <row r="38" spans="1:26" ht="14.25" customHeight="1">
      <c r="A38" s="85"/>
      <c r="D38" s="85"/>
      <c r="E38" s="85"/>
      <c r="F38" s="85"/>
      <c r="G38" s="85"/>
      <c r="H38" s="85"/>
      <c r="I38" s="85"/>
      <c r="J38" s="85"/>
      <c r="K38" s="85"/>
      <c r="L38" s="85"/>
      <c r="M38" s="85"/>
      <c r="N38" s="85"/>
      <c r="O38" s="85"/>
      <c r="P38" s="85"/>
      <c r="Q38" s="85"/>
      <c r="R38" s="85"/>
      <c r="S38" s="85"/>
      <c r="T38" s="85"/>
      <c r="U38" s="85"/>
      <c r="V38" s="85"/>
      <c r="W38" s="113">
        <v>0.27</v>
      </c>
      <c r="X38" s="114">
        <v>110.74247808082815</v>
      </c>
      <c r="Y38" s="115">
        <v>195.96298272404778</v>
      </c>
      <c r="Z38" s="116">
        <f t="shared" si="0"/>
        <v>-85.220504643219627</v>
      </c>
    </row>
    <row r="39" spans="1:26" ht="14.4">
      <c r="A39" s="85"/>
      <c r="B39" s="302"/>
      <c r="C39" s="259"/>
      <c r="D39" s="85"/>
      <c r="E39" s="85"/>
      <c r="F39" s="85"/>
      <c r="G39" s="85"/>
      <c r="H39" s="85"/>
      <c r="I39" s="85"/>
      <c r="J39" s="85"/>
      <c r="K39" s="85"/>
      <c r="L39" s="85"/>
      <c r="M39" s="85"/>
      <c r="N39" s="85"/>
      <c r="O39" s="85"/>
      <c r="P39" s="85"/>
      <c r="Q39" s="85"/>
      <c r="R39" s="85"/>
      <c r="S39" s="85"/>
      <c r="T39" s="85"/>
      <c r="U39" s="85"/>
      <c r="V39" s="85"/>
      <c r="W39" s="113">
        <v>0.28000000000000003</v>
      </c>
      <c r="X39" s="114">
        <v>116.87153450489126</v>
      </c>
      <c r="Y39" s="115">
        <v>205.71861976595119</v>
      </c>
      <c r="Z39" s="116">
        <f t="shared" si="0"/>
        <v>-88.847085261059931</v>
      </c>
    </row>
    <row r="40" spans="1:26" ht="14.4">
      <c r="A40" s="85"/>
      <c r="B40" s="85"/>
      <c r="C40" s="85"/>
      <c r="D40" s="85"/>
      <c r="E40" s="85"/>
      <c r="F40" s="85"/>
      <c r="G40" s="85"/>
      <c r="H40" s="85"/>
      <c r="I40" s="85"/>
      <c r="J40" s="85"/>
      <c r="K40" s="310" t="s">
        <v>206</v>
      </c>
      <c r="L40" s="259"/>
      <c r="M40" s="259"/>
      <c r="N40" s="259"/>
      <c r="O40" s="259"/>
      <c r="P40" s="259"/>
      <c r="Q40" s="259"/>
      <c r="R40" s="259"/>
      <c r="S40" s="85"/>
      <c r="T40" s="85"/>
      <c r="U40" s="85"/>
      <c r="V40" s="85"/>
      <c r="W40" s="113">
        <v>0.28999999999999998</v>
      </c>
      <c r="X40" s="114">
        <v>123.0200144176567</v>
      </c>
      <c r="Y40" s="115">
        <v>215.48152526605159</v>
      </c>
      <c r="Z40" s="116">
        <f t="shared" si="0"/>
        <v>-92.461510848394894</v>
      </c>
    </row>
    <row r="41" spans="1:26" ht="14.4">
      <c r="A41" s="85"/>
      <c r="B41" s="85"/>
      <c r="C41" s="85"/>
      <c r="D41" s="85"/>
      <c r="E41" s="85"/>
      <c r="F41" s="85"/>
      <c r="G41" s="85"/>
      <c r="H41" s="85"/>
      <c r="I41" s="85"/>
      <c r="J41" s="85"/>
      <c r="K41" s="259"/>
      <c r="L41" s="259"/>
      <c r="M41" s="259"/>
      <c r="N41" s="259"/>
      <c r="O41" s="259"/>
      <c r="P41" s="259"/>
      <c r="Q41" s="259"/>
      <c r="R41" s="259"/>
      <c r="S41" s="85"/>
      <c r="T41" s="85"/>
      <c r="U41" s="85"/>
      <c r="V41" s="85"/>
      <c r="W41" s="129">
        <v>0.3</v>
      </c>
      <c r="X41" s="130">
        <v>129.1857633525573</v>
      </c>
      <c r="Y41" s="131">
        <v>225.25044996755182</v>
      </c>
      <c r="Z41" s="132">
        <f t="shared" si="0"/>
        <v>-96.064686614994514</v>
      </c>
    </row>
    <row r="42" spans="1:26" ht="14.25" customHeight="1">
      <c r="A42" s="85"/>
      <c r="B42" s="85"/>
      <c r="C42" s="85"/>
      <c r="D42" s="85"/>
      <c r="E42" s="85"/>
      <c r="F42" s="85"/>
      <c r="G42" s="85"/>
      <c r="H42" s="85"/>
      <c r="I42" s="85"/>
      <c r="J42" s="85"/>
      <c r="K42" s="85"/>
      <c r="L42" s="85"/>
      <c r="M42" s="85"/>
      <c r="N42" s="85"/>
      <c r="O42" s="85"/>
      <c r="P42" s="85"/>
      <c r="Q42" s="85"/>
      <c r="R42" s="85"/>
      <c r="S42" s="85"/>
      <c r="T42" s="85"/>
      <c r="U42" s="85"/>
      <c r="V42" s="85"/>
      <c r="W42" s="85"/>
      <c r="X42" s="85"/>
      <c r="Y42" s="85"/>
    </row>
    <row r="43" spans="1:26" ht="14.25" customHeight="1">
      <c r="A43" s="85"/>
      <c r="V43" s="85"/>
      <c r="W43" s="85"/>
      <c r="X43" s="85"/>
      <c r="Y43" s="85"/>
    </row>
    <row r="44" spans="1:26" ht="14.25" customHeight="1">
      <c r="A44" s="85"/>
      <c r="V44" s="85"/>
      <c r="W44" s="85"/>
      <c r="X44" s="85"/>
      <c r="Y44" s="85"/>
    </row>
    <row r="45" spans="1:26" ht="14.25" customHeight="1">
      <c r="A45" s="85"/>
      <c r="V45" s="85"/>
      <c r="W45" s="85"/>
      <c r="X45" s="85"/>
      <c r="Y45" s="85"/>
    </row>
    <row r="46" spans="1:26" ht="14.25" customHeight="1">
      <c r="A46" s="85"/>
      <c r="V46" s="85"/>
      <c r="W46" s="85"/>
      <c r="X46" s="85"/>
      <c r="Y46" s="85"/>
    </row>
    <row r="47" spans="1:26" ht="14.25" customHeight="1">
      <c r="A47" s="85"/>
      <c r="V47" s="85"/>
      <c r="W47" s="85"/>
      <c r="X47" s="85"/>
      <c r="Y47" s="85"/>
    </row>
    <row r="48" spans="1:26" ht="14.25" customHeight="1">
      <c r="A48" s="85"/>
      <c r="V48" s="85"/>
      <c r="W48" s="85"/>
      <c r="X48" s="85"/>
      <c r="Y48" s="85"/>
    </row>
    <row r="49" spans="1:25" ht="14.25" customHeight="1">
      <c r="A49" s="85"/>
      <c r="V49" s="85"/>
      <c r="W49" s="85"/>
      <c r="X49" s="85"/>
      <c r="Y49" s="85"/>
    </row>
    <row r="50" spans="1:25" ht="14.25" customHeight="1">
      <c r="A50" s="85"/>
      <c r="V50" s="85"/>
      <c r="W50" s="85"/>
      <c r="X50" s="85"/>
      <c r="Y50" s="85"/>
    </row>
    <row r="51" spans="1:25" ht="14.25" customHeight="1">
      <c r="A51" s="85"/>
      <c r="V51" s="85"/>
      <c r="W51" s="85"/>
      <c r="X51" s="85"/>
      <c r="Y51" s="85"/>
    </row>
    <row r="52" spans="1:25" ht="14.25" customHeight="1">
      <c r="A52" s="85"/>
      <c r="V52" s="85"/>
      <c r="W52" s="85"/>
      <c r="X52" s="85"/>
      <c r="Y52" s="85"/>
    </row>
    <row r="53" spans="1:25" ht="14.25" customHeight="1">
      <c r="A53" s="85"/>
      <c r="V53" s="85"/>
      <c r="W53" s="85"/>
      <c r="X53" s="85"/>
      <c r="Y53" s="85"/>
    </row>
    <row r="54" spans="1:25" ht="14.25" customHeight="1">
      <c r="A54" s="85"/>
      <c r="V54" s="85"/>
      <c r="W54" s="85"/>
      <c r="X54" s="85"/>
      <c r="Y54" s="85"/>
    </row>
    <row r="55" spans="1:25" ht="14.25" customHeight="1">
      <c r="A55" s="85"/>
      <c r="V55" s="85"/>
      <c r="W55" s="85"/>
      <c r="X55" s="85"/>
      <c r="Y55" s="85"/>
    </row>
    <row r="56" spans="1:25" ht="14.25" customHeight="1">
      <c r="A56" s="85"/>
      <c r="V56" s="85"/>
      <c r="W56" s="85"/>
      <c r="X56" s="85"/>
      <c r="Y56" s="85"/>
    </row>
    <row r="57" spans="1:25" ht="14.25" customHeight="1">
      <c r="A57" s="85"/>
      <c r="V57" s="85"/>
      <c r="W57" s="85"/>
      <c r="X57" s="85"/>
      <c r="Y57" s="85"/>
    </row>
    <row r="58" spans="1:25" ht="14.25" customHeight="1">
      <c r="A58" s="85"/>
      <c r="V58" s="85"/>
      <c r="W58" s="85"/>
      <c r="X58" s="85"/>
      <c r="Y58" s="85"/>
    </row>
    <row r="59" spans="1:25" ht="14.25" customHeight="1">
      <c r="A59" s="85"/>
      <c r="V59" s="85"/>
      <c r="W59" s="85"/>
      <c r="X59" s="85"/>
      <c r="Y59" s="85"/>
    </row>
    <row r="60" spans="1:25" ht="14.25" customHeight="1">
      <c r="A60" s="85"/>
      <c r="V60" s="85"/>
      <c r="W60" s="85"/>
      <c r="X60" s="85"/>
      <c r="Y60" s="85"/>
    </row>
    <row r="61" spans="1:25" ht="14.25" customHeight="1">
      <c r="A61" s="85"/>
      <c r="V61" s="85"/>
      <c r="W61" s="85"/>
      <c r="X61" s="85"/>
      <c r="Y61" s="85"/>
    </row>
    <row r="62" spans="1:25" ht="14.25" customHeight="1">
      <c r="A62" s="85"/>
      <c r="V62" s="85"/>
      <c r="W62" s="85"/>
      <c r="X62" s="85"/>
      <c r="Y62" s="85"/>
    </row>
    <row r="63" spans="1:25" ht="14.25" customHeight="1">
      <c r="A63" s="85"/>
      <c r="V63" s="85"/>
      <c r="W63" s="85"/>
      <c r="X63" s="85"/>
      <c r="Y63" s="85"/>
    </row>
    <row r="64" spans="1:25" ht="14.25" customHeight="1">
      <c r="A64" s="85"/>
      <c r="V64" s="85"/>
      <c r="W64" s="85"/>
      <c r="X64" s="85"/>
      <c r="Y64" s="85"/>
    </row>
    <row r="65" spans="1:25" ht="14.25" customHeight="1">
      <c r="A65" s="85"/>
      <c r="V65" s="85"/>
      <c r="W65" s="85"/>
      <c r="X65" s="85"/>
      <c r="Y65" s="85"/>
    </row>
    <row r="66" spans="1:25" ht="14.25" customHeight="1">
      <c r="A66" s="85"/>
      <c r="Q66" s="222"/>
      <c r="R66" s="85"/>
      <c r="S66" s="85"/>
      <c r="T66" s="85"/>
      <c r="U66" s="85"/>
      <c r="V66" s="85"/>
      <c r="W66" s="85"/>
      <c r="X66" s="85"/>
      <c r="Y66" s="85"/>
    </row>
    <row r="67" spans="1:25" ht="14.25" customHeight="1">
      <c r="A67" s="85"/>
      <c r="Q67" s="222"/>
      <c r="R67" s="85"/>
      <c r="S67" s="85"/>
      <c r="T67" s="85"/>
      <c r="U67" s="85"/>
      <c r="V67" s="85"/>
      <c r="W67" s="85"/>
      <c r="X67" s="85"/>
      <c r="Y67" s="85"/>
    </row>
    <row r="68" spans="1:25" ht="14.25" customHeight="1">
      <c r="A68" s="85"/>
      <c r="Q68" s="222"/>
      <c r="R68" s="85"/>
      <c r="S68" s="85"/>
      <c r="T68" s="85"/>
      <c r="U68" s="85"/>
      <c r="V68" s="85"/>
      <c r="W68" s="85"/>
      <c r="X68" s="85"/>
      <c r="Y68" s="85"/>
    </row>
    <row r="69" spans="1:25" ht="14.25" customHeight="1">
      <c r="A69" s="85"/>
      <c r="Q69" s="222"/>
      <c r="R69" s="85"/>
      <c r="S69" s="85"/>
      <c r="T69" s="85"/>
      <c r="U69" s="85"/>
      <c r="V69" s="85"/>
      <c r="W69" s="85"/>
      <c r="X69" s="85"/>
      <c r="Y69" s="85"/>
    </row>
    <row r="70" spans="1:25" ht="14.25" customHeight="1">
      <c r="A70" s="85"/>
      <c r="Q70" s="222"/>
      <c r="R70" s="85"/>
      <c r="S70" s="85"/>
      <c r="T70" s="85"/>
      <c r="U70" s="85"/>
      <c r="V70" s="85"/>
      <c r="W70" s="85"/>
      <c r="X70" s="85"/>
      <c r="Y70" s="85"/>
    </row>
    <row r="71" spans="1:25" ht="14.25" customHeight="1">
      <c r="A71" s="85"/>
      <c r="Q71" s="222"/>
      <c r="R71" s="85"/>
      <c r="S71" s="85"/>
      <c r="T71" s="85"/>
      <c r="U71" s="85"/>
      <c r="V71" s="85"/>
      <c r="W71" s="85"/>
      <c r="X71" s="85"/>
      <c r="Y71" s="85"/>
    </row>
    <row r="72" spans="1:25" ht="14.25" customHeight="1">
      <c r="A72" s="85"/>
      <c r="Q72" s="222"/>
      <c r="R72" s="85"/>
      <c r="S72" s="85"/>
      <c r="T72" s="85"/>
      <c r="U72" s="85"/>
      <c r="V72" s="85"/>
      <c r="W72" s="85"/>
      <c r="X72" s="85"/>
      <c r="Y72" s="85"/>
    </row>
    <row r="73" spans="1:25" ht="14.25" customHeight="1">
      <c r="A73" s="85"/>
      <c r="Q73" s="222"/>
      <c r="R73" s="85"/>
      <c r="S73" s="85"/>
      <c r="T73" s="85"/>
      <c r="U73" s="85"/>
      <c r="V73" s="85"/>
      <c r="W73" s="85"/>
      <c r="X73" s="85"/>
      <c r="Y73" s="85"/>
    </row>
    <row r="74" spans="1:25" ht="14.25" customHeight="1">
      <c r="A74" s="85"/>
      <c r="Q74" s="222"/>
      <c r="R74" s="85"/>
      <c r="S74" s="85"/>
      <c r="T74" s="85"/>
      <c r="U74" s="85"/>
      <c r="V74" s="85"/>
      <c r="W74" s="85"/>
      <c r="X74" s="85"/>
      <c r="Y74" s="85"/>
    </row>
    <row r="75" spans="1:25" ht="14.25" customHeight="1">
      <c r="A75" s="85"/>
      <c r="Q75" s="222"/>
      <c r="R75" s="85"/>
      <c r="S75" s="85"/>
      <c r="T75" s="85"/>
      <c r="U75" s="85"/>
      <c r="V75" s="85"/>
      <c r="W75" s="85"/>
      <c r="X75" s="85"/>
      <c r="Y75" s="85"/>
    </row>
    <row r="76" spans="1:25" ht="14.25" customHeight="1">
      <c r="A76" s="85"/>
      <c r="Q76" s="222"/>
      <c r="R76" s="85"/>
      <c r="S76" s="85"/>
      <c r="T76" s="85"/>
      <c r="U76" s="85"/>
      <c r="V76" s="85"/>
      <c r="W76" s="85"/>
      <c r="X76" s="85"/>
      <c r="Y76" s="85"/>
    </row>
    <row r="77" spans="1:25" ht="14.25" customHeight="1">
      <c r="A77" s="85"/>
      <c r="Q77" s="222"/>
      <c r="R77" s="85"/>
      <c r="S77" s="85"/>
      <c r="T77" s="85"/>
      <c r="U77" s="85"/>
      <c r="V77" s="85"/>
      <c r="W77" s="85"/>
      <c r="X77" s="85"/>
      <c r="Y77" s="85"/>
    </row>
    <row r="78" spans="1:25" ht="14.25" customHeight="1">
      <c r="A78" s="85"/>
      <c r="Q78" s="222"/>
      <c r="R78" s="85"/>
      <c r="S78" s="85"/>
      <c r="T78" s="85"/>
      <c r="U78" s="85"/>
      <c r="V78" s="85"/>
      <c r="W78" s="85"/>
      <c r="X78" s="85"/>
      <c r="Y78" s="85"/>
    </row>
    <row r="79" spans="1:25" ht="14.25" customHeight="1">
      <c r="A79" s="85"/>
      <c r="Q79" s="222"/>
      <c r="R79" s="85"/>
      <c r="S79" s="85"/>
      <c r="T79" s="85"/>
      <c r="U79" s="85"/>
      <c r="V79" s="85"/>
      <c r="W79" s="85"/>
      <c r="X79" s="85"/>
      <c r="Y79" s="85"/>
    </row>
    <row r="80" spans="1:25" ht="14.25" customHeight="1">
      <c r="A80" s="85"/>
      <c r="Q80" s="222"/>
      <c r="R80" s="85"/>
      <c r="S80" s="85"/>
      <c r="T80" s="85"/>
      <c r="U80" s="85"/>
      <c r="V80" s="85"/>
      <c r="W80" s="85"/>
      <c r="X80" s="85"/>
      <c r="Y80" s="85"/>
    </row>
    <row r="81" spans="1:25" ht="14.25" customHeight="1">
      <c r="A81" s="85"/>
      <c r="Q81" s="222"/>
      <c r="R81" s="85"/>
      <c r="S81" s="85"/>
      <c r="T81" s="85"/>
      <c r="U81" s="85"/>
      <c r="V81" s="85"/>
      <c r="W81" s="85"/>
      <c r="X81" s="85"/>
      <c r="Y81" s="85"/>
    </row>
    <row r="82" spans="1:25" ht="14.25" customHeight="1">
      <c r="A82" s="85"/>
      <c r="Q82" s="222"/>
      <c r="R82" s="85"/>
      <c r="S82" s="85"/>
      <c r="T82" s="85"/>
      <c r="U82" s="85"/>
      <c r="V82" s="85"/>
      <c r="W82" s="85"/>
      <c r="X82" s="85"/>
      <c r="Y82" s="85"/>
    </row>
    <row r="83" spans="1:25" ht="14.25" customHeight="1">
      <c r="A83" s="85"/>
      <c r="Q83" s="222"/>
      <c r="R83" s="85"/>
      <c r="S83" s="85"/>
      <c r="T83" s="85"/>
      <c r="U83" s="85"/>
      <c r="V83" s="85"/>
      <c r="W83" s="85"/>
      <c r="X83" s="85"/>
      <c r="Y83" s="85"/>
    </row>
    <row r="84" spans="1:25" ht="14.25" customHeight="1">
      <c r="A84" s="85"/>
      <c r="Q84" s="222"/>
      <c r="R84" s="85"/>
      <c r="S84" s="85"/>
      <c r="T84" s="85"/>
      <c r="U84" s="85"/>
      <c r="V84" s="85"/>
      <c r="W84" s="85"/>
      <c r="X84" s="85"/>
      <c r="Y84" s="85"/>
    </row>
    <row r="85" spans="1:25" ht="14.25" customHeight="1">
      <c r="A85" s="85"/>
      <c r="Q85" s="222"/>
      <c r="R85" s="85"/>
      <c r="S85" s="85"/>
      <c r="T85" s="85"/>
      <c r="U85" s="85"/>
      <c r="V85" s="85"/>
      <c r="W85" s="85"/>
      <c r="X85" s="85"/>
      <c r="Y85" s="85"/>
    </row>
    <row r="86" spans="1:25" ht="14.25" customHeight="1">
      <c r="A86" s="85"/>
      <c r="Q86" s="222"/>
      <c r="R86" s="85"/>
      <c r="S86" s="85"/>
      <c r="T86" s="85"/>
      <c r="U86" s="85"/>
      <c r="V86" s="85"/>
      <c r="W86" s="85"/>
      <c r="X86" s="85"/>
      <c r="Y86" s="85"/>
    </row>
    <row r="87" spans="1:25" ht="14.25" customHeight="1">
      <c r="A87" s="85"/>
      <c r="Q87" s="222"/>
      <c r="R87" s="85"/>
      <c r="S87" s="85"/>
      <c r="T87" s="85"/>
      <c r="U87" s="85"/>
      <c r="V87" s="85"/>
      <c r="W87" s="85"/>
      <c r="X87" s="85"/>
      <c r="Y87" s="85"/>
    </row>
    <row r="88" spans="1:25" ht="14.25" customHeight="1">
      <c r="A88" s="85"/>
      <c r="Q88" s="222"/>
      <c r="R88" s="85"/>
      <c r="S88" s="85"/>
      <c r="T88" s="85"/>
      <c r="U88" s="85"/>
      <c r="V88" s="85"/>
      <c r="W88" s="85"/>
      <c r="X88" s="85"/>
      <c r="Y88" s="85"/>
    </row>
    <row r="89" spans="1:25" ht="14.25" customHeight="1">
      <c r="A89" s="85"/>
      <c r="Q89" s="222"/>
      <c r="R89" s="85"/>
      <c r="S89" s="85"/>
      <c r="T89" s="85"/>
      <c r="U89" s="85"/>
      <c r="V89" s="85"/>
      <c r="W89" s="85"/>
      <c r="X89" s="85"/>
      <c r="Y89" s="85"/>
    </row>
    <row r="90" spans="1:25" ht="14.25" customHeight="1">
      <c r="A90" s="85"/>
      <c r="Q90" s="222"/>
      <c r="R90" s="85"/>
      <c r="S90" s="85"/>
      <c r="T90" s="85"/>
      <c r="U90" s="85"/>
      <c r="V90" s="85"/>
      <c r="W90" s="85"/>
      <c r="X90" s="85"/>
      <c r="Y90" s="85"/>
    </row>
    <row r="91" spans="1:25" ht="14.25" customHeight="1">
      <c r="A91" s="85"/>
      <c r="Q91" s="222"/>
      <c r="R91" s="85"/>
      <c r="S91" s="85"/>
      <c r="T91" s="85"/>
      <c r="U91" s="85"/>
      <c r="V91" s="85"/>
      <c r="W91" s="85"/>
      <c r="X91" s="85"/>
      <c r="Y91" s="85"/>
    </row>
    <row r="92" spans="1:25" ht="14.25" customHeight="1">
      <c r="A92" s="85"/>
      <c r="Q92" s="222"/>
      <c r="R92" s="85"/>
      <c r="S92" s="85"/>
      <c r="T92" s="85"/>
      <c r="U92" s="85"/>
      <c r="V92" s="85"/>
      <c r="W92" s="85"/>
      <c r="X92" s="85"/>
      <c r="Y92" s="85"/>
    </row>
    <row r="93" spans="1:25" ht="14.25" customHeight="1">
      <c r="A93" s="85"/>
      <c r="Q93" s="222"/>
      <c r="R93" s="85"/>
      <c r="S93" s="85"/>
      <c r="T93" s="85"/>
      <c r="U93" s="85"/>
      <c r="V93" s="85"/>
      <c r="W93" s="85"/>
      <c r="X93" s="85"/>
      <c r="Y93" s="85"/>
    </row>
    <row r="94" spans="1:25" ht="14.25" customHeight="1">
      <c r="A94" s="85"/>
      <c r="Q94" s="222"/>
      <c r="R94" s="85"/>
      <c r="S94" s="85"/>
      <c r="T94" s="85"/>
      <c r="U94" s="85"/>
      <c r="V94" s="85"/>
      <c r="W94" s="85"/>
      <c r="X94" s="85"/>
      <c r="Y94" s="85"/>
    </row>
    <row r="95" spans="1:25" ht="14.25" customHeight="1">
      <c r="A95" s="85"/>
      <c r="Q95" s="222"/>
      <c r="R95" s="85"/>
      <c r="S95" s="85"/>
      <c r="T95" s="85"/>
      <c r="U95" s="85"/>
      <c r="V95" s="85"/>
      <c r="W95" s="85"/>
      <c r="X95" s="85"/>
      <c r="Y95" s="85"/>
    </row>
    <row r="96" spans="1:25" ht="14.25" customHeight="1">
      <c r="A96" s="85"/>
      <c r="Q96" s="222"/>
      <c r="R96" s="85"/>
      <c r="S96" s="85"/>
      <c r="T96" s="85"/>
      <c r="U96" s="85"/>
      <c r="V96" s="85"/>
      <c r="W96" s="85"/>
      <c r="X96" s="85"/>
      <c r="Y96" s="85"/>
    </row>
    <row r="97" spans="1:25" ht="14.25" customHeight="1">
      <c r="A97" s="85"/>
      <c r="Q97" s="222"/>
      <c r="R97" s="85"/>
      <c r="S97" s="85"/>
      <c r="T97" s="85"/>
      <c r="U97" s="85"/>
      <c r="V97" s="85"/>
      <c r="W97" s="85"/>
      <c r="X97" s="85"/>
      <c r="Y97" s="85"/>
    </row>
    <row r="98" spans="1:25" ht="14.25" customHeight="1">
      <c r="A98" s="85"/>
      <c r="Q98" s="222"/>
      <c r="R98" s="85"/>
      <c r="S98" s="85"/>
      <c r="T98" s="85"/>
      <c r="U98" s="85"/>
      <c r="V98" s="85"/>
      <c r="W98" s="85"/>
      <c r="X98" s="85"/>
      <c r="Y98" s="85"/>
    </row>
    <row r="99" spans="1:25" ht="14.25" customHeight="1">
      <c r="A99" s="85"/>
      <c r="Q99" s="222"/>
      <c r="R99" s="85"/>
      <c r="S99" s="85"/>
      <c r="T99" s="85"/>
      <c r="U99" s="85"/>
      <c r="V99" s="85"/>
      <c r="W99" s="85"/>
      <c r="X99" s="85"/>
      <c r="Y99" s="85"/>
    </row>
    <row r="100" spans="1:25" ht="14.25" customHeight="1">
      <c r="A100" s="85"/>
      <c r="Q100" s="222"/>
      <c r="R100" s="85"/>
      <c r="S100" s="85"/>
      <c r="T100" s="85"/>
      <c r="U100" s="85"/>
      <c r="V100" s="85"/>
      <c r="W100" s="85"/>
      <c r="X100" s="85"/>
      <c r="Y100" s="85"/>
    </row>
    <row r="101" spans="1:25" ht="14.25" customHeight="1">
      <c r="A101" s="85"/>
      <c r="Q101" s="222"/>
      <c r="R101" s="85"/>
      <c r="S101" s="85"/>
      <c r="T101" s="85"/>
      <c r="U101" s="85"/>
      <c r="V101" s="85"/>
      <c r="W101" s="85"/>
      <c r="X101" s="85"/>
      <c r="Y101" s="85"/>
    </row>
    <row r="102" spans="1:25" ht="14.25" customHeight="1">
      <c r="A102" s="85"/>
      <c r="Q102" s="222"/>
      <c r="R102" s="85"/>
      <c r="S102" s="85"/>
      <c r="T102" s="85"/>
      <c r="U102" s="85"/>
      <c r="V102" s="85"/>
      <c r="W102" s="85"/>
      <c r="X102" s="85"/>
      <c r="Y102" s="85"/>
    </row>
    <row r="103" spans="1:25" ht="14.25" customHeight="1">
      <c r="A103" s="85"/>
      <c r="Q103" s="222"/>
      <c r="R103" s="85"/>
      <c r="S103" s="85"/>
      <c r="T103" s="85"/>
      <c r="U103" s="85"/>
      <c r="V103" s="85"/>
      <c r="W103" s="85"/>
      <c r="X103" s="85"/>
      <c r="Y103" s="85"/>
    </row>
    <row r="104" spans="1:25" ht="14.25" customHeight="1">
      <c r="A104" s="85"/>
      <c r="Q104" s="222"/>
      <c r="R104" s="85"/>
      <c r="S104" s="85"/>
      <c r="T104" s="85"/>
      <c r="U104" s="85"/>
      <c r="V104" s="85"/>
      <c r="W104" s="85"/>
      <c r="X104" s="85"/>
      <c r="Y104" s="85"/>
    </row>
    <row r="105" spans="1:25" ht="14.25" customHeight="1">
      <c r="A105" s="85"/>
      <c r="Q105" s="222"/>
      <c r="R105" s="85"/>
      <c r="S105" s="85"/>
      <c r="T105" s="85"/>
      <c r="U105" s="85"/>
      <c r="V105" s="85"/>
      <c r="W105" s="85"/>
      <c r="X105" s="85"/>
      <c r="Y105" s="85"/>
    </row>
    <row r="106" spans="1:25" ht="14.25" customHeight="1">
      <c r="A106" s="85"/>
      <c r="Q106" s="222"/>
      <c r="R106" s="85"/>
      <c r="S106" s="85"/>
      <c r="T106" s="85"/>
      <c r="U106" s="85"/>
      <c r="V106" s="85"/>
      <c r="W106" s="85"/>
      <c r="X106" s="85"/>
      <c r="Y106" s="85"/>
    </row>
    <row r="107" spans="1:25" ht="14.25" customHeight="1">
      <c r="A107" s="85"/>
      <c r="Q107" s="222"/>
      <c r="R107" s="85"/>
      <c r="S107" s="85"/>
      <c r="T107" s="85"/>
      <c r="U107" s="85"/>
      <c r="V107" s="85"/>
      <c r="W107" s="85"/>
      <c r="X107" s="85"/>
      <c r="Y107" s="85"/>
    </row>
    <row r="108" spans="1:25" ht="14.25" customHeight="1">
      <c r="A108" s="85"/>
      <c r="Q108" s="222"/>
      <c r="R108" s="85"/>
      <c r="S108" s="85"/>
      <c r="T108" s="85"/>
      <c r="U108" s="85"/>
      <c r="V108" s="85"/>
      <c r="W108" s="85"/>
      <c r="X108" s="85"/>
      <c r="Y108" s="85"/>
    </row>
    <row r="109" spans="1:25" ht="14.25" customHeight="1">
      <c r="A109" s="85"/>
      <c r="Q109" s="222"/>
      <c r="R109" s="85"/>
      <c r="S109" s="85"/>
      <c r="T109" s="85"/>
      <c r="U109" s="85"/>
      <c r="V109" s="85"/>
      <c r="W109" s="85"/>
      <c r="X109" s="85"/>
      <c r="Y109" s="85"/>
    </row>
    <row r="110" spans="1:25" ht="14.25" customHeight="1">
      <c r="A110" s="85"/>
      <c r="Q110" s="222"/>
      <c r="R110" s="85"/>
      <c r="S110" s="85"/>
      <c r="T110" s="85"/>
      <c r="U110" s="85"/>
      <c r="V110" s="85"/>
      <c r="W110" s="85"/>
      <c r="X110" s="85"/>
      <c r="Y110" s="85"/>
    </row>
    <row r="111" spans="1:25" ht="14.25" customHeight="1">
      <c r="A111" s="85"/>
      <c r="Q111" s="222"/>
      <c r="R111" s="85"/>
      <c r="S111" s="85"/>
      <c r="T111" s="85"/>
      <c r="U111" s="85"/>
      <c r="V111" s="85"/>
      <c r="W111" s="85"/>
      <c r="X111" s="85"/>
      <c r="Y111" s="85"/>
    </row>
    <row r="112" spans="1:25" ht="14.25" customHeight="1">
      <c r="A112" s="85"/>
      <c r="Q112" s="222"/>
      <c r="R112" s="85"/>
      <c r="S112" s="85"/>
      <c r="T112" s="85"/>
      <c r="U112" s="85"/>
      <c r="V112" s="85"/>
      <c r="W112" s="85"/>
      <c r="X112" s="85"/>
      <c r="Y112" s="85"/>
    </row>
    <row r="113" spans="1:25" ht="14.25" customHeight="1">
      <c r="A113" s="85"/>
      <c r="Q113" s="222"/>
      <c r="R113" s="85"/>
      <c r="S113" s="85"/>
      <c r="T113" s="85"/>
      <c r="U113" s="85"/>
      <c r="V113" s="85"/>
      <c r="W113" s="85"/>
      <c r="X113" s="85"/>
      <c r="Y113" s="85"/>
    </row>
    <row r="114" spans="1:25" ht="14.25" customHeight="1">
      <c r="A114" s="85"/>
      <c r="Q114" s="222"/>
      <c r="R114" s="85"/>
      <c r="S114" s="85"/>
      <c r="T114" s="85"/>
      <c r="U114" s="85"/>
      <c r="V114" s="85"/>
      <c r="W114" s="85"/>
      <c r="X114" s="85"/>
      <c r="Y114" s="85"/>
    </row>
    <row r="115" spans="1:25" ht="14.25" customHeight="1">
      <c r="A115" s="85"/>
      <c r="Q115" s="222"/>
      <c r="R115" s="85"/>
      <c r="S115" s="85"/>
      <c r="T115" s="85"/>
      <c r="U115" s="85"/>
      <c r="V115" s="85"/>
      <c r="W115" s="85"/>
      <c r="X115" s="85"/>
      <c r="Y115" s="85"/>
    </row>
    <row r="116" spans="1:25" ht="14.25" customHeight="1">
      <c r="A116" s="85"/>
      <c r="Q116" s="222"/>
      <c r="R116" s="85"/>
      <c r="S116" s="85"/>
      <c r="T116" s="85"/>
      <c r="U116" s="85"/>
      <c r="V116" s="85"/>
      <c r="W116" s="85"/>
      <c r="X116" s="85"/>
      <c r="Y116" s="85"/>
    </row>
    <row r="117" spans="1:25" ht="14.25" customHeight="1">
      <c r="A117" s="85"/>
      <c r="Q117" s="222"/>
      <c r="R117" s="85"/>
      <c r="S117" s="85"/>
      <c r="T117" s="85"/>
      <c r="U117" s="85"/>
      <c r="V117" s="85"/>
      <c r="W117" s="85"/>
      <c r="X117" s="85"/>
      <c r="Y117" s="85"/>
    </row>
    <row r="118" spans="1:25" ht="14.25" customHeight="1">
      <c r="A118" s="85"/>
      <c r="Q118" s="222"/>
      <c r="R118" s="85"/>
      <c r="S118" s="85"/>
      <c r="T118" s="85"/>
      <c r="U118" s="85"/>
      <c r="V118" s="85"/>
      <c r="W118" s="85"/>
      <c r="X118" s="85"/>
      <c r="Y118" s="85"/>
    </row>
    <row r="119" spans="1:25" ht="14.25" customHeight="1">
      <c r="A119" s="85"/>
      <c r="Q119" s="222"/>
      <c r="R119" s="85"/>
      <c r="S119" s="85"/>
      <c r="T119" s="85"/>
      <c r="U119" s="85"/>
      <c r="V119" s="85"/>
      <c r="W119" s="85"/>
      <c r="X119" s="85"/>
      <c r="Y119" s="85"/>
    </row>
    <row r="120" spans="1:25" ht="14.25" customHeight="1">
      <c r="A120" s="85"/>
      <c r="Q120" s="222"/>
      <c r="R120" s="85"/>
      <c r="S120" s="85"/>
      <c r="T120" s="85"/>
      <c r="U120" s="85"/>
      <c r="V120" s="85"/>
      <c r="W120" s="85"/>
      <c r="X120" s="85"/>
      <c r="Y120" s="85"/>
    </row>
    <row r="121" spans="1:25" ht="14.25" customHeight="1">
      <c r="A121" s="85"/>
      <c r="Q121" s="222"/>
      <c r="R121" s="85"/>
      <c r="S121" s="85"/>
      <c r="T121" s="85"/>
      <c r="U121" s="85"/>
      <c r="V121" s="85"/>
      <c r="W121" s="85"/>
      <c r="X121" s="85"/>
      <c r="Y121" s="85"/>
    </row>
    <row r="122" spans="1:25" ht="14.25" customHeight="1">
      <c r="A122" s="85"/>
      <c r="Q122" s="222"/>
      <c r="R122" s="85"/>
      <c r="S122" s="85"/>
      <c r="T122" s="85"/>
      <c r="U122" s="85"/>
      <c r="V122" s="85"/>
      <c r="W122" s="85"/>
      <c r="X122" s="85"/>
      <c r="Y122" s="85"/>
    </row>
    <row r="123" spans="1:25" ht="14.25" customHeight="1">
      <c r="A123" s="85"/>
      <c r="Q123" s="222"/>
      <c r="R123" s="85"/>
      <c r="S123" s="85"/>
      <c r="T123" s="85"/>
      <c r="U123" s="85"/>
      <c r="V123" s="85"/>
      <c r="W123" s="85"/>
      <c r="X123" s="85"/>
      <c r="Y123" s="85"/>
    </row>
    <row r="124" spans="1:25" ht="14.25" customHeight="1">
      <c r="A124" s="85"/>
      <c r="Q124" s="222"/>
      <c r="R124" s="85"/>
      <c r="S124" s="85"/>
      <c r="T124" s="85"/>
      <c r="U124" s="85"/>
      <c r="V124" s="85"/>
      <c r="W124" s="85"/>
      <c r="X124" s="85"/>
      <c r="Y124" s="85"/>
    </row>
    <row r="125" spans="1:25" ht="14.25" customHeight="1">
      <c r="A125" s="85"/>
      <c r="Q125" s="222"/>
      <c r="R125" s="85"/>
      <c r="S125" s="85"/>
      <c r="T125" s="85"/>
      <c r="U125" s="85"/>
      <c r="V125" s="85"/>
      <c r="W125" s="85"/>
      <c r="X125" s="85"/>
      <c r="Y125" s="85"/>
    </row>
    <row r="126" spans="1:25" ht="14.25" customHeight="1">
      <c r="A126" s="85"/>
      <c r="Q126" s="222"/>
      <c r="R126" s="85"/>
      <c r="S126" s="85"/>
      <c r="T126" s="85"/>
      <c r="U126" s="85"/>
      <c r="V126" s="85"/>
      <c r="W126" s="85"/>
      <c r="X126" s="85"/>
      <c r="Y126" s="85"/>
    </row>
    <row r="127" spans="1:25" ht="14.25" customHeight="1">
      <c r="A127" s="85"/>
      <c r="Q127" s="222"/>
      <c r="R127" s="85"/>
      <c r="S127" s="85"/>
      <c r="T127" s="85"/>
      <c r="U127" s="85"/>
      <c r="V127" s="85"/>
      <c r="W127" s="85"/>
      <c r="X127" s="85"/>
      <c r="Y127" s="85"/>
    </row>
    <row r="128" spans="1:25" ht="14.25" customHeight="1">
      <c r="A128" s="85"/>
      <c r="Q128" s="222"/>
      <c r="R128" s="85"/>
      <c r="S128" s="85"/>
      <c r="T128" s="85"/>
      <c r="U128" s="85"/>
      <c r="V128" s="85"/>
      <c r="W128" s="85"/>
      <c r="X128" s="85"/>
      <c r="Y128" s="85"/>
    </row>
    <row r="129" spans="1:25" ht="14.25" customHeight="1">
      <c r="A129" s="85"/>
      <c r="Q129" s="222"/>
      <c r="R129" s="85"/>
      <c r="S129" s="85"/>
      <c r="T129" s="85"/>
      <c r="U129" s="85"/>
      <c r="V129" s="85"/>
      <c r="W129" s="85"/>
      <c r="X129" s="85"/>
      <c r="Y129" s="85"/>
    </row>
    <row r="130" spans="1:25" ht="14.25" customHeight="1">
      <c r="A130" s="85"/>
      <c r="Q130" s="222"/>
      <c r="R130" s="85"/>
      <c r="S130" s="85"/>
      <c r="T130" s="85"/>
      <c r="U130" s="85"/>
      <c r="V130" s="85"/>
      <c r="W130" s="85"/>
      <c r="X130" s="85"/>
      <c r="Y130" s="85"/>
    </row>
    <row r="131" spans="1:25" ht="14.25" customHeight="1">
      <c r="A131" s="85"/>
      <c r="Q131" s="222"/>
      <c r="R131" s="85"/>
      <c r="S131" s="85"/>
      <c r="T131" s="85"/>
      <c r="U131" s="85"/>
      <c r="V131" s="85"/>
      <c r="W131" s="85"/>
      <c r="X131" s="85"/>
      <c r="Y131" s="85"/>
    </row>
    <row r="132" spans="1:25" ht="14.25" customHeight="1">
      <c r="A132" s="85"/>
      <c r="Q132" s="222"/>
      <c r="R132" s="85"/>
      <c r="S132" s="85"/>
      <c r="T132" s="85"/>
      <c r="U132" s="85"/>
      <c r="V132" s="85"/>
      <c r="W132" s="85"/>
      <c r="X132" s="85"/>
      <c r="Y132" s="85"/>
    </row>
    <row r="133" spans="1:25" ht="14.25" customHeight="1">
      <c r="A133" s="85"/>
      <c r="Q133" s="222"/>
      <c r="R133" s="85"/>
      <c r="S133" s="85"/>
      <c r="T133" s="85"/>
      <c r="U133" s="85"/>
      <c r="V133" s="85"/>
      <c r="W133" s="85"/>
      <c r="X133" s="85"/>
      <c r="Y133" s="85"/>
    </row>
    <row r="134" spans="1:25" ht="14.25" customHeight="1">
      <c r="A134" s="85"/>
      <c r="Q134" s="222"/>
      <c r="R134" s="85"/>
      <c r="S134" s="85"/>
      <c r="T134" s="85"/>
      <c r="U134" s="85"/>
      <c r="V134" s="85"/>
      <c r="W134" s="85"/>
      <c r="X134" s="85"/>
      <c r="Y134" s="85"/>
    </row>
    <row r="135" spans="1:25" ht="14.25" customHeight="1">
      <c r="A135" s="85"/>
      <c r="Q135" s="222"/>
      <c r="R135" s="85"/>
      <c r="S135" s="85"/>
      <c r="T135" s="85"/>
      <c r="U135" s="85"/>
      <c r="V135" s="85"/>
      <c r="W135" s="85"/>
      <c r="X135" s="85"/>
      <c r="Y135" s="85"/>
    </row>
    <row r="136" spans="1:25" ht="14.25" customHeight="1">
      <c r="A136" s="85"/>
      <c r="Q136" s="222"/>
      <c r="R136" s="85"/>
      <c r="S136" s="85"/>
      <c r="T136" s="85"/>
      <c r="U136" s="85"/>
      <c r="V136" s="85"/>
      <c r="W136" s="85"/>
      <c r="X136" s="85"/>
      <c r="Y136" s="85"/>
    </row>
    <row r="137" spans="1:25" ht="14.25" customHeight="1">
      <c r="A137" s="85"/>
      <c r="Q137" s="222"/>
      <c r="R137" s="85"/>
      <c r="S137" s="85"/>
      <c r="T137" s="85"/>
      <c r="U137" s="85"/>
      <c r="V137" s="85"/>
      <c r="W137" s="85"/>
      <c r="X137" s="85"/>
      <c r="Y137" s="85"/>
    </row>
    <row r="138" spans="1:25" ht="14.25" customHeight="1">
      <c r="A138" s="85"/>
      <c r="Q138" s="222"/>
      <c r="R138" s="85"/>
      <c r="S138" s="85"/>
      <c r="T138" s="85"/>
      <c r="U138" s="85"/>
      <c r="V138" s="85"/>
      <c r="W138" s="85"/>
      <c r="X138" s="85"/>
      <c r="Y138" s="85"/>
    </row>
    <row r="139" spans="1:25" ht="14.25" customHeight="1">
      <c r="A139" s="85"/>
      <c r="Q139" s="222"/>
      <c r="R139" s="85"/>
      <c r="S139" s="85"/>
      <c r="T139" s="85"/>
      <c r="U139" s="85"/>
      <c r="V139" s="85"/>
      <c r="W139" s="85"/>
      <c r="X139" s="85"/>
      <c r="Y139" s="85"/>
    </row>
    <row r="140" spans="1:25" ht="14.25" customHeight="1">
      <c r="A140" s="85"/>
      <c r="Q140" s="222"/>
      <c r="R140" s="85"/>
      <c r="S140" s="85"/>
      <c r="T140" s="85"/>
      <c r="U140" s="85"/>
      <c r="V140" s="85"/>
      <c r="W140" s="85"/>
      <c r="X140" s="85"/>
      <c r="Y140" s="85"/>
    </row>
    <row r="141" spans="1:25" ht="14.25" customHeight="1">
      <c r="A141" s="85"/>
      <c r="Q141" s="222"/>
      <c r="R141" s="85"/>
      <c r="S141" s="85"/>
      <c r="T141" s="85"/>
      <c r="U141" s="85"/>
      <c r="V141" s="85"/>
      <c r="W141" s="85"/>
      <c r="X141" s="85"/>
      <c r="Y141" s="85"/>
    </row>
    <row r="142" spans="1:25" ht="14.25" customHeight="1">
      <c r="A142" s="85"/>
      <c r="Q142" s="222"/>
      <c r="R142" s="85"/>
      <c r="S142" s="85"/>
      <c r="T142" s="85"/>
      <c r="U142" s="85"/>
      <c r="V142" s="85"/>
      <c r="W142" s="85"/>
      <c r="X142" s="85"/>
      <c r="Y142" s="85"/>
    </row>
    <row r="143" spans="1:25" ht="14.25" customHeight="1">
      <c r="A143" s="85"/>
      <c r="Q143" s="222"/>
      <c r="R143" s="85"/>
      <c r="S143" s="85"/>
      <c r="T143" s="85"/>
      <c r="U143" s="85"/>
      <c r="V143" s="85"/>
      <c r="W143" s="85"/>
      <c r="X143" s="85"/>
      <c r="Y143" s="85"/>
    </row>
    <row r="144" spans="1:25" ht="14.25" customHeight="1">
      <c r="A144" s="85"/>
      <c r="Q144" s="222"/>
      <c r="R144" s="85"/>
      <c r="S144" s="85"/>
      <c r="T144" s="85"/>
      <c r="U144" s="85"/>
      <c r="V144" s="85"/>
      <c r="W144" s="85"/>
      <c r="X144" s="85"/>
      <c r="Y144" s="85"/>
    </row>
    <row r="145" spans="1:25" ht="14.25" customHeight="1">
      <c r="A145" s="85"/>
      <c r="Q145" s="222"/>
      <c r="R145" s="85"/>
      <c r="S145" s="85"/>
      <c r="T145" s="85"/>
      <c r="U145" s="85"/>
      <c r="V145" s="85"/>
      <c r="W145" s="85"/>
      <c r="X145" s="85"/>
      <c r="Y145" s="85"/>
    </row>
    <row r="146" spans="1:25" ht="14.25" customHeight="1">
      <c r="A146" s="85"/>
      <c r="Q146" s="222"/>
      <c r="R146" s="85"/>
      <c r="S146" s="85"/>
      <c r="T146" s="85"/>
      <c r="U146" s="85"/>
      <c r="V146" s="85"/>
      <c r="W146" s="85"/>
      <c r="X146" s="85"/>
      <c r="Y146" s="85"/>
    </row>
    <row r="147" spans="1:25" ht="14.25" customHeight="1">
      <c r="A147" s="85"/>
      <c r="Q147" s="222"/>
      <c r="R147" s="85"/>
      <c r="S147" s="85"/>
      <c r="T147" s="85"/>
      <c r="U147" s="85"/>
      <c r="V147" s="85"/>
      <c r="W147" s="85"/>
      <c r="X147" s="85"/>
      <c r="Y147" s="85"/>
    </row>
    <row r="148" spans="1:25" ht="14.25" customHeight="1">
      <c r="A148" s="85"/>
      <c r="Q148" s="222"/>
      <c r="R148" s="85"/>
      <c r="S148" s="85"/>
      <c r="T148" s="85"/>
      <c r="U148" s="85"/>
      <c r="V148" s="85"/>
      <c r="W148" s="85"/>
      <c r="X148" s="85"/>
      <c r="Y148" s="85"/>
    </row>
    <row r="149" spans="1:25" ht="14.25" customHeight="1">
      <c r="A149" s="85"/>
      <c r="Q149" s="222"/>
      <c r="R149" s="85"/>
      <c r="S149" s="85"/>
      <c r="T149" s="85"/>
      <c r="U149" s="85"/>
      <c r="V149" s="85"/>
      <c r="W149" s="85"/>
      <c r="X149" s="85"/>
      <c r="Y149" s="85"/>
    </row>
    <row r="150" spans="1:25" ht="14.25" customHeight="1">
      <c r="A150" s="85"/>
      <c r="Q150" s="222"/>
      <c r="R150" s="85"/>
      <c r="S150" s="85"/>
      <c r="T150" s="85"/>
      <c r="U150" s="85"/>
      <c r="V150" s="85"/>
      <c r="W150" s="85"/>
      <c r="X150" s="85"/>
      <c r="Y150" s="85"/>
    </row>
    <row r="151" spans="1:25" ht="14.25" customHeight="1">
      <c r="A151" s="85"/>
      <c r="Q151" s="222"/>
      <c r="R151" s="85"/>
      <c r="S151" s="85"/>
      <c r="T151" s="85"/>
      <c r="U151" s="85"/>
      <c r="V151" s="85"/>
      <c r="W151" s="85"/>
      <c r="X151" s="85"/>
      <c r="Y151" s="85"/>
    </row>
    <row r="152" spans="1:25" ht="14.25" customHeight="1">
      <c r="A152" s="85"/>
      <c r="Q152" s="222"/>
      <c r="R152" s="85"/>
      <c r="S152" s="85"/>
      <c r="T152" s="85"/>
      <c r="U152" s="85"/>
      <c r="V152" s="85"/>
      <c r="W152" s="85"/>
      <c r="X152" s="85"/>
      <c r="Y152" s="85"/>
    </row>
    <row r="153" spans="1:25" ht="14.25" customHeight="1">
      <c r="A153" s="85"/>
      <c r="Q153" s="222"/>
      <c r="R153" s="85"/>
      <c r="S153" s="85"/>
      <c r="T153" s="85"/>
      <c r="U153" s="85"/>
      <c r="V153" s="85"/>
      <c r="W153" s="85"/>
      <c r="X153" s="85"/>
      <c r="Y153" s="85"/>
    </row>
    <row r="154" spans="1:25" ht="14.25" customHeight="1">
      <c r="A154" s="85"/>
      <c r="Q154" s="222"/>
      <c r="R154" s="85"/>
      <c r="S154" s="85"/>
      <c r="T154" s="85"/>
      <c r="U154" s="85"/>
      <c r="V154" s="85"/>
      <c r="W154" s="85"/>
      <c r="X154" s="85"/>
      <c r="Y154" s="85"/>
    </row>
    <row r="155" spans="1:25" ht="14.25" customHeight="1">
      <c r="A155" s="85"/>
      <c r="Q155" s="222"/>
      <c r="R155" s="85"/>
      <c r="S155" s="85"/>
      <c r="T155" s="85"/>
      <c r="U155" s="85"/>
      <c r="V155" s="85"/>
      <c r="W155" s="85"/>
      <c r="X155" s="85"/>
      <c r="Y155" s="85"/>
    </row>
    <row r="156" spans="1:25" ht="14.25" customHeight="1">
      <c r="A156" s="85"/>
      <c r="Q156" s="222"/>
      <c r="R156" s="85"/>
      <c r="S156" s="85"/>
      <c r="T156" s="85"/>
      <c r="U156" s="85"/>
      <c r="V156" s="85"/>
      <c r="W156" s="85"/>
      <c r="X156" s="85"/>
      <c r="Y156" s="85"/>
    </row>
    <row r="157" spans="1:25" ht="14.25" customHeight="1">
      <c r="A157" s="85"/>
      <c r="Q157" s="222"/>
      <c r="R157" s="85"/>
      <c r="S157" s="85"/>
      <c r="T157" s="85"/>
      <c r="U157" s="85"/>
      <c r="V157" s="85"/>
      <c r="W157" s="85"/>
      <c r="X157" s="85"/>
      <c r="Y157" s="85"/>
    </row>
    <row r="158" spans="1:25" ht="14.25" customHeight="1">
      <c r="A158" s="85"/>
      <c r="Q158" s="222"/>
      <c r="R158" s="85"/>
      <c r="S158" s="85"/>
      <c r="T158" s="85"/>
      <c r="U158" s="85"/>
      <c r="V158" s="85"/>
      <c r="W158" s="85"/>
      <c r="X158" s="85"/>
      <c r="Y158" s="85"/>
    </row>
    <row r="159" spans="1:25" ht="14.25" customHeight="1">
      <c r="A159" s="85"/>
      <c r="Q159" s="222"/>
      <c r="R159" s="85"/>
      <c r="S159" s="85"/>
      <c r="T159" s="85"/>
      <c r="U159" s="85"/>
      <c r="V159" s="85"/>
      <c r="W159" s="85"/>
      <c r="X159" s="85"/>
      <c r="Y159" s="85"/>
    </row>
    <row r="160" spans="1:25" ht="14.25" customHeight="1">
      <c r="A160" s="85"/>
      <c r="Q160" s="85"/>
      <c r="R160" s="85"/>
      <c r="S160" s="85"/>
      <c r="T160" s="85"/>
      <c r="U160" s="85"/>
      <c r="V160" s="85"/>
      <c r="W160" s="85"/>
      <c r="X160" s="85"/>
      <c r="Y160" s="85"/>
    </row>
    <row r="161" spans="1:25" ht="14.25" customHeight="1">
      <c r="A161" s="85"/>
      <c r="Q161" s="85"/>
      <c r="R161" s="85"/>
      <c r="S161" s="85"/>
      <c r="T161" s="85"/>
      <c r="U161" s="85"/>
      <c r="V161" s="85"/>
      <c r="W161" s="85"/>
      <c r="X161" s="85"/>
      <c r="Y161" s="85"/>
    </row>
    <row r="162" spans="1:25" ht="14.25" customHeight="1">
      <c r="A162" s="85"/>
      <c r="Q162" s="85"/>
      <c r="R162" s="85"/>
      <c r="S162" s="85"/>
      <c r="T162" s="85"/>
      <c r="U162" s="85"/>
      <c r="V162" s="85"/>
      <c r="W162" s="85"/>
      <c r="X162" s="85"/>
      <c r="Y162" s="85"/>
    </row>
    <row r="163" spans="1:25" ht="14.25" customHeight="1">
      <c r="A163" s="85"/>
      <c r="Q163" s="85"/>
      <c r="R163" s="85"/>
      <c r="S163" s="85"/>
      <c r="T163" s="85"/>
      <c r="U163" s="85"/>
      <c r="V163" s="85"/>
      <c r="W163" s="85"/>
      <c r="X163" s="85"/>
      <c r="Y163" s="85"/>
    </row>
    <row r="164" spans="1:25" ht="14.25" customHeight="1">
      <c r="A164" s="85"/>
      <c r="Q164" s="85"/>
      <c r="R164" s="85"/>
      <c r="S164" s="85"/>
      <c r="T164" s="85"/>
      <c r="U164" s="85"/>
      <c r="V164" s="85"/>
      <c r="W164" s="85"/>
      <c r="X164" s="85"/>
      <c r="Y164" s="85"/>
    </row>
    <row r="165" spans="1:25" ht="14.25" customHeight="1">
      <c r="A165" s="85"/>
      <c r="Q165" s="85"/>
      <c r="R165" s="85"/>
      <c r="S165" s="85"/>
      <c r="T165" s="85"/>
      <c r="U165" s="85"/>
      <c r="V165" s="85"/>
      <c r="W165" s="85"/>
      <c r="X165" s="85"/>
      <c r="Y165" s="85"/>
    </row>
    <row r="166" spans="1:25" ht="14.25" customHeight="1">
      <c r="A166" s="85"/>
      <c r="Q166" s="85"/>
      <c r="R166" s="85"/>
      <c r="S166" s="85"/>
      <c r="T166" s="85"/>
      <c r="U166" s="85"/>
      <c r="V166" s="85"/>
      <c r="W166" s="85"/>
      <c r="X166" s="85"/>
      <c r="Y166" s="85"/>
    </row>
    <row r="167" spans="1:25" ht="14.2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row>
    <row r="168" spans="1:25" ht="14.2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row>
    <row r="169" spans="1:25" ht="14.2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row>
    <row r="170" spans="1:25" ht="14.2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row>
    <row r="171" spans="1:25" ht="14.2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row>
    <row r="172" spans="1:25" ht="14.2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row>
    <row r="173" spans="1:25" ht="14.2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row>
    <row r="174" spans="1:25" ht="14.2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row>
    <row r="175" spans="1:25" ht="14.2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row>
    <row r="176" spans="1:25" ht="14.2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row>
    <row r="177" spans="1:25" ht="14.2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row>
    <row r="178" spans="1:25" ht="14.2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row>
    <row r="179" spans="1:25" ht="14.2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row>
    <row r="180" spans="1:25" ht="14.2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row>
    <row r="181" spans="1:25" ht="14.2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row>
    <row r="182" spans="1:25" ht="14.2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row>
    <row r="183" spans="1:25" ht="14.2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row>
    <row r="184" spans="1:25" ht="14.2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row>
    <row r="185" spans="1:25" ht="14.2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row>
    <row r="186" spans="1:25" ht="14.2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row>
    <row r="187" spans="1:25" ht="14.2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row>
    <row r="188" spans="1:25" ht="14.2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row>
    <row r="189" spans="1:25" ht="14.2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row>
    <row r="190" spans="1:25" ht="14.2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row>
    <row r="191" spans="1:25" ht="14.2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row>
    <row r="192" spans="1:25" ht="14.2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row>
    <row r="193" spans="1:25" ht="14.2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row>
    <row r="194" spans="1:25" ht="14.2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row>
    <row r="195" spans="1:25" ht="14.2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row>
    <row r="196" spans="1:25" ht="14.2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row>
    <row r="197" spans="1:25" ht="14.2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row>
    <row r="198" spans="1:25" ht="14.2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row>
    <row r="199" spans="1:25" ht="14.2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row>
    <row r="200" spans="1:25" ht="14.2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row>
    <row r="201" spans="1:25" ht="14.2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row>
    <row r="202" spans="1:25" ht="14.2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row>
    <row r="203" spans="1:25" ht="14.2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row>
    <row r="204" spans="1:25" ht="14.2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row>
    <row r="205" spans="1:25" ht="14.2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row>
    <row r="206" spans="1:25" ht="14.2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row>
    <row r="207" spans="1:25" ht="14.2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row>
    <row r="208" spans="1:25" ht="14.2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row>
    <row r="209" spans="1:25" ht="14.2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row>
    <row r="210" spans="1:25" ht="14.2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row>
    <row r="211" spans="1:25" ht="14.2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row>
    <row r="212" spans="1:25" ht="14.2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row>
    <row r="213" spans="1:25" ht="14.2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row>
    <row r="214" spans="1:25" ht="14.2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row>
    <row r="215" spans="1:25" ht="14.2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row>
    <row r="216" spans="1:25" ht="14.2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row>
    <row r="217" spans="1:25" ht="14.2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row>
    <row r="218" spans="1:25" ht="14.2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row>
    <row r="219" spans="1:25" ht="14.2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row>
    <row r="220" spans="1:25" ht="14.2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row>
    <row r="221" spans="1:25" ht="14.2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row>
    <row r="222" spans="1:25" ht="14.2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row>
    <row r="223" spans="1:25" ht="14.2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row>
    <row r="224" spans="1:25" ht="14.2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row>
    <row r="225" spans="1:25" ht="14.2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row>
    <row r="226" spans="1:25" ht="14.2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row>
    <row r="227" spans="1:25" ht="14.2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row>
    <row r="228" spans="1:25" ht="14.2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row>
    <row r="229" spans="1:25" ht="14.2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row>
    <row r="230" spans="1:25" ht="14.2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row>
    <row r="231" spans="1:25" ht="14.2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row>
    <row r="232" spans="1:25" ht="14.2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row>
    <row r="233" spans="1:25" ht="14.2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row>
    <row r="234" spans="1:25" ht="14.2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row>
    <row r="235" spans="1:25" ht="14.2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row>
    <row r="236" spans="1:25" ht="14.2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row>
    <row r="237" spans="1:25" ht="14.2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row>
    <row r="238" spans="1:25" ht="14.2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row>
    <row r="239" spans="1:25" ht="14.2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row>
    <row r="240" spans="1:25" ht="14.2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row>
    <row r="241" spans="1:25" ht="14.2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row>
    <row r="242" spans="1:25" ht="14.2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row>
    <row r="243" spans="1:25" ht="14.2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row>
    <row r="244" spans="1:25" ht="14.2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row>
    <row r="245" spans="1:25" ht="14.2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row>
    <row r="246" spans="1:25" ht="14.2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row>
    <row r="247" spans="1:25" ht="14.2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row>
    <row r="248" spans="1:25" ht="14.2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row>
    <row r="249" spans="1:25" ht="14.2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row>
    <row r="250" spans="1:25" ht="14.2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row>
    <row r="251" spans="1:25" ht="14.2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row>
    <row r="252" spans="1:25" ht="14.2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row>
    <row r="253" spans="1:25" ht="14.2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row>
    <row r="254" spans="1:25" ht="14.2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row>
    <row r="255" spans="1:25" ht="14.2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row>
    <row r="256" spans="1:25" ht="14.2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row>
    <row r="257" spans="1:25" ht="14.2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row>
    <row r="258" spans="1:25" ht="14.2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row>
    <row r="259" spans="1:25" ht="14.2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row>
    <row r="260" spans="1:25" ht="14.2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row>
    <row r="261" spans="1:25" ht="14.2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row>
    <row r="262" spans="1:25" ht="14.2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row>
    <row r="263" spans="1:25" ht="14.2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row>
    <row r="264" spans="1:25" ht="14.2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row>
    <row r="265" spans="1:25" ht="14.2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row>
    <row r="266" spans="1:25" ht="14.2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row>
    <row r="267" spans="1:25" ht="14.2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row>
    <row r="268" spans="1:25" ht="14.2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row>
    <row r="269" spans="1:25" ht="14.2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row>
    <row r="270" spans="1:25" ht="14.2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row>
    <row r="271" spans="1:25" ht="14.2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row>
    <row r="272" spans="1:25" ht="14.2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row>
    <row r="273" spans="1:25" ht="14.2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row>
    <row r="274" spans="1:25" ht="14.2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row>
    <row r="275" spans="1:25" ht="14.2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row>
    <row r="276" spans="1:25" ht="14.2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row>
    <row r="277" spans="1:25" ht="14.2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row>
    <row r="278" spans="1:25" ht="14.2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row>
    <row r="279" spans="1:25" ht="14.2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row>
    <row r="280" spans="1:25" ht="14.2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row>
    <row r="281" spans="1:25" ht="14.2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row>
    <row r="282" spans="1:25" ht="14.2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row>
    <row r="283" spans="1:25" ht="14.2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row>
    <row r="284" spans="1:25" ht="14.2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row>
    <row r="285" spans="1:25" ht="14.2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row>
    <row r="286" spans="1:25" ht="14.2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row>
    <row r="287" spans="1:25" ht="14.2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row>
    <row r="288" spans="1:25" ht="14.2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row>
    <row r="289" spans="1:25" ht="14.2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row>
    <row r="290" spans="1:25" ht="14.2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row>
    <row r="291" spans="1:25" ht="14.2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row>
    <row r="292" spans="1:25" ht="14.2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row>
    <row r="293" spans="1:25" ht="14.2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row>
    <row r="294" spans="1:25" ht="14.2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row>
    <row r="295" spans="1:25" ht="14.2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row>
    <row r="296" spans="1:25" ht="14.2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row>
    <row r="297" spans="1:25" ht="14.2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row>
    <row r="298" spans="1:25" ht="14.2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row>
    <row r="299" spans="1:25" ht="14.2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row>
    <row r="300" spans="1:25" ht="14.2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row>
    <row r="301" spans="1:25" ht="14.2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row>
    <row r="302" spans="1:25" ht="14.2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row>
    <row r="303" spans="1:25" ht="14.2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row>
    <row r="304" spans="1:25" ht="14.2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row>
    <row r="305" spans="1:25" ht="14.2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row>
    <row r="306" spans="1:25" ht="14.2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row>
    <row r="307" spans="1:25" ht="14.2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row>
    <row r="308" spans="1:25" ht="14.2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row>
    <row r="309" spans="1:25" ht="14.2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row>
    <row r="310" spans="1:25" ht="14.2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row>
    <row r="311" spans="1:25" ht="14.2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row>
    <row r="312" spans="1:25" ht="14.2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row>
    <row r="313" spans="1:25" ht="14.2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row>
    <row r="314" spans="1:25" ht="14.2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row>
    <row r="315" spans="1:25" ht="14.2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row>
    <row r="316" spans="1:25" ht="14.2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row>
    <row r="317" spans="1:25" ht="14.2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row>
    <row r="318" spans="1:25" ht="14.2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row>
    <row r="319" spans="1:25" ht="14.2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row>
    <row r="320" spans="1:25" ht="14.2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row>
    <row r="321" spans="1:25" ht="14.2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row>
    <row r="322" spans="1:25" ht="14.2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row>
    <row r="323" spans="1:25" ht="14.2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row>
    <row r="324" spans="1:25" ht="14.2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row>
    <row r="325" spans="1:25" ht="14.2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row>
    <row r="326" spans="1:25" ht="14.2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row>
    <row r="327" spans="1:25" ht="14.2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row>
    <row r="328" spans="1:25" ht="14.2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row>
    <row r="329" spans="1:25" ht="14.2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row>
    <row r="330" spans="1:25" ht="14.2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row>
    <row r="331" spans="1:25" ht="14.2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row>
    <row r="332" spans="1:25" ht="14.2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row>
    <row r="333" spans="1:25" ht="14.2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row>
    <row r="334" spans="1:25" ht="14.2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row>
    <row r="335" spans="1:25" ht="14.2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row>
    <row r="336" spans="1:25" ht="14.2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row>
    <row r="337" spans="1:25" ht="14.2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row>
    <row r="338" spans="1:25" ht="14.2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row>
    <row r="339" spans="1:25" ht="14.2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row>
    <row r="340" spans="1:25" ht="14.2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row>
    <row r="341" spans="1:25" ht="14.2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row>
    <row r="342" spans="1:25" ht="14.2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row>
    <row r="343" spans="1:25" ht="14.2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row>
    <row r="344" spans="1:25" ht="14.2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row>
    <row r="345" spans="1:25" ht="14.2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row>
    <row r="346" spans="1:25" ht="14.2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row>
    <row r="347" spans="1:25" ht="14.2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row>
    <row r="348" spans="1:25" ht="14.2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row>
    <row r="349" spans="1:25" ht="14.2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row>
    <row r="350" spans="1:25" ht="14.2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row>
    <row r="351" spans="1:25" ht="14.2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row>
    <row r="352" spans="1:25" ht="14.2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row>
    <row r="353" spans="1:25" ht="14.2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row>
    <row r="354" spans="1:25" ht="14.2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row>
    <row r="355" spans="1:25" ht="14.2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row>
    <row r="356" spans="1:25" ht="14.2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row>
    <row r="357" spans="1:25" ht="14.2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row>
    <row r="358" spans="1:25" ht="14.2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row>
    <row r="359" spans="1:25" ht="14.2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row>
    <row r="360" spans="1:25" ht="14.2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row>
    <row r="361" spans="1:25" ht="14.2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row>
    <row r="362" spans="1:25" ht="14.2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row>
    <row r="363" spans="1:25" ht="14.2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row>
    <row r="364" spans="1:25" ht="14.2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row>
    <row r="365" spans="1:25" ht="14.2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row>
    <row r="366" spans="1:25" ht="14.2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row>
    <row r="367" spans="1:25" ht="14.2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row>
    <row r="368" spans="1:25" ht="14.2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row>
    <row r="369" spans="1:25" ht="14.2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row>
    <row r="370" spans="1:25" ht="14.2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row>
    <row r="371" spans="1:25" ht="14.2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row>
    <row r="372" spans="1:25" ht="14.2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row>
    <row r="373" spans="1:25" ht="14.2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row>
    <row r="374" spans="1:25" ht="14.2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row>
    <row r="375" spans="1:25" ht="14.2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row>
    <row r="376" spans="1:25" ht="14.2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row>
    <row r="377" spans="1:25" ht="14.2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row>
    <row r="378" spans="1:25" ht="14.2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row>
    <row r="379" spans="1:25" ht="14.2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row>
    <row r="380" spans="1:25" ht="14.2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row>
    <row r="381" spans="1:25" ht="14.2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row>
    <row r="382" spans="1:25" ht="14.2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row>
    <row r="383" spans="1:25" ht="14.2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row>
    <row r="384" spans="1:25" ht="14.2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row>
    <row r="385" spans="1:25" ht="14.2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row>
    <row r="386" spans="1:25" ht="14.2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row>
    <row r="387" spans="1:25" ht="14.2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row>
    <row r="388" spans="1:25" ht="14.2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row>
    <row r="389" spans="1:25" ht="14.2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row>
    <row r="390" spans="1:25" ht="14.2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row>
    <row r="391" spans="1:25" ht="14.2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row>
    <row r="392" spans="1:25" ht="14.2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row>
    <row r="393" spans="1:25" ht="14.2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row>
    <row r="394" spans="1:25" ht="14.2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row>
    <row r="395" spans="1:25" ht="14.2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row>
    <row r="396" spans="1:25" ht="14.2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row>
    <row r="397" spans="1:25" ht="14.2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row>
    <row r="398" spans="1:25" ht="14.2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row>
    <row r="399" spans="1:25" ht="14.2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row>
    <row r="400" spans="1:25" ht="14.2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row>
    <row r="401" spans="1:25" ht="14.2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row>
    <row r="402" spans="1:25" ht="14.2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row>
    <row r="403" spans="1:25" ht="14.2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row>
    <row r="404" spans="1:25" ht="14.2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row>
    <row r="405" spans="1:25" ht="14.2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row>
    <row r="406" spans="1:25" ht="14.2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row>
    <row r="407" spans="1:25" ht="14.2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row>
    <row r="408" spans="1:25" ht="14.2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row>
    <row r="409" spans="1:25" ht="14.2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row>
    <row r="410" spans="1:25" ht="14.2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row>
    <row r="411" spans="1:25" ht="14.2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row>
    <row r="412" spans="1:25" ht="14.2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row>
    <row r="413" spans="1:25" ht="14.2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row>
    <row r="414" spans="1:25" ht="14.2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row>
    <row r="415" spans="1:25" ht="14.2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row>
    <row r="416" spans="1:25" ht="14.2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row>
    <row r="417" spans="1:25" ht="14.2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row>
    <row r="418" spans="1:25" ht="14.2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row>
    <row r="419" spans="1:25" ht="14.2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row>
    <row r="420" spans="1:25" ht="14.2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row>
    <row r="421" spans="1:25" ht="14.2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row>
    <row r="422" spans="1:25" ht="14.2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row>
    <row r="423" spans="1:25" ht="14.2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row>
    <row r="424" spans="1:25" ht="14.2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row>
    <row r="425" spans="1:25" ht="14.2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row>
    <row r="426" spans="1:25" ht="14.2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row>
    <row r="427" spans="1:25" ht="14.2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row>
    <row r="428" spans="1:25" ht="14.2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row>
    <row r="429" spans="1:25" ht="14.2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row>
    <row r="430" spans="1:25" ht="14.2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row>
    <row r="431" spans="1:25" ht="14.2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row>
    <row r="432" spans="1:25" ht="14.2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row>
    <row r="433" spans="1:25" ht="14.2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row>
    <row r="434" spans="1:25" ht="14.2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row>
    <row r="435" spans="1:25" ht="14.2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row>
    <row r="436" spans="1:25" ht="14.2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row>
    <row r="437" spans="1:25" ht="14.2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row>
    <row r="438" spans="1:25" ht="14.2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row>
    <row r="439" spans="1:25" ht="14.2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row>
    <row r="440" spans="1:25" ht="14.2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row>
    <row r="441" spans="1:25" ht="14.2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row>
    <row r="442" spans="1:25" ht="14.2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row>
    <row r="443" spans="1:25" ht="14.2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row>
    <row r="444" spans="1:25" ht="14.2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row>
    <row r="445" spans="1:25" ht="14.2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row>
    <row r="446" spans="1:25" ht="14.2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row>
    <row r="447" spans="1:25" ht="14.2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row>
    <row r="448" spans="1:25" ht="14.2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row>
    <row r="449" spans="1:25" ht="14.2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row>
    <row r="450" spans="1:25" ht="14.2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row>
    <row r="451" spans="1:25" ht="14.2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row>
    <row r="452" spans="1:25" ht="14.2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row>
    <row r="453" spans="1:25" ht="14.2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row>
    <row r="454" spans="1:25" ht="14.2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row>
    <row r="455" spans="1:25" ht="14.2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row>
    <row r="456" spans="1:25" ht="14.2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row>
    <row r="457" spans="1:25" ht="14.2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row>
    <row r="458" spans="1:25" ht="14.2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row>
    <row r="459" spans="1:25" ht="14.2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row>
    <row r="460" spans="1:25" ht="14.2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row>
    <row r="461" spans="1:25" ht="14.2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row>
    <row r="462" spans="1:25" ht="14.2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row>
    <row r="463" spans="1:25" ht="14.2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row>
    <row r="464" spans="1:25" ht="14.2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row>
    <row r="465" spans="1:25" ht="14.2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row>
    <row r="466" spans="1:25" ht="14.2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row>
    <row r="467" spans="1:25" ht="14.2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row>
    <row r="468" spans="1:25" ht="14.2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row>
    <row r="469" spans="1:25" ht="14.2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row>
    <row r="470" spans="1:25" ht="14.2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row>
    <row r="471" spans="1:25" ht="14.2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row>
    <row r="472" spans="1:25" ht="14.2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row>
    <row r="473" spans="1:25" ht="14.2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row>
    <row r="474" spans="1:25" ht="14.2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row>
    <row r="475" spans="1:25" ht="14.2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row>
    <row r="476" spans="1:25" ht="14.2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row>
    <row r="477" spans="1:25" ht="14.2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row>
    <row r="478" spans="1:25" ht="14.2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row>
    <row r="479" spans="1:25" ht="14.2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row>
    <row r="480" spans="1:25" ht="14.2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row>
    <row r="481" spans="1:25" ht="14.2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row>
    <row r="482" spans="1:25" ht="14.2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row>
    <row r="483" spans="1:25" ht="14.2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row>
    <row r="484" spans="1:25" ht="14.2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row>
    <row r="485" spans="1:25" ht="14.2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row>
    <row r="486" spans="1:25" ht="14.2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row>
    <row r="487" spans="1:25" ht="14.2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row>
    <row r="488" spans="1:25" ht="14.2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row>
    <row r="489" spans="1:25" ht="14.2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row>
    <row r="490" spans="1:25" ht="14.2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row>
    <row r="491" spans="1:25" ht="14.2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row>
    <row r="492" spans="1:25" ht="14.2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row>
    <row r="493" spans="1:25" ht="14.2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row>
    <row r="494" spans="1:25" ht="14.2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row>
    <row r="495" spans="1:25" ht="14.2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row>
    <row r="496" spans="1:25" ht="14.2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row>
    <row r="497" spans="1:25" ht="14.2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row>
    <row r="498" spans="1:25" ht="14.2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row>
    <row r="499" spans="1:25" ht="14.2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row>
    <row r="500" spans="1:25" ht="14.2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row>
    <row r="501" spans="1:25" ht="14.2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row>
    <row r="502" spans="1:25" ht="14.2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row>
    <row r="503" spans="1:25" ht="14.2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row>
    <row r="504" spans="1:25" ht="14.2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row>
    <row r="505" spans="1:25" ht="14.2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row>
    <row r="506" spans="1:25" ht="14.2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row>
    <row r="507" spans="1:25" ht="14.2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row>
    <row r="508" spans="1:25" ht="14.2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row>
    <row r="509" spans="1:25" ht="14.2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row>
    <row r="510" spans="1:25" ht="14.2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row>
    <row r="511" spans="1:25" ht="14.2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row>
    <row r="512" spans="1:25" ht="14.2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row>
    <row r="513" spans="1:25" ht="14.2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row>
    <row r="514" spans="1:25" ht="14.2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row>
    <row r="515" spans="1:25" ht="14.2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row>
    <row r="516" spans="1:25" ht="14.2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row>
    <row r="517" spans="1:25" ht="14.2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row>
    <row r="518" spans="1:25" ht="14.2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row>
    <row r="519" spans="1:25" ht="14.2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row>
    <row r="520" spans="1:25" ht="14.2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row>
    <row r="521" spans="1:25" ht="14.2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row>
    <row r="522" spans="1:25" ht="14.2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row>
    <row r="523" spans="1:25" ht="14.2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row>
    <row r="524" spans="1:25" ht="14.2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row>
    <row r="525" spans="1:25" ht="14.2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row>
    <row r="526" spans="1:25" ht="14.2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row>
    <row r="527" spans="1:25" ht="14.2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row>
    <row r="528" spans="1:25" ht="14.2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row>
    <row r="529" spans="1:25" ht="14.2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row>
    <row r="530" spans="1:25" ht="14.2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row>
    <row r="531" spans="1:25" ht="14.2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row>
    <row r="532" spans="1:25" ht="14.2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row>
    <row r="533" spans="1:25" ht="14.2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row>
    <row r="534" spans="1:25" ht="14.2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row>
    <row r="535" spans="1:25" ht="14.2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row>
    <row r="536" spans="1:25" ht="14.2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row>
    <row r="537" spans="1:25" ht="14.2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row>
    <row r="538" spans="1:25" ht="14.2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row>
    <row r="539" spans="1:25" ht="14.2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row>
    <row r="540" spans="1:25" ht="14.2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row>
    <row r="541" spans="1:25" ht="14.2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row>
    <row r="542" spans="1:25" ht="14.2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row>
    <row r="543" spans="1:25" ht="14.2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row>
    <row r="544" spans="1:25" ht="14.2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row>
    <row r="545" spans="1:25" ht="14.2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row>
    <row r="546" spans="1:25" ht="14.2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row>
    <row r="547" spans="1:25" ht="14.2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row>
    <row r="548" spans="1:25" ht="14.2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row>
    <row r="549" spans="1:25" ht="14.2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row>
    <row r="550" spans="1:25" ht="14.2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row>
    <row r="551" spans="1:25" ht="14.2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row>
    <row r="552" spans="1:25" ht="14.2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row>
    <row r="553" spans="1:25" ht="14.2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row>
    <row r="554" spans="1:25" ht="14.2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row>
    <row r="555" spans="1:25" ht="14.2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row>
    <row r="556" spans="1:25" ht="14.2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row>
    <row r="557" spans="1:25" ht="14.2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row>
    <row r="558" spans="1:25" ht="14.2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row>
    <row r="559" spans="1:25" ht="14.2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row>
    <row r="560" spans="1:25" ht="14.2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row>
    <row r="561" spans="1:25" ht="14.2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row>
    <row r="562" spans="1:25" ht="14.2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row>
    <row r="563" spans="1:25" ht="14.2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row>
    <row r="564" spans="1:25" ht="14.2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row>
    <row r="565" spans="1:25" ht="14.2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row>
    <row r="566" spans="1:25" ht="14.2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row>
    <row r="567" spans="1:25" ht="14.2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row>
    <row r="568" spans="1:25" ht="14.2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row>
    <row r="569" spans="1:25" ht="14.2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row>
    <row r="570" spans="1:25" ht="14.2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row>
    <row r="571" spans="1:25" ht="14.2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row>
    <row r="572" spans="1:25" ht="14.2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row>
    <row r="573" spans="1:25" ht="14.2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row>
    <row r="574" spans="1:25" ht="14.2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row>
    <row r="575" spans="1:25" ht="14.2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row>
    <row r="576" spans="1:25" ht="14.2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row>
    <row r="577" spans="1:25" ht="14.2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row>
    <row r="578" spans="1:25" ht="14.2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row>
    <row r="579" spans="1:25" ht="14.2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row>
    <row r="580" spans="1:25" ht="14.2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row>
    <row r="581" spans="1:25" ht="14.2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row>
    <row r="582" spans="1:25" ht="14.2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row>
    <row r="583" spans="1:25" ht="14.2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row>
    <row r="584" spans="1:25" ht="14.2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row>
    <row r="585" spans="1:25" ht="14.2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row>
    <row r="586" spans="1:25" ht="14.2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row>
    <row r="587" spans="1:25" ht="14.2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row>
    <row r="588" spans="1:25" ht="14.2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row>
    <row r="589" spans="1:25" ht="14.2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row>
    <row r="590" spans="1:25" ht="14.2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row>
    <row r="591" spans="1:25" ht="14.2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row>
    <row r="592" spans="1:25" ht="14.2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row>
    <row r="593" spans="1:25" ht="14.2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row>
    <row r="594" spans="1:25" ht="14.2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row>
    <row r="595" spans="1:25" ht="14.2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row>
    <row r="596" spans="1:25" ht="14.2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row>
    <row r="597" spans="1:25" ht="14.2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row>
    <row r="598" spans="1:25" ht="14.2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row>
    <row r="599" spans="1:25" ht="14.2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row>
    <row r="600" spans="1:25" ht="14.2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row>
    <row r="601" spans="1:25" ht="14.2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row>
    <row r="602" spans="1:25" ht="14.2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row>
    <row r="603" spans="1:25" ht="14.2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row>
    <row r="604" spans="1:25" ht="14.2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row>
    <row r="605" spans="1:25" ht="14.2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row>
    <row r="606" spans="1:25" ht="14.2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row>
    <row r="607" spans="1:25" ht="14.2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row>
    <row r="608" spans="1:25" ht="14.2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row>
    <row r="609" spans="1:25" ht="14.2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row>
    <row r="610" spans="1:25" ht="14.2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row>
    <row r="611" spans="1:25" ht="14.2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row>
    <row r="612" spans="1:25" ht="14.2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row>
    <row r="613" spans="1:25" ht="14.2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row>
    <row r="614" spans="1:25" ht="14.2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row>
    <row r="615" spans="1:25" ht="14.2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row>
    <row r="616" spans="1:25" ht="14.2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row>
    <row r="617" spans="1:25" ht="14.2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row>
    <row r="618" spans="1:25" ht="14.2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row>
    <row r="619" spans="1:25" ht="14.2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row>
    <row r="620" spans="1:25" ht="14.2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row>
    <row r="621" spans="1:25" ht="14.2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row>
    <row r="622" spans="1:25" ht="14.2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row>
    <row r="623" spans="1:25" ht="14.2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row>
    <row r="624" spans="1:25" ht="14.2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row>
    <row r="625" spans="1:25" ht="14.2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row>
    <row r="626" spans="1:25" ht="14.2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row>
    <row r="627" spans="1:25" ht="14.2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row>
    <row r="628" spans="1:25" ht="14.2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row>
    <row r="629" spans="1:25" ht="14.2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row>
    <row r="630" spans="1:25" ht="14.2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row>
    <row r="631" spans="1:25" ht="14.2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row>
    <row r="632" spans="1:25" ht="14.2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row>
    <row r="633" spans="1:25" ht="14.2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row>
    <row r="634" spans="1:25" ht="14.2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row>
    <row r="635" spans="1:25" ht="14.2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row>
    <row r="636" spans="1:25" ht="14.2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row>
    <row r="637" spans="1:25" ht="14.2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row>
    <row r="638" spans="1:25" ht="14.2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row>
    <row r="639" spans="1:25" ht="14.2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row>
    <row r="640" spans="1:25" ht="14.2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row>
    <row r="641" spans="1:25" ht="14.2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row>
    <row r="642" spans="1:25" ht="14.2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row>
    <row r="643" spans="1:25" ht="14.2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row>
    <row r="644" spans="1:25" ht="14.2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row>
    <row r="645" spans="1:25" ht="14.2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row>
    <row r="646" spans="1:25" ht="14.2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row>
    <row r="647" spans="1:25" ht="14.2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row>
    <row r="648" spans="1:25" ht="14.2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row>
    <row r="649" spans="1:25" ht="14.2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row>
    <row r="650" spans="1:25" ht="14.2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row>
    <row r="651" spans="1:25" ht="14.2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row>
    <row r="652" spans="1:25" ht="14.2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row>
    <row r="653" spans="1:25" ht="14.2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row>
    <row r="654" spans="1:25" ht="14.2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row>
    <row r="655" spans="1:25" ht="14.2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row>
    <row r="656" spans="1:25" ht="14.2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row>
    <row r="657" spans="1:25" ht="14.2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row>
    <row r="658" spans="1:25" ht="14.2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row>
    <row r="659" spans="1:25" ht="14.2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row>
    <row r="660" spans="1:25" ht="14.2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row>
    <row r="661" spans="1:25" ht="14.2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row>
    <row r="662" spans="1:25" ht="14.2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row>
    <row r="663" spans="1:25" ht="14.2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row>
    <row r="664" spans="1:25" ht="14.2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row>
    <row r="665" spans="1:25" ht="14.2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row>
    <row r="666" spans="1:25" ht="14.2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row>
    <row r="667" spans="1:25" ht="14.2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row>
    <row r="668" spans="1:25" ht="14.2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row>
    <row r="669" spans="1:25" ht="14.2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row>
    <row r="670" spans="1:25" ht="14.2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row>
    <row r="671" spans="1:25" ht="14.2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row>
    <row r="672" spans="1:25" ht="14.2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row>
    <row r="673" spans="1:25" ht="14.2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row>
    <row r="674" spans="1:25" ht="14.2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row>
    <row r="675" spans="1:25" ht="14.2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row>
    <row r="676" spans="1:25" ht="14.2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row>
    <row r="677" spans="1:25" ht="14.2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row>
    <row r="678" spans="1:25" ht="14.2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row>
    <row r="679" spans="1:25" ht="14.2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row>
    <row r="680" spans="1:25" ht="14.2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row>
    <row r="681" spans="1:25" ht="14.2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row>
    <row r="682" spans="1:25" ht="14.2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row>
    <row r="683" spans="1:25" ht="14.2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row>
    <row r="684" spans="1:25" ht="14.2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row>
    <row r="685" spans="1:25" ht="14.2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row>
    <row r="686" spans="1:25" ht="14.2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row>
    <row r="687" spans="1:25" ht="14.2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row>
    <row r="688" spans="1:25" ht="14.2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row>
    <row r="689" spans="1:25" ht="14.2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row>
    <row r="690" spans="1:25" ht="14.2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row>
    <row r="691" spans="1:25" ht="14.2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row>
    <row r="692" spans="1:25" ht="14.2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row>
    <row r="693" spans="1:25" ht="14.2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row>
    <row r="694" spans="1:25" ht="14.2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row>
    <row r="695" spans="1:25" ht="14.2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row>
    <row r="696" spans="1:25" ht="14.2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row>
    <row r="697" spans="1:25" ht="14.2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row>
    <row r="698" spans="1:25" ht="14.2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row>
    <row r="699" spans="1:25" ht="14.2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row>
    <row r="700" spans="1:25" ht="14.2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row>
    <row r="701" spans="1:25" ht="14.2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row>
    <row r="702" spans="1:25" ht="14.2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row>
    <row r="703" spans="1:25" ht="14.2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row>
    <row r="704" spans="1:25" ht="14.2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row>
    <row r="705" spans="1:25" ht="14.2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row>
    <row r="706" spans="1:25" ht="14.2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row>
    <row r="707" spans="1:25" ht="14.2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row>
    <row r="708" spans="1:25" ht="14.2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row>
    <row r="709" spans="1:25" ht="14.2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row>
    <row r="710" spans="1:25" ht="14.2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row>
    <row r="711" spans="1:25" ht="14.2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row>
    <row r="712" spans="1:25" ht="14.2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row>
    <row r="713" spans="1:25" ht="14.2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row>
    <row r="714" spans="1:25" ht="14.2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row>
    <row r="715" spans="1:25" ht="14.2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row>
    <row r="716" spans="1:25" ht="14.2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row>
    <row r="717" spans="1:25" ht="14.2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row>
    <row r="718" spans="1:25" ht="14.2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row>
    <row r="719" spans="1:25" ht="14.2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row>
    <row r="720" spans="1:25" ht="14.2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row>
    <row r="721" spans="1:25" ht="14.2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row>
    <row r="722" spans="1:25" ht="14.2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row>
    <row r="723" spans="1:25" ht="14.2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row>
    <row r="724" spans="1:25" ht="14.2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row>
    <row r="725" spans="1:25" ht="14.2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row>
    <row r="726" spans="1:25" ht="14.2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row>
    <row r="727" spans="1:25" ht="14.2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row>
    <row r="728" spans="1:25" ht="14.2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row>
    <row r="729" spans="1:25" ht="14.2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row>
    <row r="730" spans="1:25" ht="14.2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row>
    <row r="731" spans="1:25" ht="14.2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row>
    <row r="732" spans="1:25" ht="14.2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row>
    <row r="733" spans="1:25" ht="14.2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row>
    <row r="734" spans="1:25" ht="14.2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row>
    <row r="735" spans="1:25" ht="14.2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row>
    <row r="736" spans="1:25" ht="14.2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row>
    <row r="737" spans="1:25" ht="14.2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row>
    <row r="738" spans="1:25" ht="14.2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row>
    <row r="739" spans="1:25" ht="14.2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row>
    <row r="740" spans="1:25" ht="14.2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row>
    <row r="741" spans="1:25" ht="14.2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row>
    <row r="742" spans="1:25" ht="14.2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row>
    <row r="743" spans="1:25" ht="14.2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row>
    <row r="744" spans="1:25" ht="14.2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row>
    <row r="745" spans="1:25" ht="14.2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row>
    <row r="746" spans="1:25" ht="14.2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row>
    <row r="747" spans="1:25" ht="14.2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row>
    <row r="748" spans="1:25" ht="14.2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row>
    <row r="749" spans="1:25" ht="14.2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row>
    <row r="750" spans="1:25" ht="14.2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row>
    <row r="751" spans="1:25" ht="14.2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row>
    <row r="752" spans="1:25" ht="14.2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row>
    <row r="753" spans="1:25" ht="14.2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row>
    <row r="754" spans="1:25" ht="14.2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row>
    <row r="755" spans="1:25" ht="14.2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row>
    <row r="756" spans="1:25" ht="14.2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row>
    <row r="757" spans="1:25" ht="14.2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row>
    <row r="758" spans="1:25" ht="14.2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row>
    <row r="759" spans="1:25" ht="14.2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row>
    <row r="760" spans="1:25" ht="14.2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row>
    <row r="761" spans="1:25" ht="14.2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row>
    <row r="762" spans="1:25" ht="14.2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row>
    <row r="763" spans="1:25" ht="14.2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row>
    <row r="764" spans="1:25" ht="14.2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row>
    <row r="765" spans="1:25" ht="14.2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row>
    <row r="766" spans="1:25" ht="14.2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row>
    <row r="767" spans="1:25" ht="14.2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row>
    <row r="768" spans="1:25" ht="14.2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row>
    <row r="769" spans="1:25" ht="14.2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row>
    <row r="770" spans="1:25" ht="14.2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row>
    <row r="771" spans="1:25" ht="14.2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row>
    <row r="772" spans="1:25" ht="14.2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row>
    <row r="773" spans="1:25" ht="14.2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row>
    <row r="774" spans="1:25" ht="14.2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row>
    <row r="775" spans="1:25" ht="14.2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row>
    <row r="776" spans="1:25" ht="14.2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row>
    <row r="777" spans="1:25" ht="14.2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row>
    <row r="778" spans="1:25" ht="14.2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row>
    <row r="779" spans="1:25" ht="14.2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row>
    <row r="780" spans="1:25" ht="14.2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row>
    <row r="781" spans="1:25" ht="14.2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row>
    <row r="782" spans="1:25" ht="14.2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row>
    <row r="783" spans="1:25" ht="14.2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row>
    <row r="784" spans="1:25" ht="14.2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row>
    <row r="785" spans="1:25" ht="14.2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row>
    <row r="786" spans="1:25" ht="14.2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row>
    <row r="787" spans="1:25" ht="14.2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row>
    <row r="788" spans="1:25" ht="14.2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row>
    <row r="789" spans="1:25" ht="14.2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row>
    <row r="790" spans="1:25" ht="14.2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row>
    <row r="791" spans="1:25" ht="14.2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row>
    <row r="792" spans="1:25" ht="14.2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row>
    <row r="793" spans="1:25" ht="14.2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row>
    <row r="794" spans="1:25" ht="14.2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row>
    <row r="795" spans="1:25" ht="14.2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row>
    <row r="796" spans="1:25" ht="14.2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row>
    <row r="797" spans="1:25" ht="14.2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row>
    <row r="798" spans="1:25" ht="14.2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row>
    <row r="799" spans="1:25" ht="14.2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row>
    <row r="800" spans="1:25" ht="14.2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row>
    <row r="801" spans="1:25" ht="14.2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row>
    <row r="802" spans="1:25" ht="14.2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row>
    <row r="803" spans="1:25" ht="14.2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row>
    <row r="804" spans="1:25" ht="14.2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row>
    <row r="805" spans="1:25" ht="14.2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row>
    <row r="806" spans="1:25" ht="14.2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row>
    <row r="807" spans="1:25" ht="14.2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row>
    <row r="808" spans="1:25" ht="14.2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row>
    <row r="809" spans="1:25" ht="14.2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row>
    <row r="810" spans="1:25" ht="14.2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row>
    <row r="811" spans="1:25" ht="14.2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row>
    <row r="812" spans="1:25" ht="14.2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row>
    <row r="813" spans="1:25" ht="14.2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row>
    <row r="814" spans="1:25" ht="14.2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row>
    <row r="815" spans="1:25" ht="14.2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row>
    <row r="816" spans="1:25" ht="14.2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row>
    <row r="817" spans="1:25" ht="14.2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row>
    <row r="818" spans="1:25" ht="14.2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row>
    <row r="819" spans="1:25" ht="14.2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row>
    <row r="820" spans="1:25" ht="14.2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row>
    <row r="821" spans="1:25" ht="14.2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row>
    <row r="822" spans="1:25" ht="14.2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row>
    <row r="823" spans="1:25" ht="14.2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row>
    <row r="824" spans="1:25" ht="14.2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row>
    <row r="825" spans="1:25" ht="14.2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row>
    <row r="826" spans="1:25" ht="14.2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row>
    <row r="827" spans="1:25" ht="14.2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row>
    <row r="828" spans="1:25" ht="14.2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row>
    <row r="829" spans="1:25" ht="14.2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row>
    <row r="830" spans="1:25" ht="14.2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row>
    <row r="831" spans="1:25" ht="14.2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row>
    <row r="832" spans="1:25" ht="14.2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row>
    <row r="833" spans="1:25" ht="14.2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row>
    <row r="834" spans="1:25" ht="14.2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row>
    <row r="835" spans="1:25" ht="14.2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row>
    <row r="836" spans="1:25" ht="14.2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row>
    <row r="837" spans="1:25" ht="14.2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row>
    <row r="838" spans="1:25" ht="14.2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row>
    <row r="839" spans="1:25" ht="14.2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row>
    <row r="840" spans="1:25" ht="14.2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row>
    <row r="841" spans="1:25" ht="14.2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row>
    <row r="842" spans="1:25" ht="14.2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row>
    <row r="843" spans="1:25" ht="14.2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row>
    <row r="844" spans="1:25" ht="14.2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row>
    <row r="845" spans="1:25" ht="14.2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row>
    <row r="846" spans="1:25" ht="14.2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row>
    <row r="847" spans="1:25" ht="14.2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row>
    <row r="848" spans="1:25" ht="14.2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row>
    <row r="849" spans="1:25" ht="14.2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row>
    <row r="850" spans="1:25" ht="14.2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row>
    <row r="851" spans="1:25" ht="14.2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row>
    <row r="852" spans="1:25" ht="14.2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row>
    <row r="853" spans="1:25" ht="14.2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row>
    <row r="854" spans="1:25" ht="14.2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row>
    <row r="855" spans="1:25" ht="14.2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row>
    <row r="856" spans="1:25" ht="14.2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row>
    <row r="857" spans="1:25" ht="14.2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row>
    <row r="858" spans="1:25" ht="14.2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row>
    <row r="859" spans="1:25" ht="14.2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row>
    <row r="860" spans="1:25" ht="14.2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row>
    <row r="861" spans="1:25" ht="14.2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row>
    <row r="862" spans="1:25" ht="14.2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row>
    <row r="863" spans="1:25" ht="14.2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row>
    <row r="864" spans="1:25" ht="14.2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row>
    <row r="865" spans="1:25" ht="14.2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row>
    <row r="866" spans="1:25" ht="14.2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row>
    <row r="867" spans="1:25" ht="14.2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row>
    <row r="868" spans="1:25" ht="14.2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row>
    <row r="869" spans="1:25" ht="14.2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row>
    <row r="870" spans="1:25" ht="14.2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row>
    <row r="871" spans="1:25" ht="14.2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row>
    <row r="872" spans="1:25" ht="14.2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row>
    <row r="873" spans="1:25" ht="14.2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row>
    <row r="874" spans="1:25" ht="14.2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row>
    <row r="875" spans="1:25" ht="14.2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row>
    <row r="876" spans="1:25" ht="14.2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row>
    <row r="877" spans="1:25" ht="14.2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row>
    <row r="878" spans="1:25" ht="14.2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row>
    <row r="879" spans="1:25" ht="14.2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row>
    <row r="880" spans="1:25" ht="14.2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row>
    <row r="881" spans="1:25" ht="14.2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row>
    <row r="882" spans="1:25" ht="14.2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row>
    <row r="883" spans="1:25" ht="14.2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row>
    <row r="884" spans="1:25" ht="14.2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row>
    <row r="885" spans="1:25" ht="14.2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row>
    <row r="886" spans="1:25" ht="14.2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row>
    <row r="887" spans="1:25" ht="14.2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row>
    <row r="888" spans="1:25" ht="14.2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row>
    <row r="889" spans="1:25" ht="14.2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row>
    <row r="890" spans="1:25" ht="14.2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row>
    <row r="891" spans="1:25" ht="14.2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row>
    <row r="892" spans="1:25" ht="14.2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row>
    <row r="893" spans="1:25" ht="14.2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row>
    <row r="894" spans="1:25" ht="14.2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row>
    <row r="895" spans="1:25" ht="14.2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row>
    <row r="896" spans="1:25" ht="14.2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row>
    <row r="897" spans="1:25" ht="14.2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row>
    <row r="898" spans="1:25" ht="14.2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row>
    <row r="899" spans="1:25" ht="14.2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row>
    <row r="900" spans="1:25" ht="14.2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row>
    <row r="901" spans="1:25" ht="14.2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row>
    <row r="902" spans="1:25" ht="14.2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row>
    <row r="903" spans="1:25" ht="14.2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row>
    <row r="904" spans="1:25" ht="14.2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row>
    <row r="905" spans="1:25" ht="14.2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row>
    <row r="906" spans="1:25" ht="14.2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row>
    <row r="907" spans="1:25" ht="14.2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row>
    <row r="908" spans="1:25" ht="14.2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row>
    <row r="909" spans="1:25" ht="14.2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row>
    <row r="910" spans="1:25" ht="14.2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row>
    <row r="911" spans="1:25" ht="14.2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row>
    <row r="912" spans="1:25" ht="14.2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row>
    <row r="913" spans="1:25" ht="14.2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row>
    <row r="914" spans="1:25" ht="14.2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row>
    <row r="915" spans="1:25" ht="14.2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row>
    <row r="916" spans="1:25" ht="14.2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row>
    <row r="917" spans="1:25" ht="14.2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row>
    <row r="918" spans="1:25" ht="14.2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row>
    <row r="919" spans="1:25" ht="14.2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row>
    <row r="920" spans="1:25" ht="14.2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row>
    <row r="921" spans="1:25" ht="14.2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row>
    <row r="922" spans="1:25" ht="14.2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row>
    <row r="923" spans="1:25" ht="14.2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row>
    <row r="924" spans="1:25" ht="14.2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row>
    <row r="925" spans="1:25" ht="14.2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row>
    <row r="926" spans="1:25" ht="14.2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row>
    <row r="927" spans="1:25" ht="14.2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row>
    <row r="928" spans="1:25" ht="14.2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row>
    <row r="929" spans="1:25" ht="14.2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row>
    <row r="930" spans="1:25" ht="14.2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row>
    <row r="931" spans="1:25" ht="14.2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row>
    <row r="932" spans="1:25" ht="14.2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row>
    <row r="933" spans="1:25" ht="14.2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row>
    <row r="934" spans="1:25" ht="14.2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row>
    <row r="935" spans="1:25" ht="14.2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row>
    <row r="936" spans="1:25" ht="14.2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row>
    <row r="937" spans="1:25" ht="14.2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row>
    <row r="938" spans="1:25" ht="14.2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row>
    <row r="939" spans="1:25" ht="14.2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row>
    <row r="940" spans="1:25" ht="14.2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row>
    <row r="941" spans="1:25" ht="14.2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row>
    <row r="942" spans="1:25" ht="14.2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row>
    <row r="943" spans="1:25" ht="14.2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row>
    <row r="944" spans="1:25" ht="14.2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row>
    <row r="945" spans="1:25" ht="14.2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row>
    <row r="946" spans="1:25" ht="14.2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row>
    <row r="947" spans="1:25" ht="14.2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row>
    <row r="948" spans="1:25" ht="14.2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row>
    <row r="949" spans="1:25" ht="14.2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row>
    <row r="950" spans="1:25" ht="14.2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row>
    <row r="951" spans="1:25" ht="14.2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row>
    <row r="952" spans="1:25" ht="14.2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row>
    <row r="953" spans="1:25" ht="14.2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row>
    <row r="954" spans="1:25" ht="14.2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row>
    <row r="955" spans="1:25" ht="14.2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row>
    <row r="956" spans="1:25" ht="14.2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row>
    <row r="957" spans="1:25" ht="14.2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row>
    <row r="958" spans="1:25" ht="14.2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row>
    <row r="959" spans="1:25" ht="14.2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row>
    <row r="960" spans="1:25" ht="14.2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row>
    <row r="961" spans="1:25" ht="14.2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row>
    <row r="962" spans="1:25" ht="14.2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row>
    <row r="963" spans="1:25" ht="14.2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row>
    <row r="964" spans="1:25" ht="14.2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row>
    <row r="965" spans="1:25" ht="14.2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row>
    <row r="966" spans="1:25" ht="14.2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row>
    <row r="967" spans="1:25" ht="14.2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row>
    <row r="968" spans="1:25" ht="14.2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row>
    <row r="969" spans="1:25" ht="14.2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row>
    <row r="970" spans="1:25" ht="14.2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row>
    <row r="971" spans="1:25" ht="14.2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row>
    <row r="972" spans="1:25" ht="14.2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row>
    <row r="973" spans="1:25" ht="14.2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row>
    <row r="974" spans="1:25" ht="14.2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row>
    <row r="975" spans="1:25" ht="14.2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row>
    <row r="976" spans="1:25" ht="14.2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row>
    <row r="977" spans="1:25" ht="14.2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row>
    <row r="978" spans="1:25" ht="14.2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row>
    <row r="979" spans="1:25" ht="14.2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row>
    <row r="980" spans="1:25" ht="14.2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row>
    <row r="981" spans="1:25" ht="14.25" customHeight="1">
      <c r="A981" s="85"/>
      <c r="J981" s="85"/>
      <c r="K981" s="85"/>
      <c r="L981" s="85"/>
      <c r="M981" s="85"/>
      <c r="N981" s="85"/>
      <c r="O981" s="85"/>
      <c r="P981" s="85"/>
      <c r="Q981" s="85"/>
      <c r="R981" s="85"/>
      <c r="S981" s="85"/>
      <c r="T981" s="85"/>
      <c r="U981" s="85"/>
      <c r="V981" s="85"/>
      <c r="W981" s="85"/>
      <c r="X981" s="85"/>
      <c r="Y981" s="85"/>
    </row>
    <row r="982" spans="1:25" ht="14.25" customHeight="1">
      <c r="A982" s="85"/>
      <c r="J982" s="85"/>
      <c r="K982" s="85"/>
      <c r="L982" s="85"/>
      <c r="M982" s="85"/>
      <c r="N982" s="85"/>
      <c r="O982" s="85"/>
      <c r="P982" s="85"/>
      <c r="Q982" s="85"/>
      <c r="R982" s="85"/>
      <c r="S982" s="85"/>
      <c r="T982" s="85"/>
      <c r="U982" s="85"/>
      <c r="V982" s="85"/>
      <c r="W982" s="85"/>
      <c r="X982" s="85"/>
      <c r="Y982" s="85"/>
    </row>
    <row r="983" spans="1:25" ht="14.25" customHeight="1">
      <c r="A983" s="85"/>
      <c r="J983" s="85"/>
      <c r="K983" s="85"/>
      <c r="L983" s="85"/>
      <c r="M983" s="85"/>
      <c r="N983" s="85"/>
      <c r="O983" s="85"/>
      <c r="P983" s="85"/>
      <c r="Q983" s="85"/>
      <c r="R983" s="85"/>
      <c r="S983" s="85"/>
      <c r="T983" s="85"/>
      <c r="U983" s="85"/>
      <c r="V983" s="85"/>
      <c r="W983" s="85"/>
      <c r="X983" s="85"/>
      <c r="Y983" s="85"/>
    </row>
    <row r="984" spans="1:25" ht="14.25" customHeight="1">
      <c r="A984" s="85"/>
      <c r="J984" s="85"/>
      <c r="K984" s="85"/>
      <c r="L984" s="85"/>
      <c r="M984" s="85"/>
      <c r="N984" s="85"/>
      <c r="O984" s="85"/>
      <c r="P984" s="85"/>
      <c r="Q984" s="85"/>
      <c r="R984" s="85"/>
      <c r="S984" s="85"/>
      <c r="T984" s="85"/>
      <c r="U984" s="85"/>
      <c r="V984" s="85"/>
      <c r="W984" s="85"/>
      <c r="X984" s="85"/>
      <c r="Y984" s="85"/>
    </row>
    <row r="985" spans="1:25" ht="14.25" customHeight="1">
      <c r="A985" s="85"/>
      <c r="J985" s="85"/>
      <c r="K985" s="85"/>
      <c r="L985" s="85"/>
      <c r="M985" s="85"/>
      <c r="N985" s="85"/>
      <c r="O985" s="85"/>
      <c r="P985" s="85"/>
      <c r="Q985" s="85"/>
      <c r="R985" s="85"/>
      <c r="S985" s="85"/>
      <c r="T985" s="85"/>
      <c r="U985" s="85"/>
      <c r="V985" s="85"/>
      <c r="W985" s="85"/>
      <c r="X985" s="85"/>
      <c r="Y985" s="85"/>
    </row>
    <row r="986" spans="1:25" ht="14.25" customHeight="1">
      <c r="A986" s="85"/>
      <c r="J986" s="85"/>
      <c r="K986" s="85"/>
      <c r="L986" s="85"/>
      <c r="M986" s="85"/>
      <c r="N986" s="85"/>
      <c r="O986" s="85"/>
      <c r="P986" s="85"/>
      <c r="Q986" s="85"/>
      <c r="R986" s="85"/>
      <c r="S986" s="85"/>
      <c r="T986" s="85"/>
      <c r="U986" s="85"/>
      <c r="V986" s="85"/>
      <c r="W986" s="85"/>
      <c r="X986" s="85"/>
      <c r="Y986" s="85"/>
    </row>
    <row r="987" spans="1:25" ht="14.25" customHeight="1">
      <c r="A987" s="85"/>
      <c r="J987" s="85"/>
      <c r="K987" s="85"/>
      <c r="L987" s="85"/>
      <c r="M987" s="85"/>
      <c r="N987" s="85"/>
      <c r="O987" s="85"/>
      <c r="P987" s="85"/>
      <c r="Q987" s="85"/>
      <c r="R987" s="85"/>
      <c r="S987" s="85"/>
      <c r="T987" s="85"/>
      <c r="U987" s="85"/>
      <c r="V987" s="85"/>
      <c r="W987" s="85"/>
      <c r="X987" s="85"/>
      <c r="Y987" s="85"/>
    </row>
    <row r="988" spans="1:25" ht="14.25" customHeight="1">
      <c r="A988" s="85"/>
      <c r="J988" s="85"/>
      <c r="K988" s="85"/>
      <c r="L988" s="85"/>
      <c r="M988" s="85"/>
      <c r="N988" s="85"/>
      <c r="O988" s="85"/>
      <c r="P988" s="85"/>
      <c r="Q988" s="85"/>
      <c r="R988" s="85"/>
      <c r="S988" s="85"/>
      <c r="T988" s="85"/>
      <c r="U988" s="85"/>
      <c r="V988" s="85"/>
      <c r="W988" s="85"/>
      <c r="X988" s="85"/>
      <c r="Y988" s="85"/>
    </row>
    <row r="989" spans="1:25" ht="14.25" customHeight="1">
      <c r="A989" s="85"/>
      <c r="J989" s="85"/>
      <c r="K989" s="85"/>
      <c r="L989" s="85"/>
      <c r="M989" s="85"/>
      <c r="N989" s="85"/>
      <c r="O989" s="85"/>
      <c r="P989" s="85"/>
      <c r="Q989" s="85"/>
      <c r="R989" s="85"/>
      <c r="S989" s="85"/>
      <c r="T989" s="85"/>
      <c r="U989" s="85"/>
      <c r="V989" s="85"/>
      <c r="W989" s="85"/>
      <c r="X989" s="85"/>
      <c r="Y989" s="85"/>
    </row>
    <row r="990" spans="1:25" ht="14.25" customHeight="1">
      <c r="A990" s="85"/>
      <c r="J990" s="85"/>
      <c r="K990" s="85"/>
      <c r="L990" s="85"/>
      <c r="M990" s="85"/>
      <c r="N990" s="85"/>
      <c r="O990" s="85"/>
      <c r="P990" s="85"/>
      <c r="Q990" s="85"/>
      <c r="R990" s="85"/>
      <c r="S990" s="85"/>
      <c r="T990" s="85"/>
      <c r="U990" s="85"/>
      <c r="V990" s="85"/>
      <c r="W990" s="85"/>
      <c r="X990" s="85"/>
      <c r="Y990" s="85"/>
    </row>
    <row r="991" spans="1:25" ht="14.25" customHeight="1">
      <c r="A991" s="85"/>
      <c r="J991" s="85"/>
      <c r="K991" s="85"/>
      <c r="L991" s="85"/>
      <c r="M991" s="85"/>
      <c r="N991" s="85"/>
      <c r="O991" s="85"/>
      <c r="P991" s="85"/>
      <c r="Q991" s="85"/>
      <c r="R991" s="85"/>
      <c r="S991" s="85"/>
      <c r="T991" s="85"/>
      <c r="U991" s="85"/>
      <c r="V991" s="85"/>
      <c r="W991" s="85"/>
      <c r="X991" s="85"/>
      <c r="Y991" s="85"/>
    </row>
    <row r="992" spans="1:25" ht="14.25" customHeight="1">
      <c r="A992" s="85"/>
      <c r="J992" s="85"/>
      <c r="K992" s="85"/>
      <c r="L992" s="85"/>
      <c r="M992" s="85"/>
      <c r="N992" s="85"/>
      <c r="O992" s="85"/>
      <c r="P992" s="85"/>
      <c r="Q992" s="85"/>
      <c r="R992" s="85"/>
      <c r="S992" s="85"/>
      <c r="T992" s="85"/>
      <c r="U992" s="85"/>
      <c r="V992" s="85"/>
      <c r="W992" s="85"/>
      <c r="X992" s="85"/>
      <c r="Y992" s="85"/>
    </row>
    <row r="993" spans="1:25" ht="14.25" customHeight="1">
      <c r="A993" s="85"/>
      <c r="J993" s="85"/>
      <c r="K993" s="85"/>
      <c r="L993" s="85"/>
      <c r="M993" s="85"/>
      <c r="N993" s="85"/>
      <c r="O993" s="85"/>
      <c r="P993" s="85"/>
      <c r="Q993" s="85"/>
      <c r="R993" s="85"/>
      <c r="S993" s="85"/>
      <c r="T993" s="85"/>
      <c r="U993" s="85"/>
      <c r="V993" s="85"/>
      <c r="W993" s="85"/>
      <c r="X993" s="85"/>
      <c r="Y993" s="85"/>
    </row>
    <row r="994" spans="1:25" ht="14.25" customHeight="1">
      <c r="A994" s="85"/>
      <c r="J994" s="85"/>
      <c r="K994" s="85"/>
      <c r="L994" s="85"/>
      <c r="M994" s="85"/>
      <c r="N994" s="85"/>
      <c r="O994" s="85"/>
      <c r="P994" s="85"/>
      <c r="Q994" s="85"/>
      <c r="R994" s="85"/>
      <c r="S994" s="85"/>
      <c r="T994" s="85"/>
      <c r="U994" s="85"/>
      <c r="V994" s="85"/>
      <c r="W994" s="85"/>
      <c r="X994" s="85"/>
      <c r="Y994" s="85"/>
    </row>
    <row r="995" spans="1:25" ht="14.25" customHeight="1">
      <c r="A995" s="85"/>
      <c r="J995" s="85"/>
      <c r="K995" s="85"/>
      <c r="L995" s="85"/>
      <c r="M995" s="85"/>
      <c r="N995" s="85"/>
      <c r="O995" s="85"/>
      <c r="P995" s="85"/>
      <c r="Q995" s="85"/>
      <c r="R995" s="85"/>
      <c r="S995" s="85"/>
      <c r="T995" s="85"/>
      <c r="U995" s="85"/>
      <c r="V995" s="85"/>
      <c r="W995" s="85"/>
      <c r="X995" s="85"/>
      <c r="Y995" s="85"/>
    </row>
    <row r="996" spans="1:25" ht="14.25" customHeight="1">
      <c r="A996" s="85"/>
      <c r="J996" s="85"/>
      <c r="K996" s="85"/>
      <c r="L996" s="85"/>
      <c r="M996" s="85"/>
      <c r="N996" s="85"/>
      <c r="O996" s="85"/>
      <c r="P996" s="85"/>
      <c r="Q996" s="85"/>
      <c r="R996" s="85"/>
      <c r="S996" s="85"/>
      <c r="T996" s="85"/>
      <c r="U996" s="85"/>
      <c r="V996" s="85"/>
      <c r="W996" s="85"/>
      <c r="X996" s="85"/>
      <c r="Y996" s="85"/>
    </row>
    <row r="997" spans="1:25" ht="14.25" customHeight="1">
      <c r="A997" s="85"/>
      <c r="J997" s="85"/>
      <c r="K997" s="85"/>
      <c r="L997" s="85"/>
      <c r="M997" s="85"/>
      <c r="N997" s="85"/>
      <c r="O997" s="85"/>
      <c r="P997" s="85"/>
      <c r="Q997" s="85"/>
      <c r="R997" s="85"/>
      <c r="S997" s="85"/>
      <c r="T997" s="85"/>
      <c r="U997" s="85"/>
      <c r="V997" s="85"/>
      <c r="W997" s="85"/>
      <c r="X997" s="85"/>
      <c r="Y997" s="85"/>
    </row>
    <row r="998" spans="1:25" ht="14.25" customHeight="1">
      <c r="A998" s="85"/>
      <c r="J998" s="85"/>
      <c r="K998" s="85"/>
      <c r="L998" s="85"/>
      <c r="M998" s="85"/>
      <c r="N998" s="85"/>
      <c r="O998" s="85"/>
      <c r="P998" s="85"/>
      <c r="Q998" s="85"/>
      <c r="R998" s="85"/>
      <c r="S998" s="85"/>
      <c r="T998" s="85"/>
      <c r="U998" s="85"/>
      <c r="V998" s="85"/>
      <c r="W998" s="85"/>
      <c r="X998" s="85"/>
      <c r="Y998" s="85"/>
    </row>
    <row r="999" spans="1:25" ht="14.25" customHeight="1">
      <c r="A999" s="85"/>
      <c r="J999" s="85"/>
      <c r="K999" s="85"/>
      <c r="L999" s="85"/>
      <c r="M999" s="85"/>
      <c r="N999" s="85"/>
      <c r="O999" s="85"/>
      <c r="P999" s="85"/>
      <c r="Q999" s="85"/>
      <c r="R999" s="85"/>
      <c r="S999" s="85"/>
      <c r="T999" s="85"/>
      <c r="U999" s="85"/>
      <c r="V999" s="85"/>
      <c r="W999" s="85"/>
      <c r="X999" s="85"/>
      <c r="Y999" s="85"/>
    </row>
    <row r="1000" spans="1:25" ht="14.25" customHeight="1">
      <c r="A1000" s="85"/>
      <c r="J1000" s="85"/>
      <c r="K1000" s="85"/>
      <c r="L1000" s="85"/>
      <c r="M1000" s="85"/>
      <c r="N1000" s="85"/>
      <c r="O1000" s="85"/>
      <c r="P1000" s="85"/>
      <c r="Q1000" s="85"/>
      <c r="R1000" s="85"/>
      <c r="S1000" s="85"/>
      <c r="T1000" s="85"/>
      <c r="U1000" s="85"/>
      <c r="V1000" s="85"/>
      <c r="W1000" s="85"/>
      <c r="X1000" s="85"/>
      <c r="Y1000" s="85"/>
    </row>
  </sheetData>
  <mergeCells count="6">
    <mergeCell ref="K40:R41"/>
    <mergeCell ref="B7:G7"/>
    <mergeCell ref="K7:P7"/>
    <mergeCell ref="W9:Z9"/>
    <mergeCell ref="K10:L10"/>
    <mergeCell ref="B39:C3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Flexible Pavement Design</vt:lpstr>
      <vt:lpstr>Rigid Pavement Design</vt:lpstr>
      <vt:lpstr>Cost Estimation</vt:lpstr>
      <vt:lpstr>Revenue Estimation</vt:lpstr>
      <vt:lpstr>Cash Flow</vt:lpstr>
      <vt:lpstr>Financial Analysis</vt:lpstr>
      <vt:lpstr>Economic Analysis</vt:lpstr>
      <vt:lpstr>Sensitivity Analysis</vt:lpstr>
      <vt:lpstr>Breakeven Analysis</vt:lpstr>
      <vt:lpstr>amount</vt:lpstr>
      <vt:lpstr>category</vt:lpstr>
      <vt:lpstr>cbr</vt:lpstr>
      <vt:lpstr>description</vt:lpstr>
      <vt:lpstr>end_year</vt:lpstr>
      <vt:lpstr>Initial_cost</vt:lpstr>
      <vt:lpstr>n</vt:lpstr>
      <vt:lpstr>recurring_period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Khushdev Yogi</dc:creator>
  <cp:lastModifiedBy>Khushdev Yogi</cp:lastModifiedBy>
  <dcterms:created xsi:type="dcterms:W3CDTF">2015-06-05T18:17:20Z</dcterms:created>
  <dcterms:modified xsi:type="dcterms:W3CDTF">2024-08-20T01:26:42Z</dcterms:modified>
</cp:coreProperties>
</file>