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software\QQ聊天记录\476800385\FileRecv\"/>
    </mc:Choice>
  </mc:AlternateContent>
  <xr:revisionPtr revIDLastSave="0" documentId="13_ncr:1_{F6B9B128-EDB3-4BA9-BDC3-F478965CA74D}"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技能" sheetId="4" r:id="rId5"/>
    <sheet name="装备价格" sheetId="5" r:id="rId6"/>
    <sheet name="合成表成本计算" sheetId="11" r:id="rId7"/>
    <sheet name="敌方或战宠经验计算" sheetId="6" r:id="rId8"/>
    <sheet name="根据等级计算怪物属性" sheetId="7" r:id="rId9"/>
    <sheet name="伤害公式" sheetId="8" r:id="rId10"/>
    <sheet name="其余计算" sheetId="9" r:id="rId11"/>
    <sheet name="旧版-枪械" sheetId="1"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4" i="12" l="1"/>
  <c r="AG5" i="12"/>
  <c r="S5" i="12" s="1"/>
  <c r="AG6" i="12"/>
  <c r="AG7" i="12"/>
  <c r="AG12" i="12"/>
  <c r="AG13" i="12"/>
  <c r="AG14" i="12"/>
  <c r="AG15" i="12"/>
  <c r="AG3" i="12"/>
  <c r="S3" i="12" s="1"/>
  <c r="S4" i="12"/>
  <c r="S6" i="12"/>
  <c r="S7" i="12"/>
  <c r="S12" i="12"/>
  <c r="S14" i="12"/>
  <c r="S15" i="12"/>
  <c r="S13" i="12"/>
  <c r="V3" i="12"/>
  <c r="V4" i="12"/>
  <c r="V5" i="12"/>
  <c r="V6" i="12"/>
  <c r="V7" i="12"/>
  <c r="V12" i="12"/>
  <c r="V13" i="12"/>
  <c r="V14" i="12"/>
  <c r="V15" i="12"/>
  <c r="AF15" i="12" l="1"/>
  <c r="AF14" i="12"/>
  <c r="AF13" i="12"/>
  <c r="AF12" i="12"/>
  <c r="AF7" i="12"/>
  <c r="AF6" i="12"/>
  <c r="AF5" i="12"/>
  <c r="AF4" i="12"/>
  <c r="AF3" i="12"/>
  <c r="P3" i="11"/>
  <c r="J16" i="2"/>
  <c r="J4" i="2"/>
  <c r="J3" i="2"/>
  <c r="J16" i="5"/>
  <c r="K17" i="5"/>
  <c r="K18" i="5"/>
  <c r="K19" i="5"/>
  <c r="K16" i="5"/>
  <c r="J17" i="5"/>
  <c r="J18" i="5"/>
  <c r="J19" i="5"/>
  <c r="K6" i="5"/>
  <c r="K7" i="5"/>
  <c r="K8" i="5"/>
  <c r="K5" i="5"/>
  <c r="J6" i="5"/>
  <c r="J7" i="5"/>
  <c r="J8" i="5"/>
  <c r="J5" i="5"/>
  <c r="P5" i="1"/>
  <c r="AC4" i="12"/>
  <c r="X4" i="12" s="1"/>
  <c r="AC5" i="12"/>
  <c r="X5" i="12" s="1"/>
  <c r="AC6" i="12"/>
  <c r="X6" i="12" s="1"/>
  <c r="AC7" i="12"/>
  <c r="X7" i="12" s="1"/>
  <c r="AC8" i="12"/>
  <c r="X8" i="12" s="1"/>
  <c r="AC10" i="12"/>
  <c r="X10" i="12" s="1"/>
  <c r="AC11" i="12"/>
  <c r="X11" i="12" s="1"/>
  <c r="AC12" i="12"/>
  <c r="X12" i="12" s="1"/>
  <c r="AC13" i="12"/>
  <c r="X13" i="12" s="1"/>
  <c r="AC14" i="12"/>
  <c r="X14" i="12" s="1"/>
  <c r="AC15" i="12"/>
  <c r="X15" i="12" s="1"/>
  <c r="AC3" i="12"/>
  <c r="X3" i="12" s="1"/>
  <c r="AB8" i="12"/>
  <c r="AA8" i="12"/>
  <c r="T5" i="1"/>
  <c r="V5" i="1" s="1"/>
  <c r="AB3" i="12"/>
  <c r="AB4" i="12"/>
  <c r="AB5" i="12"/>
  <c r="AB10" i="12"/>
  <c r="AB11" i="12"/>
  <c r="AB12" i="12"/>
  <c r="AB6" i="12"/>
  <c r="AB13" i="12"/>
  <c r="AB7" i="12"/>
  <c r="AB14" i="12"/>
  <c r="AB15" i="12"/>
  <c r="AG31" i="12"/>
  <c r="AA4" i="12"/>
  <c r="AA5" i="12"/>
  <c r="AA10" i="12"/>
  <c r="AA11" i="12"/>
  <c r="AA12" i="12"/>
  <c r="AE12" i="12" s="1"/>
  <c r="AA6" i="12"/>
  <c r="AA13" i="12"/>
  <c r="AA7" i="12"/>
  <c r="AA14" i="12"/>
  <c r="AA15" i="12"/>
  <c r="AA3" i="12"/>
  <c r="AF31" i="12"/>
  <c r="P23" i="11"/>
  <c r="N15" i="10"/>
  <c r="N14" i="10"/>
  <c r="N4" i="10"/>
  <c r="N5" i="10"/>
  <c r="N6" i="10"/>
  <c r="N7" i="10"/>
  <c r="N8" i="10"/>
  <c r="N9" i="10"/>
  <c r="N10" i="10"/>
  <c r="N3" i="10"/>
  <c r="J17" i="8"/>
  <c r="J18" i="8"/>
  <c r="O3" i="10"/>
  <c r="P3" i="10" s="1"/>
  <c r="O9" i="10"/>
  <c r="P9" i="10"/>
  <c r="O4" i="10"/>
  <c r="P4" i="10" s="1"/>
  <c r="O5" i="10"/>
  <c r="O6" i="10"/>
  <c r="P6" i="10" s="1"/>
  <c r="O7" i="10"/>
  <c r="P7" i="10" s="1"/>
  <c r="O8" i="10"/>
  <c r="P8" i="10"/>
  <c r="N4" i="11"/>
  <c r="O4" i="11"/>
  <c r="P4" i="11" s="1"/>
  <c r="O3" i="11"/>
  <c r="Q24" i="11"/>
  <c r="P24" i="11"/>
  <c r="J14" i="11"/>
  <c r="J15" i="11"/>
  <c r="J16" i="11"/>
  <c r="J17" i="11"/>
  <c r="J18" i="11"/>
  <c r="J13" i="11"/>
  <c r="Q23" i="11"/>
  <c r="N3" i="11"/>
  <c r="N9" i="11"/>
  <c r="N10" i="11"/>
  <c r="D18" i="8"/>
  <c r="D21" i="8"/>
  <c r="F21" i="8" s="1"/>
  <c r="G21" i="8" s="1"/>
  <c r="O15" i="10"/>
  <c r="P15" i="10" s="1"/>
  <c r="O14" i="10"/>
  <c r="P14" i="10" s="1"/>
  <c r="S9" i="10"/>
  <c r="R9" i="10"/>
  <c r="P5" i="10"/>
  <c r="S3" i="10"/>
  <c r="S4" i="10"/>
  <c r="S5" i="10"/>
  <c r="S6" i="10"/>
  <c r="S7" i="10"/>
  <c r="S8" i="10"/>
  <c r="S10" i="10"/>
  <c r="R3" i="10"/>
  <c r="R4" i="10"/>
  <c r="R5" i="10"/>
  <c r="R6" i="10"/>
  <c r="R7" i="10"/>
  <c r="R8" i="10"/>
  <c r="R10" i="10"/>
  <c r="O10" i="10"/>
  <c r="P10" i="10" s="1"/>
  <c r="N16" i="5"/>
  <c r="N7" i="5"/>
  <c r="U8" i="8"/>
  <c r="W8" i="8"/>
  <c r="U7" i="8"/>
  <c r="U6" i="8"/>
  <c r="W7" i="8"/>
  <c r="W6" i="8"/>
  <c r="C32" i="8"/>
  <c r="O32" i="8" s="1"/>
  <c r="C31" i="8"/>
  <c r="O31" i="8"/>
  <c r="S30" i="8"/>
  <c r="S29" i="8"/>
  <c r="O8" i="8"/>
  <c r="O23" i="8"/>
  <c r="O25" i="8"/>
  <c r="O26" i="8"/>
  <c r="O27" i="8"/>
  <c r="O28" i="8"/>
  <c r="O29"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G13" i="3"/>
  <c r="G12" i="3"/>
  <c r="L21" i="4"/>
  <c r="L22" i="4"/>
  <c r="L20" i="4"/>
  <c r="L3" i="4"/>
  <c r="L4" i="4"/>
  <c r="L5" i="4"/>
  <c r="AE11" i="12" l="1"/>
  <c r="AE10" i="12"/>
  <c r="AE5" i="12"/>
  <c r="N6" i="5"/>
  <c r="W6" i="12"/>
  <c r="AE6" i="12"/>
  <c r="N17" i="5"/>
  <c r="N5" i="5"/>
  <c r="W8" i="12"/>
  <c r="AF8" i="12" s="1"/>
  <c r="AE15" i="12"/>
  <c r="AE7" i="12"/>
  <c r="AE4" i="12"/>
  <c r="AE3" i="12"/>
  <c r="AE8" i="12"/>
  <c r="AE13" i="12"/>
  <c r="AE14" i="12"/>
  <c r="W3" i="12"/>
  <c r="W7" i="12"/>
  <c r="W4" i="12"/>
  <c r="W5" i="12"/>
  <c r="Y8" i="12"/>
  <c r="Y15" i="12"/>
  <c r="Y5" i="12"/>
  <c r="Y7" i="12"/>
  <c r="Y14" i="12"/>
  <c r="Y4" i="12"/>
  <c r="W14" i="12"/>
  <c r="W11" i="12"/>
  <c r="W12" i="12"/>
  <c r="W10" i="12"/>
  <c r="AF10" i="12" s="1"/>
  <c r="Y10" i="12"/>
  <c r="Y13" i="12"/>
  <c r="Y12" i="12"/>
  <c r="AD12" i="12" s="1"/>
  <c r="Y6" i="12"/>
  <c r="Y11" i="12"/>
  <c r="W13" i="12"/>
  <c r="Y3" i="12"/>
  <c r="W15" i="12"/>
  <c r="Q15" i="12" s="1"/>
  <c r="Z8" i="12"/>
  <c r="Z14" i="12"/>
  <c r="Z13" i="12"/>
  <c r="Z6" i="12"/>
  <c r="Z10" i="12"/>
  <c r="Z15" i="12"/>
  <c r="Z12" i="12"/>
  <c r="Z11" i="12"/>
  <c r="Z3" i="12"/>
  <c r="Z4" i="12"/>
  <c r="Z7" i="12"/>
  <c r="Z5" i="12"/>
  <c r="M109" i="7"/>
  <c r="M110" i="7"/>
  <c r="N18" i="5"/>
  <c r="N23" i="11"/>
  <c r="N24"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D11" i="12" l="1"/>
  <c r="V11" i="12" s="1"/>
  <c r="Q11" i="12"/>
  <c r="AF11" i="12"/>
  <c r="Q5" i="12"/>
  <c r="AD4" i="12"/>
  <c r="AD5" i="12"/>
  <c r="AD10" i="12"/>
  <c r="V10" i="12" s="1"/>
  <c r="AG10" i="12" s="1"/>
  <c r="Q10" i="12"/>
  <c r="AD14" i="12"/>
  <c r="Q6" i="12"/>
  <c r="AD6" i="12"/>
  <c r="AD3" i="12"/>
  <c r="Q13" i="12"/>
  <c r="AD13" i="12"/>
  <c r="AD15" i="12"/>
  <c r="AD7" i="12"/>
  <c r="AD8" i="12"/>
  <c r="V8" i="12" s="1"/>
  <c r="AG8" i="12" s="1"/>
  <c r="S8" i="12" s="1"/>
  <c r="Q3" i="12"/>
  <c r="Q7" i="12"/>
  <c r="Q8" i="12"/>
  <c r="Q14" i="12"/>
  <c r="Q12" i="12"/>
  <c r="Q4" i="12"/>
  <c r="O17" i="8"/>
  <c r="L19" i="8"/>
  <c r="L22" i="8"/>
  <c r="O21" i="8"/>
  <c r="L21" i="8"/>
  <c r="O18" i="8"/>
  <c r="L18" i="8"/>
  <c r="K46" i="8"/>
  <c r="O43" i="8"/>
  <c r="S10" i="12" l="1"/>
  <c r="AG11" i="12"/>
  <c r="S11" i="12"/>
</calcChain>
</file>

<file path=xl/sharedStrings.xml><?xml version="1.0" encoding="utf-8"?>
<sst xmlns="http://schemas.openxmlformats.org/spreadsheetml/2006/main" count="534" uniqueCount="345">
  <si>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</si>
  <si>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</si>
  <si>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</si>
  <si>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</si>
  <si>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</si>
  <si>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</si>
  <si>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</si>
  <si>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</si>
  <si>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</si>
  <si>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</si>
  <si>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</si>
  <si>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</si>
  <si>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</si>
  <si>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</si>
  <si>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</si>
  <si>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</si>
  <si>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</si>
  <si>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</si>
  <si>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</si>
  <si>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</si>
  <si>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</si>
  <si>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</si>
  <si>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</si>
  <si>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</si>
  <si>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</si>
  <si>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</si>
  <si>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</si>
  <si>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</si>
  <si>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</si>
  <si>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</si>
  <si>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</si>
  <si>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</si>
  <si>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</si>
  <si>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</si>
  <si>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</si>
  <si>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</si>
  <si>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</si>
  <si>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锋利度</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</si>
  <si>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</si>
  <si>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</si>
  <si>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</si>
  <si>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</si>
  <si>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</si>
  <si>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</si>
  <si>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</si>
  <si>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</si>
  <si>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</si>
  <si>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</si>
  <si>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</si>
  <si>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</si>
  <si>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</si>
  <si>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</si>
  <si>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</si>
  <si>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</si>
  <si>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</si>
  <si>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</si>
  <si>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</si>
  <si>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</si>
  <si>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</si>
  <si>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</si>
  <si>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</si>
  <si>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</si>
  <si>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</si>
  <si>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</si>
  <si>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</si>
  <si>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</si>
  <si>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</si>
  <si>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</si>
  <si>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</si>
  <si>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</si>
  <si>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</si>
  <si>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</si>
  <si>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</si>
  <si>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</si>
  <si>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</si>
  <si>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</si>
  <si>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</si>
  <si>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</si>
  <si>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</si>
  <si>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</si>
  <si>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</si>
  <si>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</si>
  <si>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</si>
  <si>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</si>
  <si>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</si>
  <si>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</si>
  <si>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</si>
  <si>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</si>
  <si>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</si>
  <si>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</si>
  <si>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</si>
  <si>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</si>
  <si>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</si>
  <si>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</si>
  <si>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</si>
  <si>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</si>
  <si>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</si>
  <si>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</si>
  <si>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</si>
  <si>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</si>
  <si>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</si>
  <si>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</si>
  <si>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</si>
  <si>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</si>
  <si>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</si>
  <si>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</si>
  <si>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</si>
  <si>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</si>
  <si>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</si>
  <si>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</si>
  <si>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</si>
  <si>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</si>
  <si>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</si>
  <si>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</si>
  <si>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</si>
  <si>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</si>
  <si>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</si>
  <si>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</si>
  <si>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</si>
  <si>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</si>
  <si>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</si>
  <si>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</si>
  <si>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</si>
  <si>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</si>
  <si>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</si>
  <si>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</si>
  <si>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</si>
  <si>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</si>
  <si>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</si>
  <si>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</si>
  <si>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</si>
  <si>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</si>
  <si>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</si>
  <si>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</si>
  <si>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</si>
  <si>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</si>
  <si>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</si>
  <si>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</si>
  <si>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</si>
  <si>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</si>
  <si>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</si>
  <si>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</si>
  <si>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</si>
  <si>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</si>
  <si>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</si>
  <si>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</si>
  <si>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</si>
  <si>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</si>
  <si>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</si>
  <si>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</si>
  <si>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</si>
  <si>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</si>
  <si>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</si>
  <si>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</si>
  <si>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</si>
  <si>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</si>
  <si>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</si>
  <si>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</si>
  <si>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</si>
  <si>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</si>
  <si>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</si>
  <si>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</si>
  <si>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</si>
  <si>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</si>
  <si>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</si>
  <si>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</si>
  <si>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种类系数：有主动战技/特效的可为1.5，效果极其强力时为2</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</si>
  <si>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</si>
  <si>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</si>
  <si>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</si>
  <si>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</si>
  <si>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</si>
  <si>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</si>
  <si>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</si>
  <si>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</si>
  <si>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</si>
  <si>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</si>
  <si>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</si>
  <si>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单件法抗均值上限</t>
    <phoneticPr fontId="1" type="noConversion"/>
  </si>
  <si>
    <t>单件法抗最高上限</t>
    <phoneticPr fontId="1" type="noConversion"/>
  </si>
  <si>
    <t>钢铁小熊均值</t>
    <phoneticPr fontId="1" type="noConversion"/>
  </si>
  <si>
    <t>军阀重装上身</t>
    <phoneticPr fontId="1" type="noConversion"/>
  </si>
  <si>
    <t>A兵团上身</t>
    <phoneticPr fontId="1" type="noConversion"/>
  </si>
  <si>
    <t>注释：套装特殊部件可根据特点或重量等适当浮动或者面板转移，但同一套装不同部件之间不要偏差过大，否则可能导致混装的强度较高。</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</si>
  <si>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</si>
  <si>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</si>
  <si>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</si>
  <si>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</si>
  <si>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</si>
  <si>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</si>
  <si>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</si>
  <si>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</si>
  <si>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</si>
  <si>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</si>
  <si>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</si>
  <si>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</si>
  <si>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魔法抗性单件不要过高。全属性抗性目前仅供参考，上下身各10点封顶，请尽可能避免在无作弊可得的物品内实装。</t>
    <phoneticPr fontId="1" type="noConversion"/>
  </si>
  <si>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</si>
  <si>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</si>
  <si>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</si>
  <si>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</si>
  <si>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</si>
  <si>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注释：由于项链通常限制等级填写不规范，可以获取时对应的玩家等级作为参考。</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</si>
  <si>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</si>
  <si>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</si>
  <si>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</si>
  <si>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</si>
  <si>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</si>
  <si>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</si>
  <si>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</si>
  <si>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</si>
  <si>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</si>
  <si>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</si>
  <si>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</si>
  <si>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</si>
  <si>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</si>
  <si>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</si>
  <si>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</si>
  <si>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</si>
  <si>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</si>
  <si>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</si>
  <si>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</si>
  <si>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</si>
  <si>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</si>
  <si>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</si>
  <si>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</si>
  <si>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</si>
  <si>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</si>
  <si>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</si>
  <si>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</si>
  <si>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</si>
  <si>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</si>
  <si>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</si>
  <si>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</si>
  <si>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</si>
  <si>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</si>
  <si>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</si>
  <si>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</si>
  <si>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</si>
  <si>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</si>
  <si>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</si>
  <si>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</si>
  <si>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</si>
  <si>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</si>
  <si>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掉落物价格计算</t>
    <phoneticPr fontId="1" type="noConversion"/>
  </si>
  <si>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</si>
  <si>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</si>
  <si>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</si>
  <si>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</si>
  <si>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</si>
  <si>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</si>
  <si>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</si>
  <si>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</si>
  <si>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</si>
  <si>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</si>
  <si>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</si>
  <si>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</si>
  <si>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</si>
  <si>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</si>
  <si>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</si>
  <si>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</si>
  <si>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</si>
  <si>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</si>
  <si>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</si>
  <si>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</si>
  <si>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</si>
  <si>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</si>
  <si>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</si>
  <si>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</si>
  <si>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（为素材定价时，购买价格最好大于刷副本折算价格的二倍）</t>
    <phoneticPr fontId="1" type="noConversion"/>
  </si>
  <si>
    <t>只有免费获取途径的装备，或免费获取途径早于可购买时的装备，均填-1层。</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</si>
  <si>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</si>
  <si>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</si>
  <si>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</si>
  <si>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</si>
  <si>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</si>
  <si>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</si>
  <si>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</si>
  <si>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</si>
  <si>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</si>
  <si>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</si>
  <si>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</si>
  <si>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</si>
  <si>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</si>
  <si>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</si>
  <si>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</si>
  <si>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</si>
  <si>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</si>
  <si>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喷火的穿刺系数为1.5，狙击枪穿刺系数为1.5，普通穿刺为2，非穿刺为1（其他拥有穿刺效果根据单体段数数量填入穿刺系数，段数较多时可填3或更高的穿刺系数）。</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</si>
  <si>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</si>
  <si>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</si>
  <si>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</si>
  <si>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</si>
  <si>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</si>
  <si>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</si>
  <si>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</si>
  <si>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</si>
  <si>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</si>
  <si>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</si>
  <si>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</si>
  <si>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</si>
  <si>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</si>
  <si>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</si>
  <si>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</si>
  <si>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</si>
  <si>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</si>
  <si>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</si>
  <si>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</si>
  <si>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</si>
  <si>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</si>
  <si>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</si>
  <si>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</si>
  <si>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</si>
  <si>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机枪的弹容量种族优势可额外换两层层级，可叠加武器价格层级。穿刺枪的种族优势为群攻，散弹的种族优势为吃拐率，不反映在总伤值上，所以无额外总伤加成。</t>
    <phoneticPr fontId="1" type="noConversion"/>
  </si>
  <si>
    <t>（请参照此处的dps前后大致匹配从而填写前方数值）</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</si>
  <si>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</si>
  <si>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</si>
  <si>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</si>
  <si>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</si>
  <si>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</si>
  <si>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</si>
  <si>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</si>
  <si>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</si>
  <si>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</si>
  <si>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</si>
  <si>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</si>
  <si>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短刀为0.5，常规刀为1，长武器为1.5，特效+0.5（强力特效则+1），战技+0.5（强力战技则+1）。</t>
    <phoneticPr fontId="1" type="noConversion"/>
  </si>
  <si>
    <t>双枪类填1.5</t>
    <phoneticPr fontId="1" type="noConversion"/>
  </si>
  <si>
    <t>有霰弹值的霰弹类需填入对应数量的霰弹值，爆炸类填4（若每消耗1发弹容会产生多个子弹判定，或者每个子弹会产生多段伤害判定，则填入最大段数数量。不包括穿刺类段数，穿刺类段数请参考穿刺系数）。</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</si>
  <si>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</si>
  <si>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</si>
  <si>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重机枪为1.5，喷火器类为1.5，散弹枪为1.5，轰炸类为1.5，穿刺类为2。只掉落、无法金币或k点购买的武器为0.5，非购买途径明显早于购买途径的物品也为0.5。</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</si>
  <si>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</si>
  <si>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</si>
  <si>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</si>
  <si>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</si>
  <si>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</si>
  <si>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</si>
  <si>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</si>
  <si>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</si>
  <si>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</si>
  <si>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面板转换的基本计算公式暂定为1攻=1.5防=3hp=3mp，1重量=3.3攻=5防=10hp=10mp，1攻=0.8空手加成=1伤害加成。以此为依据可进行面板转换。</t>
    <phoneticPr fontId="1" type="noConversion"/>
  </si>
  <si>
    <t>超前武器需要减少一层加权，可减为负数。限制等级低于30级的穿刺武器、低于40级的属性伤害武器均视为超前武器。</t>
    <phoneticPr fontId="1" type="noConversion"/>
  </si>
  <si>
    <t>限制等级低于40级的属性伤害武器视为超前武器，需减少一层加权等级，可减到负数。</t>
    <phoneticPr fontId="1" type="noConversion"/>
  </si>
  <si>
    <t>周期dps系数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</si>
</sst>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cellXfs>
  <cellStyles count="1">
    <cellStyle name="常规" xfId="0" builtinId="0"/>
  </cellStyles>
  <dxfs count="20">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G22" totalsRowShown="0" headerRowDxfId="19">
  <tableColumns count="32">
    <tableColumn id="1" xr3:uid="{9622EC47-0B3C-4F87-80A9-38E2551B5BEB}" name="示例类型" dataDxfId="18"/>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17">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16"/>
    <tableColumn id="19" xr3:uid="{7F59743E-F0DB-4BA2-9BCC-B1CBDB7C38A0}" name="加权dps"/>
    <tableColumn id="20" xr3:uid="{16F55BA4-4DC2-4B1D-A013-655D2F1FFDE9}" name="列5"/>
    <tableColumn id="17" xr3:uid="{3AA822EC-85AB-4A55-8245-64CD79274F66}" name="列3"/>
    <tableColumn id="14" xr3:uid="{4E0BF69B-7EA4-42AA-ACAB-4DD530D9863F}" name="平衡dps" dataDxfId="1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14">
      <calculatedColumnFormula>表2_5[[#This Row],[限制等级]]*250*表2_5[[#This Row],[射击间隔]]*表2_5[[#This Row],[弹容量]]/1000</calculatedColumnFormula>
    </tableColumn>
    <tableColumn id="18" xr3:uid="{1D45EC77-0BCE-4784-8749-FF6132165C8B}" name="平衡周期伤害" dataDxfId="1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12">
      <calculatedColumnFormula>表2_5[[#This Row],[平衡周期伤害]]*1.25^表2_5[[#This Row],[额外加权层数]]</calculatedColumnFormula>
    </tableColumn>
    <tableColumn id="34" xr3:uid="{A660A361-96CB-4007-A464-05DAF5157343}" name="单段伤害"/>
    <tableColumn id="22" xr3:uid="{71A1BBF9-42EA-4DF3-BAAF-CEF0752727B7}" name="伤害加成" dataDxfId="11">
      <calculatedColumnFormula>IF(AE31&gt;=35,15*AE31-300,5*AE31+25)</calculatedColumnFormula>
    </tableColumn>
    <tableColumn id="23" xr3:uid="{5F2CA67A-5513-480C-AC64-9D919C58AC3C}" name="剧毒" dataDxfId="10">
      <calculatedColumnFormula>IF(表2_5[[#This Row],[限制等级]]&gt;=30,120,30)</calculatedColumnFormula>
    </tableColumn>
    <tableColumn id="25" xr3:uid="{23C63379-C0B7-48B7-B787-5FCC30B24F9E}" name="冲击力系数"/>
    <tableColumn id="27" xr3:uid="{616D4DCA-D011-4F52-89E2-BBB666C710ED}" name="周期伤害系数" dataDxfId="9">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E25:AG30" totalsRowShown="0">
  <autoFilter ref="AE25:AG30" xr:uid="{55FA9E23-8BFC-46D4-BAD9-82BF30D0709B}"/>
  <tableColumns count="3">
    <tableColumn id="1" xr3:uid="{175B7766-4B20-4B31-932D-D2FDAD403F44}" name="等级"/>
    <tableColumn id="2" xr3:uid="{E828ECFB-EC93-47F0-9A6F-7E5C622BFDC8}" name="伤害加成"/>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S18" totalsRowShown="0" headerRowDxfId="8">
  <tableColumns count="18">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单件法抗均值上限" dataDxfId="6">
      <calculatedColumnFormula>10+表2_2[[#This Row],[限制等级]]*0.2</calculatedColumnFormula>
    </tableColumn>
    <tableColumn id="17" xr3:uid="{2A71EA5E-6A4C-44FD-9B0C-0AEFEAC81C2E}" name="单件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G33"/>
  <sheetViews>
    <sheetView tabSelected="1" zoomScaleNormal="100" workbookViewId="0">
      <selection activeCell="I11" sqref="I11"/>
    </sheetView>
  </sheetViews>
  <sheetFormatPr defaultRowHeight="14" x14ac:dyDescent="0.3"/>
  <cols>
    <col min="1" max="1" width="17.5" customWidth="1"/>
    <col min="2" max="2" width="13.7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5" customWidth="1"/>
    <col min="13" max="13" width="8.33203125" customWidth="1"/>
    <col min="14" max="14" width="7.1640625" customWidth="1"/>
    <col min="15" max="15" width="12.08203125" customWidth="1"/>
    <col min="21" max="21" width="9.58203125" customWidth="1"/>
    <col min="23" max="23" width="9.6640625" customWidth="1"/>
    <col min="24" max="25" width="11.1640625" customWidth="1"/>
    <col min="26" max="27" width="8.08203125" customWidth="1"/>
    <col min="28" max="28" width="4.58203125" customWidth="1"/>
    <col min="29" max="29" width="9.83203125" customWidth="1"/>
    <col min="30" max="30" width="11.5" customWidth="1"/>
    <col min="31" max="31" width="8.83203125" customWidth="1"/>
    <col min="32" max="32" width="9.6640625" customWidth="1"/>
    <col min="33" max="33" width="11.33203125" customWidth="1"/>
  </cols>
  <sheetData>
    <row r="1" spans="1:33" x14ac:dyDescent="0.3">
      <c r="A1" t="s">
        <v>274</v>
      </c>
      <c r="D1" t="s">
        <v>46</v>
      </c>
      <c r="E1" t="s">
        <v>43</v>
      </c>
      <c r="F1" t="s">
        <v>44</v>
      </c>
      <c r="G1" t="s">
        <v>45</v>
      </c>
      <c r="I1" t="s">
        <v>307</v>
      </c>
      <c r="L1" t="s">
        <v>281</v>
      </c>
      <c r="M1" t="s">
        <v>42</v>
      </c>
      <c r="N1" t="s">
        <v>305</v>
      </c>
      <c r="O1" t="s">
        <v>165</v>
      </c>
      <c r="Q1" t="s">
        <v>314</v>
      </c>
      <c r="V1" t="s">
        <v>320</v>
      </c>
    </row>
    <row r="2" spans="1:33" x14ac:dyDescent="0.3">
      <c r="A2" t="s">
        <v>321</v>
      </c>
      <c r="B2" s="10" t="s">
        <v>290</v>
      </c>
      <c r="C2" s="10" t="s">
        <v>50</v>
      </c>
      <c r="D2" s="8" t="s">
        <v>14</v>
      </c>
      <c r="E2" s="8" t="s">
        <v>1</v>
      </c>
      <c r="F2" s="8" t="s">
        <v>2</v>
      </c>
      <c r="G2" s="8" t="s">
        <v>3</v>
      </c>
      <c r="H2" s="8" t="s">
        <v>10</v>
      </c>
      <c r="I2" s="8" t="s">
        <v>170</v>
      </c>
      <c r="J2" s="9" t="s">
        <v>6</v>
      </c>
      <c r="K2" s="9" t="s">
        <v>4</v>
      </c>
      <c r="L2" s="9" t="s">
        <v>280</v>
      </c>
      <c r="M2" s="8" t="s">
        <v>162</v>
      </c>
      <c r="N2" s="8" t="s">
        <v>304</v>
      </c>
      <c r="O2" s="8" t="s">
        <v>12</v>
      </c>
      <c r="P2" s="11" t="s">
        <v>227</v>
      </c>
      <c r="Q2" s="14" t="s">
        <v>299</v>
      </c>
      <c r="R2" s="11" t="s">
        <v>228</v>
      </c>
      <c r="S2" s="14" t="s">
        <v>303</v>
      </c>
      <c r="T2" s="11" t="s">
        <v>317</v>
      </c>
      <c r="U2" s="11" t="s">
        <v>226</v>
      </c>
      <c r="V2" s="14" t="s">
        <v>302</v>
      </c>
      <c r="W2" s="14" t="s">
        <v>300</v>
      </c>
      <c r="X2" s="14" t="s">
        <v>308</v>
      </c>
      <c r="Y2" s="14" t="s">
        <v>318</v>
      </c>
      <c r="Z2" s="14" t="s">
        <v>298</v>
      </c>
      <c r="AA2" s="14" t="s">
        <v>169</v>
      </c>
      <c r="AB2" s="14" t="s">
        <v>279</v>
      </c>
      <c r="AC2" s="14" t="s">
        <v>306</v>
      </c>
      <c r="AD2" s="14" t="s">
        <v>319</v>
      </c>
      <c r="AE2" s="14" t="s">
        <v>301</v>
      </c>
      <c r="AF2" s="14" t="s">
        <v>297</v>
      </c>
      <c r="AG2" s="14" t="s">
        <v>344</v>
      </c>
    </row>
    <row r="3" spans="1:33" x14ac:dyDescent="0.3">
      <c r="B3" s="2" t="s">
        <v>13</v>
      </c>
      <c r="C3" t="s">
        <v>15</v>
      </c>
      <c r="D3">
        <v>7</v>
      </c>
      <c r="E3">
        <v>100</v>
      </c>
      <c r="F3">
        <v>120</v>
      </c>
      <c r="G3">
        <v>30</v>
      </c>
      <c r="H3">
        <v>200</v>
      </c>
      <c r="I3">
        <v>4</v>
      </c>
      <c r="J3">
        <v>1</v>
      </c>
      <c r="K3">
        <v>1</v>
      </c>
      <c r="L3">
        <v>1</v>
      </c>
      <c r="M3">
        <v>1</v>
      </c>
      <c r="N3">
        <v>40</v>
      </c>
      <c r="O3">
        <v>0</v>
      </c>
      <c r="Q3">
        <f>1000*表2_5[[#This Row],[周期伤害]]/(表2_5[[#This Row],[射击间隔]]*(表2_5[[#This Row],[弹容量]]-1)+900*表2_5[[#This Row],[双枪系数]])</f>
        <v>1886.7722602739725</v>
      </c>
      <c r="S3">
        <f>表2_5[[#This Row],[平衡dps]]*表2_5[[#This Row],[周期dps系数]]*1.1^O3</f>
        <v>1886.2154720542876</v>
      </c>
      <c r="V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1886.1058054782309</v>
      </c>
      <c r="W3">
        <f>(表2_5[[#This Row],[子弹威力]]*1.5+30+表2_5[[#This Row],[子弹威力]]*2*表2_5[[#This Row],[限制等级]]/256+表2_5[[#This Row],[伤害加成]]+表2_5[[#This Row],[剧毒]]/(表2_5[[#This Row],[霰弹值]]*3^(表2_5[[#This Row],[穿刺系数]]-1)))*表2_5[[#This Row],[穿刺系数]]*表2_5[[#This Row],[弹容量]]*(1+(表2_5[[#This Row],[霰弹值]]-1)*0.5)</f>
        <v>8264.0625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8230.4</v>
      </c>
      <c r="Y3">
        <f>表2_5[[#This Row],[平衡周期伤害]]*1.25^表2_5[[#This Row],[额外加权层数]]</f>
        <v>8230.4</v>
      </c>
      <c r="Z3">
        <f>(表2_5[[#This Row],[子弹威力]]*1.5+30+表2_5[[#This Row],[子弹威力]]*2*表2_5[[#This Row],[限制等级]]/256+表2_5[[#This Row],[伤害加成]]+表2_5[[#This Row],[剧毒]]/表2_5[[#This Row],[霰弹值]])</f>
        <v>275.46875</v>
      </c>
      <c r="AA3">
        <f>IF(表2_5[[#This Row],[限制等级]]&gt;=35,15*表2_5[[#This Row],[限制等级]]-300,5*表2_5[[#This Row],[限制等级]]+25)</f>
        <v>60</v>
      </c>
      <c r="AB3">
        <f>IF(表2_5[[#This Row],[限制等级]]&gt;=30,120,30)</f>
        <v>30</v>
      </c>
      <c r="AC3">
        <f>0.9+(1.1-0.9)*表2_5[[#This Row],[冲击力]]/(表2_5[[#This Row],[冲击力]]+50)</f>
        <v>0.98888888888888893</v>
      </c>
      <c r="AD3">
        <f>IF(表2_5[[#This Row],[周期伤害]] &lt;=表2_5[[#This Row],[加权周期伤害]]* 5,0.7+0.6/(1+EXP(-(表2_5[[#This Row],[加权周期伤害]]-表2_5[[#This Row],[周期伤害]])/(表2_5[[#This Row],[加权周期伤害]]))),0.1+1.5/(1+EXP(-(表2_5[[#This Row],[加权周期伤害]]-表2_5[[#This Row],[周期伤害]])/(表2_5[[#This Row],[加权周期伤害]]*10))))</f>
        <v>0.99938649786631606</v>
      </c>
      <c r="AE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1836.4583333333333</v>
      </c>
      <c r="AF3">
        <f>1000*表2_5[[#This Row],[周期伤害]]/(表2_5[[#This Row],[射击间隔]]*表2_5[[#This Row],[弹容量]])</f>
        <v>2295.5729166666665</v>
      </c>
      <c r="AG3">
        <f>IF(表2_5[[#This Row],[周期dps]]&lt;=表2_5[[#This Row],[平衡dps]] * 2,0.85+0.3365/(1+EXP(-(表2_5[[#This Row],[平衡dps]]-表2_5[[#This Row],[周期dps]])/(表2_5[[#This Row],[平衡dps]]))),0.37+1.68/(1+EXP(-(表2_5[[#This Row],[平衡dps]]-表2_5[[#This Row],[周期dps]])/(表2_5[[#This Row],[平衡dps]]*1.5))))</f>
        <v>1.0000581444454166</v>
      </c>
    </row>
    <row r="4" spans="1:33" x14ac:dyDescent="0.3">
      <c r="B4" s="2" t="s">
        <v>18</v>
      </c>
      <c r="C4" t="s">
        <v>24</v>
      </c>
      <c r="D4" s="3">
        <v>22</v>
      </c>
      <c r="E4" s="3">
        <v>120</v>
      </c>
      <c r="F4" s="3">
        <v>135</v>
      </c>
      <c r="G4" s="3">
        <v>50</v>
      </c>
      <c r="H4" s="3">
        <v>200</v>
      </c>
      <c r="I4" s="3">
        <v>5</v>
      </c>
      <c r="J4" s="3">
        <v>1</v>
      </c>
      <c r="K4" s="3">
        <v>2</v>
      </c>
      <c r="L4">
        <v>1</v>
      </c>
      <c r="M4" s="3">
        <v>1</v>
      </c>
      <c r="N4" s="3">
        <v>45</v>
      </c>
      <c r="O4" s="3">
        <v>0</v>
      </c>
      <c r="Q4">
        <f>1000*表2_5[[#This Row],[周期伤害]]/(表2_5[[#This Row],[射击间隔]]*(表2_5[[#This Row],[弹容量]]-1)+900*表2_5[[#This Row],[双枪系数]])</f>
        <v>4998.3366600133068</v>
      </c>
      <c r="S4">
        <f>表2_5[[#This Row],[平衡dps]]*表2_5[[#This Row],[周期dps系数]]*1.1^O4</f>
        <v>4987.4082673473213</v>
      </c>
      <c r="V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4948.8436497996563</v>
      </c>
      <c r="W4">
        <f>(表2_5[[#This Row],[子弹威力]]*1.5+30+表2_5[[#This Row],[子弹威力]]*2*表2_5[[#This Row],[限制等级]]/256+表2_5[[#This Row],[伤害加成]]+表2_5[[#This Row],[剧毒]]/(表2_5[[#This Row],[霰弹值]]*3^(表2_5[[#This Row],[穿刺系数]]-1)))*表2_5[[#This Row],[穿刺系数]]*表2_5[[#This Row],[弹容量]]*(1+(表2_5[[#This Row],[霰弹值]]-1)*0.5)</f>
        <v>37562.5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28695.368421052633</v>
      </c>
      <c r="Z4">
        <f>(表2_5[[#This Row],[子弹威力]]*1.5+30+表2_5[[#This Row],[子弹威力]]*2*表2_5[[#This Row],[限制等级]]/256+表2_5[[#This Row],[伤害加成]]+表2_5[[#This Row],[剧毒]]/表2_5[[#This Row],[霰弹值]])</f>
        <v>395.625</v>
      </c>
      <c r="AA4">
        <f>IF(表2_5[[#This Row],[限制等级]]&gt;=35,15*表2_5[[#This Row],[限制等级]]-300,5*表2_5[[#This Row],[限制等级]]+25)</f>
        <v>135</v>
      </c>
      <c r="AB4">
        <f>IF(表2_5[[#This Row],[限制等级]]&gt;=30,120,30)</f>
        <v>30</v>
      </c>
      <c r="AC4">
        <f>0.9+(1.1-0.9)*表2_5[[#This Row],[冲击力]]/(表2_5[[#This Row],[冲击力]]+50)</f>
        <v>0.99473684210526325</v>
      </c>
      <c r="AD4">
        <f>IF(表2_5[[#This Row],[周期伤害]] &lt;=表2_5[[#This Row],[加权周期伤害]]* 5,0.7+0.6/(1+EXP(-(表2_5[[#This Row],[加权周期伤害]]-表2_5[[#This Row],[周期伤害]])/(表2_5[[#This Row],[加权周期伤害]]))),0.1+1.5/(1+EXP(-(表2_5[[#This Row],[加权周期伤害]]-表2_5[[#This Row],[周期伤害]])/(表2_5[[#This Row],[加权周期伤害]]*10))))</f>
        <v>0.95401396662265159</v>
      </c>
      <c r="AE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4910.1307189542486</v>
      </c>
      <c r="AF4">
        <f>1000*表2_5[[#This Row],[周期伤害]]/(表2_5[[#This Row],[射击间隔]]*表2_5[[#This Row],[弹容量]])</f>
        <v>5564.8148148148148</v>
      </c>
      <c r="AG4">
        <f>IF(表2_5[[#This Row],[周期dps]]&lt;=表2_5[[#This Row],[平衡dps]] * 2,0.85+0.3365/(1+EXP(-(表2_5[[#This Row],[平衡dps]]-表2_5[[#This Row],[周期dps]])/(表2_5[[#This Row],[平衡dps]]))),0.37+1.68/(1+EXP(-(表2_5[[#This Row],[平衡dps]]-表2_5[[#This Row],[周期dps]])/(表2_5[[#This Row],[平衡dps]]*1.5))))</f>
        <v>1.0077926522389178</v>
      </c>
    </row>
    <row r="5" spans="1:33" x14ac:dyDescent="0.3">
      <c r="A5" s="2" t="s">
        <v>148</v>
      </c>
      <c r="B5" s="2" t="s">
        <v>282</v>
      </c>
      <c r="C5" t="s">
        <v>20</v>
      </c>
      <c r="D5" s="3">
        <v>13</v>
      </c>
      <c r="E5" s="3">
        <v>100</v>
      </c>
      <c r="F5" s="3">
        <v>110</v>
      </c>
      <c r="G5" s="3">
        <v>80</v>
      </c>
      <c r="H5" s="3">
        <v>2000</v>
      </c>
      <c r="I5" s="3">
        <v>15</v>
      </c>
      <c r="J5" s="3">
        <v>1</v>
      </c>
      <c r="K5" s="3">
        <v>1.5</v>
      </c>
      <c r="L5">
        <v>1.5</v>
      </c>
      <c r="M5" s="3">
        <v>1</v>
      </c>
      <c r="N5" s="3">
        <v>10000</v>
      </c>
      <c r="O5" s="3">
        <v>1</v>
      </c>
      <c r="Q5">
        <f>1000*表2_5[[#This Row],[周期伤害]]/(表2_5[[#This Row],[射击间隔]]*(表2_5[[#This Row],[弹容量]]-1)+900*表2_5[[#This Row],[双枪系数]])</f>
        <v>3722.3369102275969</v>
      </c>
      <c r="S5">
        <f>表2_5[[#This Row],[平衡dps]]*表2_5[[#This Row],[周期dps系数]]*1.1^O5</f>
        <v>3847.6089779218314</v>
      </c>
      <c r="V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3482.4542084848731</v>
      </c>
      <c r="W5">
        <f>(表2_5[[#This Row],[子弹威力]]*1.5+30+表2_5[[#This Row],[子弹威力]]*2*表2_5[[#This Row],[限制等级]]/256+表2_5[[#This Row],[伤害加成]]+表2_5[[#This Row],[剧毒]]/(表2_5[[#This Row],[霰弹值]]*3^(表2_5[[#This Row],[穿刺系数]]-1)))*表2_5[[#This Row],[穿刺系数]]*表2_5[[#This Row],[弹容量]]*(1+(表2_5[[#This Row],[霰弹值]]-1)*0.5)</f>
        <v>35697.210969082655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18337.958639165681</v>
      </c>
      <c r="Y5">
        <f>表2_5[[#This Row],[平衡周期伤害]]*1.25^表2_5[[#This Row],[额外加权层数]]</f>
        <v>22922.448298957101</v>
      </c>
      <c r="Z5">
        <f>(表2_5[[#This Row],[子弹威力]]*1.5+30+表2_5[[#This Row],[子弹威力]]*2*表2_5[[#This Row],[限制等级]]/256+表2_5[[#This Row],[伤害加成]]+表2_5[[#This Row],[剧毒]]/表2_5[[#This Row],[霰弹值]])</f>
        <v>310.15625</v>
      </c>
      <c r="AA5">
        <f>IF(表2_5[[#This Row],[限制等级]]&gt;=35,15*表2_5[[#This Row],[限制等级]]-300,5*表2_5[[#This Row],[限制等级]]+25)</f>
        <v>90</v>
      </c>
      <c r="AB5">
        <f>IF(表2_5[[#This Row],[限制等级]]&gt;=30,120,30)</f>
        <v>30</v>
      </c>
      <c r="AC5">
        <f>0.9+(1.1-0.9)*表2_5[[#This Row],[冲击力]]/(表2_5[[#This Row],[冲击力]]+50)</f>
        <v>1.0990049751243782</v>
      </c>
      <c r="AD5">
        <f>IF(表2_5[[#This Row],[周期伤害]] &lt;=表2_5[[#This Row],[加权周期伤害]]* 5,0.7+0.6/(1+EXP(-(表2_5[[#This Row],[加权周期伤害]]-表2_5[[#This Row],[周期伤害]])/(表2_5[[#This Row],[加权周期伤害]]))),0.1+1.5/(1+EXP(-(表2_5[[#This Row],[加权周期伤害]]-表2_5[[#This Row],[周期伤害]])/(表2_5[[#This Row],[加权周期伤害]]*10))))</f>
        <v>0.9185029520870811</v>
      </c>
      <c r="AE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3680.1248421734695</v>
      </c>
      <c r="AF5">
        <f>1000*表2_5[[#This Row],[周期伤害]]/(表2_5[[#This Row],[射击间隔]]*表2_5[[#This Row],[弹容量]])</f>
        <v>4056.501246486665</v>
      </c>
      <c r="AG5">
        <f>IF(表2_5[[#This Row],[周期dps]]&lt;=表2_5[[#This Row],[平衡dps]] * 2,0.85+0.3365/(1+EXP(-(表2_5[[#This Row],[平衡dps]]-表2_5[[#This Row],[周期dps]])/(表2_5[[#This Row],[平衡dps]]))),0.37+1.68/(1+EXP(-(表2_5[[#This Row],[平衡dps]]-表2_5[[#This Row],[周期dps]])/(表2_5[[#This Row],[平衡dps]]*1.5))))</f>
        <v>1.0044141671821483</v>
      </c>
    </row>
    <row r="6" spans="1:33" x14ac:dyDescent="0.3">
      <c r="A6" s="2"/>
      <c r="B6" s="1" t="s">
        <v>25</v>
      </c>
      <c r="C6" t="s">
        <v>291</v>
      </c>
      <c r="D6" s="12">
        <v>30</v>
      </c>
      <c r="E6" s="12">
        <v>300</v>
      </c>
      <c r="F6" s="12">
        <v>130</v>
      </c>
      <c r="G6" s="12">
        <v>50</v>
      </c>
      <c r="H6" s="12">
        <v>200</v>
      </c>
      <c r="I6" s="12">
        <v>2</v>
      </c>
      <c r="J6" s="13">
        <v>1</v>
      </c>
      <c r="K6" s="13">
        <v>1</v>
      </c>
      <c r="L6" s="12">
        <v>1</v>
      </c>
      <c r="M6" s="12">
        <v>1</v>
      </c>
      <c r="N6" s="12">
        <v>5</v>
      </c>
      <c r="O6" s="12">
        <v>0</v>
      </c>
      <c r="Q6" s="17">
        <f>1000*表2_5[[#This Row],[周期伤害]]/(表2_5[[#This Row],[射击间隔]]*(表2_5[[#This Row],[弹容量]]-1)+900*表2_5[[#This Row],[双枪系数]])</f>
        <v>5813.7035763411277</v>
      </c>
      <c r="S6" s="17">
        <f>表2_5[[#This Row],[平衡dps]]*表2_5[[#This Row],[周期dps系数]]*1.1^O6</f>
        <v>5796.9431469071978</v>
      </c>
      <c r="V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5754.7291458986901</v>
      </c>
      <c r="W6">
        <f>(表2_5[[#This Row],[子弹威力]]*1.5+30+表2_5[[#This Row],[子弹威力]]*2*表2_5[[#This Row],[限制等级]]/256+表2_5[[#This Row],[伤害加成]]+表2_5[[#This Row],[剧毒]]/(表2_5[[#This Row],[霰弹值]]*3^(表2_5[[#This Row],[穿刺系数]]-1)))*表2_5[[#This Row],[穿刺系数]]*表2_5[[#This Row],[弹容量]]*(1+(表2_5[[#This Row],[霰弹值]]-1)*0.5)</f>
        <v>42265.625</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34262.327272727271</v>
      </c>
      <c r="Y6">
        <f>表2_5[[#This Row],[平衡周期伤害]]*1.25^表2_5[[#This Row],[额外加权层数]]</f>
        <v>34262.327272727271</v>
      </c>
      <c r="Z6">
        <f>(表2_5[[#This Row],[子弹威力]]*1.5+30+表2_5[[#This Row],[子弹威力]]*2*表2_5[[#This Row],[限制等级]]/256+表2_5[[#This Row],[伤害加成]]+表2_5[[#This Row],[剧毒]]/表2_5[[#This Row],[霰弹值]])</f>
        <v>845.3125</v>
      </c>
      <c r="AA6">
        <f>IF(表2_5[[#This Row],[限制等级]]&gt;=35,15*表2_5[[#This Row],[限制等级]]-300,5*表2_5[[#This Row],[限制等级]]+25)</f>
        <v>175</v>
      </c>
      <c r="AB6">
        <f>IF(表2_5[[#This Row],[限制等级]]&gt;=30,120,30)</f>
        <v>120</v>
      </c>
      <c r="AC6">
        <f>0.9+(1.1-0.9)*表2_5[[#This Row],[冲击力]]/(表2_5[[#This Row],[冲击力]]+50)</f>
        <v>0.91818181818181821</v>
      </c>
      <c r="AD6">
        <f>IF(表2_5[[#This Row],[周期伤害]] &lt;=表2_5[[#This Row],[加权周期伤害]]* 5,0.7+0.6/(1+EXP(-(表2_5[[#This Row],[加权周期伤害]]-表2_5[[#This Row],[周期伤害]])/(表2_5[[#This Row],[加权周期伤害]]))),0.1+1.5/(1+EXP(-(表2_5[[#This Row],[加权周期伤害]]-表2_5[[#This Row],[周期伤害]])/(表2_5[[#This Row],[加权周期伤害]]*10))))</f>
        <v>0.96512012608165687</v>
      </c>
      <c r="AE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5711.5709459459458</v>
      </c>
      <c r="AF6">
        <f>1000*表2_5[[#This Row],[周期伤害]]/(表2_5[[#This Row],[射击间隔]]*表2_5[[#This Row],[弹容量]])</f>
        <v>6502.4038461538457</v>
      </c>
      <c r="AG6">
        <f>IF(表2_5[[#This Row],[周期dps]]&lt;=表2_5[[#This Row],[平衡dps]] * 2,0.85+0.3365/(1+EXP(-(表2_5[[#This Row],[平衡dps]]-表2_5[[#This Row],[周期dps]])/(表2_5[[#This Row],[平衡dps]]))),0.37+1.68/(1+EXP(-(表2_5[[#This Row],[平衡dps]]-表2_5[[#This Row],[周期dps]])/(表2_5[[#This Row],[平衡dps]]*1.5))))</f>
        <v>1.0073355322098161</v>
      </c>
    </row>
    <row r="7" spans="1:33" x14ac:dyDescent="0.3">
      <c r="A7" s="6" t="s">
        <v>150</v>
      </c>
      <c r="B7" s="3"/>
      <c r="C7" t="s">
        <v>293</v>
      </c>
      <c r="D7" s="12">
        <v>28</v>
      </c>
      <c r="E7" s="12">
        <v>1350</v>
      </c>
      <c r="F7" s="12">
        <v>700</v>
      </c>
      <c r="G7" s="12">
        <v>9</v>
      </c>
      <c r="H7" s="12">
        <v>1000</v>
      </c>
      <c r="I7" s="12">
        <v>8</v>
      </c>
      <c r="J7" s="13">
        <v>1</v>
      </c>
      <c r="K7" s="12">
        <v>2</v>
      </c>
      <c r="L7" s="12">
        <v>1</v>
      </c>
      <c r="M7" s="12">
        <v>1</v>
      </c>
      <c r="N7" s="12">
        <v>3</v>
      </c>
      <c r="O7" s="12">
        <v>0</v>
      </c>
      <c r="Q7" s="17">
        <f>1000*表2_5[[#This Row],[周期伤害]]/(表2_5[[#This Row],[射击间隔]]*(表2_5[[#This Row],[弹容量]]-1)+900*表2_5[[#This Row],[双枪系数]])</f>
        <v>6993.1730769230771</v>
      </c>
      <c r="S7" s="17">
        <f>表2_5[[#This Row],[平衡dps]]*表2_5[[#This Row],[周期dps系数]]*1.1^O7</f>
        <v>7000.4160401056943</v>
      </c>
      <c r="V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6900.9079207587629</v>
      </c>
      <c r="W7">
        <f>(表2_5[[#This Row],[子弹威力]]*1.5+30+表2_5[[#This Row],[子弹威力]]*2*表2_5[[#This Row],[限制等级]]/256+表2_5[[#This Row],[伤害加成]]+表2_5[[#This Row],[剧毒]]/(表2_5[[#This Row],[霰弹值]]*3^(表2_5[[#This Row],[穿刺系数]]-1)))*表2_5[[#This Row],[穿刺系数]]*表2_5[[#This Row],[弹容量]]*(1+(表2_5[[#This Row],[霰弹值]]-1)*0.5)</f>
        <v>45455.625</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(表2_5[[#This Row],[子弹威力]]*1.5+30+表2_5[[#This Row],[子弹威力]]*2*表2_5[[#This Row],[限制等级]]/256+表2_5[[#This Row],[伤害加成]]+表2_5[[#This Row],[剧毒]]/表2_5[[#This Row],[霰弹值]])</f>
        <v>2545.3125</v>
      </c>
      <c r="AA7">
        <f>IF(表2_5[[#This Row],[限制等级]]&gt;=35,15*表2_5[[#This Row],[限制等级]]-300,5*表2_5[[#This Row],[限制等级]]+25)</f>
        <v>165</v>
      </c>
      <c r="AB7">
        <f>IF(表2_5[[#This Row],[限制等级]]&gt;=30,120,30)</f>
        <v>30</v>
      </c>
      <c r="AC7">
        <f>0.9+(1.1-0.9)*表2_5[[#This Row],[冲击力]]/(表2_5[[#This Row],[冲击力]]+50)</f>
        <v>0.91132075471698115</v>
      </c>
      <c r="AD7">
        <f>IF(表2_5[[#This Row],[周期伤害]] &lt;=表2_5[[#This Row],[加权周期伤害]]* 5,0.7+0.6/(1+EXP(-(表2_5[[#This Row],[加权周期伤害]]-表2_5[[#This Row],[周期伤害]])/(表2_5[[#This Row],[加权周期伤害]]))),0.1+1.5/(1+EXP(-(表2_5[[#This Row],[加权周期伤害]]-表2_5[[#This Row],[周期伤害]])/(表2_5[[#This Row],[加权周期伤害]]*10))))</f>
        <v>0.97416496193608759</v>
      </c>
      <c r="AE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6313.28125</v>
      </c>
      <c r="AF7">
        <f>1000*表2_5[[#This Row],[周期伤害]]/(表2_5[[#This Row],[射击间隔]]*表2_5[[#This Row],[弹容量]])</f>
        <v>7215.1785714285716</v>
      </c>
      <c r="AG7">
        <f>IF(表2_5[[#This Row],[周期dps]]&lt;=表2_5[[#This Row],[平衡dps]] * 2,0.85+0.3365/(1+EXP(-(表2_5[[#This Row],[平衡dps]]-表2_5[[#This Row],[周期dps]])/(表2_5[[#This Row],[平衡dps]]))),0.37+1.68/(1+EXP(-(表2_5[[#This Row],[平衡dps]]-表2_5[[#This Row],[周期dps]])/(表2_5[[#This Row],[平衡dps]]*1.5))))</f>
        <v>1.014419569205901</v>
      </c>
    </row>
    <row r="8" spans="1:33" x14ac:dyDescent="0.3">
      <c r="A8" s="6" t="s">
        <v>151</v>
      </c>
      <c r="B8" s="3"/>
      <c r="C8" t="s">
        <v>295</v>
      </c>
      <c r="D8" s="12">
        <v>35</v>
      </c>
      <c r="E8" s="12">
        <v>875</v>
      </c>
      <c r="F8" s="12">
        <v>135</v>
      </c>
      <c r="G8" s="12">
        <v>10</v>
      </c>
      <c r="H8" s="12">
        <v>500</v>
      </c>
      <c r="I8" s="12">
        <v>3</v>
      </c>
      <c r="J8" s="13">
        <v>1</v>
      </c>
      <c r="K8" s="12">
        <v>1</v>
      </c>
      <c r="L8" s="12">
        <v>1</v>
      </c>
      <c r="M8" s="12">
        <v>1</v>
      </c>
      <c r="N8" s="12">
        <v>0</v>
      </c>
      <c r="O8" s="12">
        <v>0</v>
      </c>
      <c r="Q8" s="17">
        <f>1000*表2_5[[#This Row],[周期伤害]]/(表2_5[[#This Row],[射击间隔]]*(表2_5[[#This Row],[弹容量]]-1)+900*表2_5[[#This Row],[双枪系数]])</f>
        <v>9109.9660165484638</v>
      </c>
      <c r="S8" s="17">
        <f>表2_5[[#This Row],[平衡dps]]*表2_5[[#This Row],[周期dps系数]]*1.1^O8</f>
        <v>9100.7971670791394</v>
      </c>
      <c r="V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9336.2451623569777</v>
      </c>
      <c r="W8">
        <f>(表2_5[[#This Row],[子弹威力]]*1.5+30+表2_5[[#This Row],[子弹威力]]*2*表2_5[[#This Row],[限制等级]]/256+表2_5[[#This Row],[伤害加成]]+表2_5[[#This Row],[剧毒]]/(表2_5[[#This Row],[霰弹值]]*3^(表2_5[[#This Row],[穿刺系数]]-1)))*表2_5[[#This Row],[穿刺系数]]*表2_5[[#This Row],[弹容量]]*(1+(表2_5[[#This Row],[霰弹值]]-1)*0.5)</f>
        <v>19267.578125</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41450.400000000001</v>
      </c>
      <c r="Y8">
        <f>表2_5[[#This Row],[平衡周期伤害]]*1.25^表2_5[[#This Row],[额外加权层数]]</f>
        <v>41450.400000000001</v>
      </c>
      <c r="Z8">
        <f>(表2_5[[#This Row],[子弹威力]]*1.5+30+表2_5[[#This Row],[子弹威力]]*2*表2_5[[#This Row],[限制等级]]/256+表2_5[[#This Row],[伤害加成]]+表2_5[[#This Row],[剧毒]]/表2_5[[#This Row],[霰弹值]])</f>
        <v>1926.7578125</v>
      </c>
      <c r="AA8">
        <f>IF(表2_5[[#This Row],[限制等级]]&gt;=35,15*表2_5[[#This Row],[限制等级]]-300,5*表2_5[[#This Row],[限制等级]]+25)</f>
        <v>225</v>
      </c>
      <c r="AB8">
        <f>IF(表2_5[[#This Row],[限制等级]]&gt;=30,120,30)</f>
        <v>120</v>
      </c>
      <c r="AC8">
        <f>0.9+(1.1-0.9)*表2_5[[#This Row],[冲击力]]/(表2_5[[#This Row],[冲击力]]+50)</f>
        <v>0.9</v>
      </c>
      <c r="AD8">
        <f>IF(表2_5[[#This Row],[周期伤害]] &lt;=表2_5[[#This Row],[加权周期伤害]]* 5,0.7+0.6/(1+EXP(-(表2_5[[#This Row],[加权周期伤害]]-表2_5[[#This Row],[周期伤害]])/(表2_5[[#This Row],[加权周期伤害]]))),0.1+1.5/(1+EXP(-(表2_5[[#This Row],[加权周期伤害]]-表2_5[[#This Row],[周期伤害]])/(表2_5[[#This Row],[加权周期伤害]]*10))))</f>
        <v>1.0784122376316032</v>
      </c>
      <c r="AE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8563.3680555555547</v>
      </c>
      <c r="AF8">
        <f>1000*表2_5[[#This Row],[周期伤害]]/(表2_5[[#This Row],[射击间隔]]*表2_5[[#This Row],[弹容量]])</f>
        <v>14272.280092592593</v>
      </c>
      <c r="AG8">
        <f>IF(表2_5[[#This Row],[周期dps]]&lt;=表2_5[[#This Row],[平衡dps]] * 2,0.85+0.3365/(1+EXP(-(表2_5[[#This Row],[平衡dps]]-表2_5[[#This Row],[周期dps]])/(表2_5[[#This Row],[平衡dps]]))),0.37+1.68/(1+EXP(-(表2_5[[#This Row],[平衡dps]]-表2_5[[#This Row],[周期dps]])/(表2_5[[#This Row],[平衡dps]]*1.5))))</f>
        <v>0.9747812968507783</v>
      </c>
    </row>
    <row r="9" spans="1:33" x14ac:dyDescent="0.3">
      <c r="A9" s="6" t="s">
        <v>158</v>
      </c>
      <c r="B9" s="3"/>
    </row>
    <row r="10" spans="1:33" x14ac:dyDescent="0.3">
      <c r="A10" s="7" t="s">
        <v>155</v>
      </c>
      <c r="B10" s="30" t="s">
        <v>16</v>
      </c>
      <c r="C10" s="27" t="s">
        <v>17</v>
      </c>
      <c r="D10" s="31">
        <v>13</v>
      </c>
      <c r="E10" s="31">
        <v>65</v>
      </c>
      <c r="F10" s="31">
        <v>65</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2122.3827733199601</v>
      </c>
      <c r="S10">
        <f>表2_5[[#This Row],[平衡dps]]*表2_5[[#This Row],[周期dps系数]]*1.1^O10</f>
        <v>2094.0524816248567</v>
      </c>
      <c r="T10" s="27"/>
      <c r="U10" s="27"/>
      <c r="V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2146.1757996030078</v>
      </c>
      <c r="W10">
        <f>(表2_5[[#This Row],[子弹威力]]+20+表2_5[[#This Row],[子弹威力]]*2*表2_5[[#This Row],[限制等级]]/256+表2_5[[#This Row],[伤害加成]]+表2_5[[#This Row],[剧毒]]/(表2_5[[#This Row],[霰弹值]]*3^(表2_5[[#This Row],[穿刺系数]]-1)))*表2_5[[#This Row],[穿刺系数]]*表2_5[[#This Row],[弹容量]]*(1+(表2_5[[#This Row],[霰弹值]]-1)*0.5)</f>
        <v>10580.078125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s="27">
        <f>(表2_5[[#This Row],[子弹威力]]+20+表2_5[[#This Row],[子弹威力]]*2*表2_5[[#This Row],[限制等级]]/256+表2_5[[#This Row],[伤害加成]]+表2_5[[#This Row],[剧毒]]/表2_5[[#This Row],[霰弹值]])</f>
        <v>211.6015625</v>
      </c>
      <c r="AA10" s="27">
        <f>IF(表2_5[[#This Row],[限制等级]]&gt;=35,15*表2_5[[#This Row],[限制等级]]-300,5*表2_5[[#This Row],[限制等级]]+25)</f>
        <v>90</v>
      </c>
      <c r="AB10" s="32">
        <f>IF(表2_5[[#This Row],[限制等级]]&gt;=30,120,30)</f>
        <v>30</v>
      </c>
      <c r="AC10">
        <f>0.9+(1.1-0.9)*表2_5[[#This Row],[冲击力]]/(表2_5[[#This Row],[冲击力]]+50)</f>
        <v>1</v>
      </c>
      <c r="AD10">
        <f>IF(表2_5[[#This Row],[周期伤害]] &lt;=表2_5[[#This Row],[加权周期伤害]]* 5,0.7+0.6/(1+EXP(-(表2_5[[#This Row],[加权周期伤害]]-表2_5[[#This Row],[周期伤害]])/(表2_5[[#This Row],[加权周期伤害]]))),0.1+1.5/(1+EXP(-(表2_5[[#This Row],[加权周期伤害]]-表2_5[[#This Row],[周期伤害]])/(表2_5[[#This Row],[加权周期伤害]]*10))))</f>
        <v>1.0102254005776086</v>
      </c>
      <c r="AE10" s="27">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2095.0649752475247</v>
      </c>
      <c r="AF10">
        <f>1000*表2_5[[#This Row],[周期伤害]]/(表2_5[[#This Row],[射击间隔]]*表2_5[[#This Row],[弹容量]])</f>
        <v>3255.4086538461538</v>
      </c>
      <c r="AG10">
        <f>IF(表2_5[[#This Row],[周期dps]]&lt;=表2_5[[#This Row],[平衡dps]] * 2,0.85+0.3365/(1+EXP(-(表2_5[[#This Row],[平衡dps]]-表2_5[[#This Row],[周期dps]])/(表2_5[[#This Row],[平衡dps]]))),0.37+1.68/(1+EXP(-(表2_5[[#This Row],[平衡dps]]-表2_5[[#This Row],[周期dps]])/(表2_5[[#This Row],[平衡dps]]*1.5))))</f>
        <v>0.97571339776182697</v>
      </c>
    </row>
    <row r="11" spans="1:33" x14ac:dyDescent="0.3">
      <c r="A11" s="7" t="s">
        <v>156</v>
      </c>
      <c r="B11" s="30" t="s">
        <v>21</v>
      </c>
      <c r="C11" s="27" t="s">
        <v>26</v>
      </c>
      <c r="D11" s="27">
        <v>22</v>
      </c>
      <c r="E11" s="27">
        <v>660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3412.5</v>
      </c>
      <c r="S11">
        <f>表2_5[[#This Row],[平衡dps]]*表2_5[[#This Row],[周期dps系数]]*1.1^O11</f>
        <v>3406.9387892036189</v>
      </c>
      <c r="T11" s="27"/>
      <c r="U11" s="27"/>
      <c r="V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3272.450318673662</v>
      </c>
      <c r="W11">
        <f>(表2_5[[#This Row],[子弹威力]]+20+表2_5[[#This Row],[子弹威力]]*2*表2_5[[#This Row],[限制等级]]/256+表2_5[[#This Row],[伤害加成]]+表2_5[[#This Row],[剧毒]]/(表2_5[[#This Row],[霰弹值]]*3^(表2_5[[#This Row],[穿刺系数]]-1)))*表2_5[[#This Row],[穿刺系数]]*表2_5[[#This Row],[弹容量]]*(1+(表2_5[[#This Row],[霰弹值]]-1)*0.5)</f>
        <v>11261.25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s="27">
        <f>(表2_5[[#This Row],[子弹威力]]+20+表2_5[[#This Row],[子弹威力]]*2*表2_5[[#This Row],[限制等级]]/256+表2_5[[#This Row],[伤害加成]]+表2_5[[#This Row],[剧毒]]/表2_5[[#This Row],[霰弹值]])</f>
        <v>958.4375</v>
      </c>
      <c r="AA11" s="27">
        <f>IF(表2_5[[#This Row],[限制等级]]&gt;=35,15*表2_5[[#This Row],[限制等级]]-300,5*表2_5[[#This Row],[限制等级]]+25)</f>
        <v>135</v>
      </c>
      <c r="AB11" s="32">
        <f>IF(表2_5[[#This Row],[限制等级]]&gt;=30,120,30)</f>
        <v>30</v>
      </c>
      <c r="AC11">
        <f>0.9+(1.1-0.9)*表2_5[[#This Row],[冲击力]]/(表2_5[[#This Row],[冲击力]]+50)</f>
        <v>0.93333333333333335</v>
      </c>
      <c r="AD11">
        <f>IF(表2_5[[#This Row],[周期伤害]] &lt;=表2_5[[#This Row],[加权周期伤害]]* 5,0.7+0.6/(1+EXP(-(表2_5[[#This Row],[加权周期伤害]]-表2_5[[#This Row],[周期伤害]])/(表2_5[[#This Row],[加权周期伤害]]))),0.1+1.5/(1+EXP(-(表2_5[[#This Row],[加权周期伤害]]-表2_5[[#This Row],[周期伤害]])/(表2_5[[#This Row],[加权周期伤害]]*10))))</f>
        <v>1.0692545406098615</v>
      </c>
      <c r="AE11" s="27">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3128.125</v>
      </c>
      <c r="AF11">
        <f>1000*表2_5[[#This Row],[周期伤害]]/(表2_5[[#This Row],[射击间隔]]*表2_5[[#This Row],[弹容量]])</f>
        <v>6256.25</v>
      </c>
      <c r="AG11">
        <f>IF(表2_5[[#This Row],[周期dps]]&lt;=表2_5[[#This Row],[平衡dps]] * 2,0.85+0.3365/(1+EXP(-(表2_5[[#This Row],[平衡dps]]-表2_5[[#This Row],[周期dps]])/(表2_5[[#This Row],[平衡dps]]))),0.37+1.68/(1+EXP(-(表2_5[[#This Row],[平衡dps]]-表2_5[[#This Row],[周期dps]])/(表2_5[[#This Row],[平衡dps]]*1.5))))</f>
        <v>0.94645197924639968</v>
      </c>
    </row>
    <row r="12" spans="1:33" x14ac:dyDescent="0.3">
      <c r="A12" s="7" t="s">
        <v>157</v>
      </c>
      <c r="B12" s="30" t="s">
        <v>289</v>
      </c>
      <c r="C12" s="27" t="s">
        <v>47</v>
      </c>
      <c r="D12" s="31">
        <v>13</v>
      </c>
      <c r="E12" s="31">
        <v>50</v>
      </c>
      <c r="F12" s="31">
        <v>350</v>
      </c>
      <c r="G12" s="31">
        <v>8</v>
      </c>
      <c r="H12" s="31">
        <v>150</v>
      </c>
      <c r="I12" s="31">
        <v>3</v>
      </c>
      <c r="J12" s="31">
        <v>2</v>
      </c>
      <c r="K12" s="31">
        <v>1</v>
      </c>
      <c r="L12" s="27">
        <v>1</v>
      </c>
      <c r="M12" s="31">
        <v>12</v>
      </c>
      <c r="N12" s="31">
        <v>20</v>
      </c>
      <c r="O12" s="31">
        <v>0</v>
      </c>
      <c r="P12" s="27"/>
      <c r="Q12">
        <f>1000*表2_5[[#This Row],[周期伤害]]/(表2_5[[#This Row],[射击间隔]]*(表2_5[[#This Row],[弹容量]]-1)+900*表2_5[[#This Row],[双枪系数]])</f>
        <v>2050.3676470588234</v>
      </c>
      <c r="S12">
        <f>表2_5[[#This Row],[平衡dps]]*表2_5[[#This Row],[周期dps系数]]*1.1^O12</f>
        <v>1995.7915104554888</v>
      </c>
      <c r="T12" s="27"/>
      <c r="U12" s="27"/>
      <c r="V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2046.1527025969765</v>
      </c>
      <c r="W12">
        <f>(表2_5[[#This Row],[子弹威力]]+20+表2_5[[#This Row],[子弹威力]]*2*表2_5[[#This Row],[限制等级]]/256+表2_5[[#This Row],[伤害加成]]+表2_5[[#This Row],[剧毒]]/(表2_5[[#This Row],[霰弹值]]*3^(表2_5[[#This Row],[穿刺系数]]-1)))*表2_5[[#This Row],[穿刺系数]]*表2_5[[#This Row],[弹容量]]*(1+(表2_5[[#This Row],[霰弹值]]-1)*0.5)</f>
        <v>8714.0625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s="27">
        <f>(表2_5[[#This Row],[子弹威力]]+20+表2_5[[#This Row],[子弹威力]]*2*表2_5[[#This Row],[限制等级]]/256+表2_5[[#This Row],[伤害加成]]+表2_5[[#This Row],[剧毒]]/表2_5[[#This Row],[霰弹值]])</f>
        <v>167.578125</v>
      </c>
      <c r="AA12" s="27">
        <f>IF(表2_5[[#This Row],[限制等级]]&gt;=35,15*表2_5[[#This Row],[限制等级]]-300,5*表2_5[[#This Row],[限制等级]]+25)</f>
        <v>90</v>
      </c>
      <c r="AB12" s="32">
        <f>IF(表2_5[[#This Row],[限制等级]]&gt;=30,120,30)</f>
        <v>30</v>
      </c>
      <c r="AC12">
        <f>0.9+(1.1-0.9)*表2_5[[#This Row],[冲击力]]/(表2_5[[#This Row],[冲击力]]+50)</f>
        <v>0.95714285714285718</v>
      </c>
      <c r="AD12">
        <f>IF(表2_5[[#This Row],[周期伤害]] &lt;=表2_5[[#This Row],[加权周期伤害]]* 5,0.7+0.6/(1+EXP(-(表2_5[[#This Row],[加权周期伤害]]-表2_5[[#This Row],[周期伤害]])/(表2_5[[#This Row],[加权周期伤害]]))),0.1+1.5/(1+EXP(-(表2_5[[#This Row],[加权周期伤害]]-表2_5[[#This Row],[周期伤害]])/(表2_5[[#This Row],[加权周期伤害]]*10))))</f>
        <v>1.0264624250823</v>
      </c>
      <c r="AE12" s="27">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1894.3614130434783</v>
      </c>
      <c r="AF12">
        <f>1000*表2_5[[#This Row],[周期伤害]]/(表2_5[[#This Row],[射击间隔]]*表2_5[[#This Row],[弹容量]])</f>
        <v>3112.1651785714284</v>
      </c>
      <c r="AG12">
        <f>IF(表2_5[[#This Row],[周期dps]]&lt;=表2_5[[#This Row],[平衡dps]] * 2,0.85+0.3365/(1+EXP(-(表2_5[[#This Row],[平衡dps]]-表2_5[[#This Row],[周期dps]])/(表2_5[[#This Row],[平衡dps]]))),0.37+1.68/(1+EXP(-(表2_5[[#This Row],[平衡dps]]-表2_5[[#This Row],[周期dps]])/(表2_5[[#This Row],[平衡dps]]*1.5))))</f>
        <v>0.97538737354373928</v>
      </c>
    </row>
    <row r="13" spans="1:33" x14ac:dyDescent="0.3">
      <c r="A13" s="15" t="s">
        <v>149</v>
      </c>
      <c r="B13" s="1" t="s">
        <v>25</v>
      </c>
      <c r="C13" t="s">
        <v>292</v>
      </c>
      <c r="D13" s="12">
        <v>15</v>
      </c>
      <c r="E13" s="12">
        <v>85</v>
      </c>
      <c r="F13" s="12">
        <v>70</v>
      </c>
      <c r="G13" s="12">
        <v>50</v>
      </c>
      <c r="H13" s="12">
        <v>150</v>
      </c>
      <c r="I13" s="12">
        <v>3</v>
      </c>
      <c r="J13" s="13">
        <v>2</v>
      </c>
      <c r="K13" s="13">
        <v>1</v>
      </c>
      <c r="L13" s="12">
        <v>1</v>
      </c>
      <c r="M13" s="12">
        <v>1</v>
      </c>
      <c r="N13" s="12">
        <v>50</v>
      </c>
      <c r="O13" s="12">
        <v>0</v>
      </c>
      <c r="Q13" s="17">
        <f>1000*表2_5[[#This Row],[周期伤害]]/(表2_5[[#This Row],[射击间隔]]*(表2_5[[#This Row],[弹容量]]-1)+900*表2_5[[#This Row],[双枪系数]])</f>
        <v>2341.8827676864244</v>
      </c>
      <c r="S13" s="17">
        <f>表2_5[[#This Row],[平衡dps]]*表2_5[[#This Row],[周期dps系数]]*1.1^O13</f>
        <v>2288.1077754127227</v>
      </c>
      <c r="V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2340.9062800186621</v>
      </c>
      <c r="W13">
        <f>(表2_5[[#This Row],[子弹威力]]+20+表2_5[[#This Row],[子弹威力]]*2*表2_5[[#This Row],[限制等级]]/256+表2_5[[#This Row],[伤害加成]]+表2_5[[#This Row],[剧毒]]/(表2_5[[#This Row],[霰弹值]]*3^(表2_5[[#This Row],[穿刺系数]]-1)))*表2_5[[#This Row],[穿刺系数]]*表2_5[[#This Row],[弹容量]]*(1+(表2_5[[#This Row],[霰弹值]]-1)*0.5)</f>
        <v>12248.046875</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12786.4</v>
      </c>
      <c r="Y13">
        <f>表2_5[[#This Row],[平衡周期伤害]]*1.25^表2_5[[#This Row],[额外加权层数]]</f>
        <v>12786.4</v>
      </c>
      <c r="Z13" s="27">
        <f>(表2_5[[#This Row],[子弹威力]]+20+表2_5[[#This Row],[子弹威力]]*2*表2_5[[#This Row],[限制等级]]/256+表2_5[[#This Row],[伤害加成]]+表2_5[[#This Row],[剧毒]]/表2_5[[#This Row],[霰弹值]])</f>
        <v>244.9609375</v>
      </c>
      <c r="AA13">
        <f>IF(表2_5[[#This Row],[限制等级]]&gt;=35,15*表2_5[[#This Row],[限制等级]]-300,5*表2_5[[#This Row],[限制等级]]+25)</f>
        <v>100</v>
      </c>
      <c r="AB13">
        <f>IF(表2_5[[#This Row],[限制等级]]&gt;=30,120,30)</f>
        <v>30</v>
      </c>
      <c r="AC13">
        <f>0.9+(1.1-0.9)*表2_5[[#This Row],[冲击力]]/(表2_5[[#This Row],[冲击力]]+50)</f>
        <v>1</v>
      </c>
      <c r="AD13">
        <f>IF(表2_5[[#This Row],[周期伤害]] &lt;=表2_5[[#This Row],[加权周期伤害]]* 5,0.7+0.6/(1+EXP(-(表2_5[[#This Row],[加权周期伤害]]-表2_5[[#This Row],[周期伤害]])/(表2_5[[#This Row],[加权周期伤害]]))),0.1+1.5/(1+EXP(-(表2_5[[#This Row],[加权周期伤害]]-表2_5[[#This Row],[周期伤害]])/(表2_5[[#This Row],[加权周期伤害]]*10))))</f>
        <v>1.0063146031376298</v>
      </c>
      <c r="AE13" s="27">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2310.9522405660377</v>
      </c>
      <c r="AF13">
        <f>1000*表2_5[[#This Row],[周期伤害]]/(表2_5[[#This Row],[射击间隔]]*表2_5[[#This Row],[弹容量]])</f>
        <v>3499.4419642857142</v>
      </c>
      <c r="AG13">
        <f>IF(表2_5[[#This Row],[周期dps]]&lt;=表2_5[[#This Row],[平衡dps]] * 2,0.85+0.3365/(1+EXP(-(表2_5[[#This Row],[平衡dps]]-表2_5[[#This Row],[周期dps]])/(表2_5[[#This Row],[平衡dps]]))),0.37+1.68/(1+EXP(-(表2_5[[#This Row],[平衡dps]]-表2_5[[#This Row],[周期dps]])/(表2_5[[#This Row],[平衡dps]]*1.5))))</f>
        <v>0.97744527192027586</v>
      </c>
    </row>
    <row r="14" spans="1:33" x14ac:dyDescent="0.3">
      <c r="A14" s="15" t="s">
        <v>159</v>
      </c>
      <c r="B14" s="3"/>
      <c r="C14" t="s">
        <v>294</v>
      </c>
      <c r="D14" s="12">
        <v>50</v>
      </c>
      <c r="E14" s="12">
        <v>135</v>
      </c>
      <c r="F14" s="12">
        <v>150</v>
      </c>
      <c r="G14" s="12">
        <v>50</v>
      </c>
      <c r="H14" s="12">
        <v>400</v>
      </c>
      <c r="I14" s="12">
        <v>8</v>
      </c>
      <c r="J14" s="13">
        <v>2</v>
      </c>
      <c r="K14" s="13">
        <v>2</v>
      </c>
      <c r="L14" s="12">
        <v>1</v>
      </c>
      <c r="M14" s="12">
        <v>1</v>
      </c>
      <c r="N14" s="12">
        <v>50</v>
      </c>
      <c r="O14" s="12">
        <v>0</v>
      </c>
      <c r="Q14" s="17">
        <f>1000*表2_5[[#This Row],[周期伤害]]/(表2_5[[#This Row],[射击间隔]]*(表2_5[[#This Row],[弹容量]]-1)+900*表2_5[[#This Row],[双枪系数]])</f>
        <v>7625.5122950819668</v>
      </c>
      <c r="S14" s="17">
        <f>表2_5[[#This Row],[平衡dps]]*表2_5[[#This Row],[周期dps系数]]*1.1^O14</f>
        <v>7592.2979954978318</v>
      </c>
      <c r="V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7596.6188542308455</v>
      </c>
      <c r="W14">
        <f>(表2_5[[#This Row],[子弹威力]]+20+表2_5[[#This Row],[子弹威力]]*2*表2_5[[#This Row],[限制等级]]/256+表2_5[[#This Row],[伤害加成]]+表2_5[[#This Row],[剧毒]]/(表2_5[[#This Row],[霰弹值]]*3^(表2_5[[#This Row],[穿刺系数]]-1)))*表2_5[[#This Row],[穿刺系数]]*表2_5[[#This Row],[弹容量]]*(1+(表2_5[[#This Row],[霰弹值]]-1)*0.5)</f>
        <v>69773.4375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52222.400000000001</v>
      </c>
      <c r="Y14">
        <f>表2_5[[#This Row],[平衡周期伤害]]*1.25^表2_5[[#This Row],[额外加权层数]]</f>
        <v>52222.400000000001</v>
      </c>
      <c r="Z14" s="27">
        <f>(表2_5[[#This Row],[子弹威力]]+20+表2_5[[#This Row],[子弹威力]]*2*表2_5[[#This Row],[限制等级]]/256+表2_5[[#This Row],[伤害加成]]+表2_5[[#This Row],[剧毒]]/表2_5[[#This Row],[霰弹值]])</f>
        <v>777.734375</v>
      </c>
      <c r="AA14">
        <f>IF(表2_5[[#This Row],[限制等级]]&gt;=35,15*表2_5[[#This Row],[限制等级]]-300,5*表2_5[[#This Row],[限制等级]]+25)</f>
        <v>450</v>
      </c>
      <c r="AB14">
        <f>IF(表2_5[[#This Row],[限制等级]]&gt;=30,120,30)</f>
        <v>120</v>
      </c>
      <c r="AC14">
        <f>0.9+(1.1-0.9)*表2_5[[#This Row],[冲击力]]/(表2_5[[#This Row],[冲击力]]+50)</f>
        <v>1</v>
      </c>
      <c r="AD14">
        <f>IF(表2_5[[#This Row],[周期伤害]] &lt;=表2_5[[#This Row],[加权周期伤害]]* 5,0.7+0.6/(1+EXP(-(表2_5[[#This Row],[加权周期伤害]]-表2_5[[#This Row],[周期伤害]])/(表2_5[[#This Row],[加权周期伤害]]))),0.1+1.5/(1+EXP(-(表2_5[[#This Row],[加权周期伤害]]-表2_5[[#This Row],[周期伤害]])/(表2_5[[#This Row],[加权周期伤害]]*10))))</f>
        <v>0.95005683075029657</v>
      </c>
      <c r="AE14" s="27">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7502.5201612903229</v>
      </c>
      <c r="AF14">
        <f>1000*表2_5[[#This Row],[周期伤害]]/(表2_5[[#This Row],[射击间隔]]*表2_5[[#This Row],[弹容量]])</f>
        <v>9303.125</v>
      </c>
      <c r="AG14">
        <f>IF(表2_5[[#This Row],[周期dps]]&lt;=表2_5[[#This Row],[平衡dps]] * 2,0.85+0.3365/(1+EXP(-(表2_5[[#This Row],[平衡dps]]-表2_5[[#This Row],[周期dps]])/(表2_5[[#This Row],[平衡dps]]))),0.37+1.68/(1+EXP(-(表2_5[[#This Row],[平衡dps]]-表2_5[[#This Row],[周期dps]])/(表2_5[[#This Row],[平衡dps]]*1.5))))</f>
        <v>0.99943121290985826</v>
      </c>
    </row>
    <row r="15" spans="1:33" x14ac:dyDescent="0.3">
      <c r="A15" s="15" t="s">
        <v>316</v>
      </c>
      <c r="B15" s="3"/>
      <c r="C15" t="s">
        <v>295</v>
      </c>
      <c r="D15" s="12">
        <v>30</v>
      </c>
      <c r="E15" s="12">
        <v>220</v>
      </c>
      <c r="F15" s="12">
        <v>80</v>
      </c>
      <c r="G15" s="12">
        <v>35</v>
      </c>
      <c r="H15" s="12">
        <v>100</v>
      </c>
      <c r="I15" s="12">
        <v>3</v>
      </c>
      <c r="J15" s="13">
        <v>2</v>
      </c>
      <c r="K15" s="12">
        <v>1</v>
      </c>
      <c r="L15" s="12">
        <v>1</v>
      </c>
      <c r="M15" s="12">
        <v>1</v>
      </c>
      <c r="N15" s="12">
        <v>15</v>
      </c>
      <c r="O15" s="12">
        <v>0</v>
      </c>
      <c r="Q15" s="17">
        <f>1000*表2_5[[#This Row],[周期伤害]]/(表2_5[[#This Row],[射击间隔]]*(表2_5[[#This Row],[弹容量]]-1)+900*表2_5[[#This Row],[双枪系数]])</f>
        <v>4541.9662610619471</v>
      </c>
      <c r="S15" s="17">
        <f>表2_5[[#This Row],[平衡dps]]*表2_5[[#This Row],[周期dps系数]]*1.1^O15</f>
        <v>4262.6652760211919</v>
      </c>
      <c r="V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4418.6077925410727</v>
      </c>
      <c r="W15">
        <f>(表2_5[[#This Row],[子弹威力]]+20+表2_5[[#This Row],[子弹威力]]*2*表2_5[[#This Row],[限制等级]]/256+表2_5[[#This Row],[伤害加成]]+表2_5[[#This Row],[剧毒]]/(表2_5[[#This Row],[霰弹值]]*3^(表2_5[[#This Row],[穿刺系数]]-1)))*表2_5[[#This Row],[穿刺系数]]*表2_5[[#This Row],[弹容量]]*(1+(表2_5[[#This Row],[霰弹值]]-1)*0.5)</f>
        <v>20529.6875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24795.169230769236</v>
      </c>
      <c r="Y15">
        <f>表2_5[[#This Row],[平衡周期伤害]]*1.25^表2_5[[#This Row],[额外加权层数]]</f>
        <v>24795.169230769236</v>
      </c>
      <c r="Z15" s="27">
        <f>(表2_5[[#This Row],[子弹威力]]+20+表2_5[[#This Row],[子弹威力]]*2*表2_5[[#This Row],[限制等级]]/256+表2_5[[#This Row],[伤害加成]]+表2_5[[#This Row],[剧毒]]/表2_5[[#This Row],[霰弹值]])</f>
        <v>586.5625</v>
      </c>
      <c r="AA15">
        <f>IF(表2_5[[#This Row],[限制等级]]&gt;=35,15*表2_5[[#This Row],[限制等级]]-300,5*表2_5[[#This Row],[限制等级]]+25)</f>
        <v>175</v>
      </c>
      <c r="AB15">
        <f>IF(表2_5[[#This Row],[限制等级]]&gt;=30,120,30)</f>
        <v>120</v>
      </c>
      <c r="AC15">
        <f>0.9+(1.1-0.9)*表2_5[[#This Row],[冲击力]]/(表2_5[[#This Row],[冲击力]]+50)</f>
        <v>0.94615384615384623</v>
      </c>
      <c r="AD15">
        <f>IF(表2_5[[#This Row],[周期伤害]] &lt;=表2_5[[#This Row],[加权周期伤害]]* 5,0.7+0.6/(1+EXP(-(表2_5[[#This Row],[加权周期伤害]]-表2_5[[#This Row],[周期伤害]])/(表2_5[[#This Row],[加权周期伤害]]))),0.1+1.5/(1+EXP(-(表2_5[[#This Row],[加权周期伤害]]-表2_5[[#This Row],[周期伤害]])/(表2_5[[#This Row],[加权周期伤害]]*10))))</f>
        <v>1.0257408613358299</v>
      </c>
      <c r="AE15" s="27">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Row],[弹容量]]+900*表2_5[[#This Row],[双枪系数]])</f>
        <v>4462.975543478261</v>
      </c>
      <c r="AF15">
        <f>1000*表2_5[[#This Row],[周期伤害]]/(表2_5[[#This Row],[射击间隔]]*表2_5[[#This Row],[弹容量]])</f>
        <v>7332.03125</v>
      </c>
      <c r="AG15">
        <f>IF(表2_5[[#This Row],[周期dps]]&lt;=表2_5[[#This Row],[平衡dps]] * 2,0.85+0.3365/(1+EXP(-(表2_5[[#This Row],[平衡dps]]-表2_5[[#This Row],[周期dps]])/(表2_5[[#This Row],[平衡dps]]))),0.37+1.68/(1+EXP(-(表2_5[[#This Row],[平衡dps]]-表2_5[[#This Row],[周期dps]])/(表2_5[[#This Row],[平衡dps]]*1.5))))</f>
        <v>0.96470777135207098</v>
      </c>
    </row>
    <row r="16" spans="1:33" x14ac:dyDescent="0.3">
      <c r="B16" s="3"/>
    </row>
    <row r="17" spans="2:33" x14ac:dyDescent="0.3">
      <c r="B17" s="3"/>
      <c r="C17" s="2" t="s">
        <v>242</v>
      </c>
      <c r="D17" s="3"/>
      <c r="E17" s="3"/>
      <c r="F17" s="3"/>
      <c r="G17" s="3"/>
      <c r="H17" s="3"/>
      <c r="I17" s="3"/>
    </row>
    <row r="18" spans="2:33" x14ac:dyDescent="0.3">
      <c r="B18" s="3"/>
      <c r="C18" s="2" t="s">
        <v>283</v>
      </c>
      <c r="D18" s="2" t="s">
        <v>287</v>
      </c>
    </row>
    <row r="19" spans="2:33" x14ac:dyDescent="0.3">
      <c r="B19" s="3"/>
      <c r="C19" s="2" t="s">
        <v>284</v>
      </c>
      <c r="D19" s="2" t="s">
        <v>288</v>
      </c>
    </row>
    <row r="20" spans="2:33" x14ac:dyDescent="0.3">
      <c r="B20" s="3"/>
      <c r="C20" s="2" t="s">
        <v>285</v>
      </c>
      <c r="D20" s="2" t="s">
        <v>309</v>
      </c>
      <c r="O20" s="29" t="s">
        <v>296</v>
      </c>
    </row>
    <row r="21" spans="2:33" x14ac:dyDescent="0.3">
      <c r="B21" s="3"/>
      <c r="C21" s="2" t="s">
        <v>286</v>
      </c>
      <c r="D21" s="2" t="s">
        <v>328</v>
      </c>
    </row>
    <row r="22" spans="2:33" x14ac:dyDescent="0.3">
      <c r="B22" s="3"/>
    </row>
    <row r="23" spans="2:33" x14ac:dyDescent="0.3">
      <c r="B23" s="4" t="s">
        <v>40</v>
      </c>
      <c r="C23" s="2" t="s">
        <v>315</v>
      </c>
    </row>
    <row r="24" spans="2:33" x14ac:dyDescent="0.3">
      <c r="B24" s="3"/>
      <c r="C24" t="s">
        <v>322</v>
      </c>
      <c r="AD24" s="2" t="s">
        <v>276</v>
      </c>
    </row>
    <row r="25" spans="2:33" x14ac:dyDescent="0.3">
      <c r="B25" s="3"/>
      <c r="AE25" t="s">
        <v>90</v>
      </c>
      <c r="AF25" t="s">
        <v>169</v>
      </c>
      <c r="AG25" t="s">
        <v>279</v>
      </c>
    </row>
    <row r="26" spans="2:33" x14ac:dyDescent="0.3">
      <c r="B26" s="4" t="s">
        <v>41</v>
      </c>
      <c r="C26" t="s">
        <v>310</v>
      </c>
      <c r="AD26" s="2" t="s">
        <v>277</v>
      </c>
      <c r="AE26" s="28">
        <v>10</v>
      </c>
      <c r="AF26" s="28">
        <v>75</v>
      </c>
      <c r="AG26" s="28">
        <v>30</v>
      </c>
    </row>
    <row r="27" spans="2:33" x14ac:dyDescent="0.3">
      <c r="C27" t="s">
        <v>311</v>
      </c>
      <c r="AE27" s="28">
        <v>20</v>
      </c>
      <c r="AF27" s="28">
        <v>125</v>
      </c>
      <c r="AG27" s="28">
        <v>30</v>
      </c>
    </row>
    <row r="28" spans="2:33" x14ac:dyDescent="0.3">
      <c r="C28" t="s">
        <v>185</v>
      </c>
      <c r="AE28" s="28">
        <v>30</v>
      </c>
      <c r="AF28" s="28">
        <v>150</v>
      </c>
      <c r="AG28" s="28">
        <v>120</v>
      </c>
    </row>
    <row r="29" spans="2:33" x14ac:dyDescent="0.3">
      <c r="C29" t="s">
        <v>48</v>
      </c>
      <c r="AE29" s="28">
        <v>40</v>
      </c>
      <c r="AF29" s="28">
        <v>300</v>
      </c>
      <c r="AG29" s="28">
        <v>120</v>
      </c>
    </row>
    <row r="30" spans="2:33" x14ac:dyDescent="0.3">
      <c r="C30" t="s">
        <v>312</v>
      </c>
      <c r="AE30" s="28">
        <v>50</v>
      </c>
      <c r="AF30" s="28">
        <v>475</v>
      </c>
      <c r="AG30" s="28">
        <v>120</v>
      </c>
    </row>
    <row r="31" spans="2:33" x14ac:dyDescent="0.3">
      <c r="C31" t="s">
        <v>313</v>
      </c>
      <c r="AD31" s="2" t="s">
        <v>278</v>
      </c>
      <c r="AE31" s="12">
        <v>10</v>
      </c>
      <c r="AF31" s="16">
        <f>IF(AE31&gt;=35,15*AE31-300,5*AE31+25)</f>
        <v>75</v>
      </c>
      <c r="AG31" s="16">
        <f>IF(AE31&gt;=30,120,30)</f>
        <v>30</v>
      </c>
    </row>
    <row r="32" spans="2:33" x14ac:dyDescent="0.3">
      <c r="C32" t="s">
        <v>143</v>
      </c>
    </row>
    <row r="33" spans="3:3" x14ac:dyDescent="0.3">
      <c r="C33" t="s">
        <v>342</v>
      </c>
    </row>
  </sheetData>
  <phoneticPr fontId="1" type="noConversion"/>
  <pageMargins left="0.7" right="0.7" top="0.75" bottom="0.75" header="0.3" footer="0.3"/>
  <pageSetup paperSize="9" orientation="portrait" r:id="rId1"/>
  <ignoredErrors>
    <ignoredError sqref="AA3 AA4:AA5 AA6:AA15 W16 W10:W15 W3:W8 AD3:AD15 X3:X15 V3:V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workbookViewId="0">
      <selection activeCell="I21" sqref="I21"/>
    </sheetView>
  </sheetViews>
  <sheetFormatPr defaultRowHeight="14" x14ac:dyDescent="0.3"/>
  <cols>
    <col min="11" max="11" width="12.33203125" bestFit="1" customWidth="1"/>
    <col min="21" max="21" width="9.08203125" bestFit="1" customWidth="1"/>
  </cols>
  <sheetData>
    <row r="1" spans="1:23" x14ac:dyDescent="0.3">
      <c r="A1" t="s">
        <v>145</v>
      </c>
      <c r="R1" t="s">
        <v>144</v>
      </c>
    </row>
    <row r="2" spans="1:23" x14ac:dyDescent="0.3">
      <c r="B2" t="s">
        <v>110</v>
      </c>
      <c r="S2" t="s">
        <v>146</v>
      </c>
    </row>
    <row r="5" spans="1:23" x14ac:dyDescent="0.3">
      <c r="C5" t="s">
        <v>111</v>
      </c>
      <c r="D5" t="s">
        <v>112</v>
      </c>
      <c r="E5" t="s">
        <v>114</v>
      </c>
      <c r="F5" t="s">
        <v>116</v>
      </c>
      <c r="G5" t="s">
        <v>117</v>
      </c>
      <c r="H5" t="s">
        <v>118</v>
      </c>
      <c r="J5" t="s">
        <v>113</v>
      </c>
      <c r="K5" t="s">
        <v>119</v>
      </c>
      <c r="M5" t="s">
        <v>115</v>
      </c>
      <c r="O5" t="s">
        <v>142</v>
      </c>
      <c r="R5" t="s">
        <v>111</v>
      </c>
      <c r="S5" t="s">
        <v>147</v>
      </c>
      <c r="T5" t="s">
        <v>113</v>
      </c>
      <c r="U5" t="s">
        <v>119</v>
      </c>
      <c r="W5" t="s">
        <v>115</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61000</v>
      </c>
      <c r="D29">
        <v>8000</v>
      </c>
      <c r="E29">
        <v>0</v>
      </c>
      <c r="F29">
        <f>D29*(1-E29)</f>
        <v>8000</v>
      </c>
      <c r="G29">
        <f>1-(1-(F29/(F29+300)))</f>
        <v>0.96385542168674698</v>
      </c>
      <c r="H29">
        <f>(1-(F29/(F29+300)))</f>
        <v>3.6144578313253017E-2</v>
      </c>
      <c r="J29">
        <v>10000</v>
      </c>
      <c r="K29">
        <f>J29/H29</f>
        <v>276666.66666666663</v>
      </c>
      <c r="M29">
        <f>C29*(1-(F29/(F29+300)))</f>
        <v>2204.8192771084341</v>
      </c>
      <c r="N29">
        <f>M28-M29</f>
        <v>-1761.4695234138535</v>
      </c>
      <c r="O29">
        <f t="shared" si="4"/>
        <v>4.5355191256830594</v>
      </c>
      <c r="S29">
        <f>1300/18000</f>
        <v>7.2222222222222215E-2</v>
      </c>
    </row>
    <row r="30" spans="3:19" x14ac:dyDescent="0.3">
      <c r="S30">
        <f>18000/30</f>
        <v>600</v>
      </c>
    </row>
    <row r="31" spans="3:19" x14ac:dyDescent="0.3">
      <c r="C31">
        <f>25000+3.5*D31*0.9</f>
        <v>50200</v>
      </c>
      <c r="D31">
        <v>8000</v>
      </c>
      <c r="E31">
        <v>0</v>
      </c>
      <c r="F31">
        <f>D31*(1-E31)</f>
        <v>8000</v>
      </c>
      <c r="G31">
        <f>1-(1-(F31/(F31+300)))</f>
        <v>0.96385542168674698</v>
      </c>
      <c r="H31">
        <f>(1-(F31/(F31+300)))</f>
        <v>3.6144578313253017E-2</v>
      </c>
      <c r="J31">
        <v>10000</v>
      </c>
      <c r="K31">
        <f>J31/H31</f>
        <v>276666.66666666663</v>
      </c>
      <c r="M31">
        <f>C31*(1-(F31/(F31+300)))</f>
        <v>1814.4578313253014</v>
      </c>
      <c r="O31">
        <f t="shared" si="4"/>
        <v>5.5112881806108893</v>
      </c>
    </row>
    <row r="32" spans="3:19" x14ac:dyDescent="0.3">
      <c r="C32">
        <f>25000+3.5*D32*0.9</f>
        <v>88000</v>
      </c>
      <c r="D32">
        <v>20000</v>
      </c>
      <c r="E32">
        <v>0</v>
      </c>
      <c r="F32">
        <f>D32*(1-E32)</f>
        <v>20000</v>
      </c>
      <c r="G32">
        <f>1-(1-(F32/(F32+300)))</f>
        <v>0.98522167487684731</v>
      </c>
      <c r="H32">
        <f>(1-(F32/(F32+300)))</f>
        <v>1.4778325123152691E-2</v>
      </c>
      <c r="J32">
        <v>10000</v>
      </c>
      <c r="K32">
        <f>J32/H32</f>
        <v>676666.66666666744</v>
      </c>
      <c r="M32">
        <f>C32*(1-(F32/(F32+300)))</f>
        <v>1300.4926108374368</v>
      </c>
      <c r="O32">
        <f t="shared" si="4"/>
        <v>7.6893939393939483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E109"/>
  <sheetViews>
    <sheetView workbookViewId="0">
      <selection activeCell="F17" sqref="F17"/>
    </sheetView>
  </sheetViews>
  <sheetFormatPr defaultRowHeight="14" x14ac:dyDescent="0.3"/>
  <sheetData>
    <row r="2" spans="2:5" x14ac:dyDescent="0.3">
      <c r="B2" t="s">
        <v>126</v>
      </c>
    </row>
    <row r="3" spans="2:5" x14ac:dyDescent="0.3">
      <c r="C3" t="s">
        <v>123</v>
      </c>
      <c r="D3" t="s">
        <v>124</v>
      </c>
      <c r="E3" t="s">
        <v>125</v>
      </c>
    </row>
    <row r="4" spans="2:5" x14ac:dyDescent="0.3">
      <c r="C4">
        <v>10</v>
      </c>
      <c r="D4">
        <f>C4*120</f>
        <v>1200</v>
      </c>
    </row>
    <row r="5" spans="2:5" x14ac:dyDescent="0.3">
      <c r="D5">
        <f>C4*C4*10</f>
        <v>1000</v>
      </c>
      <c r="E5">
        <f>D5+100000/100</f>
        <v>2000</v>
      </c>
    </row>
    <row r="8" spans="2:5" x14ac:dyDescent="0.3">
      <c r="B8" t="s">
        <v>127</v>
      </c>
    </row>
    <row r="9" spans="2:5" x14ac:dyDescent="0.3">
      <c r="C9" t="s">
        <v>90</v>
      </c>
      <c r="D9" t="s">
        <v>128</v>
      </c>
    </row>
    <row r="10" spans="2:5" x14ac:dyDescent="0.3">
      <c r="C10">
        <v>1</v>
      </c>
      <c r="D10">
        <f>2500+C10*2500</f>
        <v>5000</v>
      </c>
    </row>
    <row r="11" spans="2:5" x14ac:dyDescent="0.3">
      <c r="C11">
        <v>2</v>
      </c>
      <c r="D11">
        <f>2500+C11*2500</f>
        <v>7500</v>
      </c>
    </row>
    <row r="12" spans="2:5" x14ac:dyDescent="0.3">
      <c r="C12">
        <v>3</v>
      </c>
      <c r="D12">
        <f t="shared" ref="D12:D18" si="0">2500+C12*2500</f>
        <v>10000</v>
      </c>
    </row>
    <row r="13" spans="2:5" x14ac:dyDescent="0.3">
      <c r="C13">
        <v>4</v>
      </c>
      <c r="D13">
        <f t="shared" si="0"/>
        <v>12500</v>
      </c>
    </row>
    <row r="14" spans="2:5" x14ac:dyDescent="0.3">
      <c r="C14">
        <v>5</v>
      </c>
      <c r="D14">
        <f t="shared" si="0"/>
        <v>15000</v>
      </c>
    </row>
    <row r="15" spans="2:5" x14ac:dyDescent="0.3">
      <c r="C15">
        <v>6</v>
      </c>
      <c r="D15">
        <f t="shared" si="0"/>
        <v>17500</v>
      </c>
    </row>
    <row r="16" spans="2:5" x14ac:dyDescent="0.3">
      <c r="C16">
        <v>7</v>
      </c>
      <c r="D16">
        <f t="shared" si="0"/>
        <v>20000</v>
      </c>
    </row>
    <row r="17" spans="3:4" x14ac:dyDescent="0.3">
      <c r="C17">
        <v>8</v>
      </c>
      <c r="D17">
        <f t="shared" si="0"/>
        <v>22500</v>
      </c>
    </row>
    <row r="18" spans="3:4" x14ac:dyDescent="0.3">
      <c r="C18">
        <v>9</v>
      </c>
      <c r="D18">
        <f t="shared" si="0"/>
        <v>25000</v>
      </c>
    </row>
    <row r="19" spans="3:4" x14ac:dyDescent="0.3">
      <c r="C19">
        <v>10</v>
      </c>
      <c r="D19">
        <f>C19*5000-20000</f>
        <v>30000</v>
      </c>
    </row>
    <row r="20" spans="3:4" x14ac:dyDescent="0.3">
      <c r="C20">
        <v>11</v>
      </c>
      <c r="D20">
        <f t="shared" ref="D20:D58" si="1">C20*5000-20000</f>
        <v>35000</v>
      </c>
    </row>
    <row r="21" spans="3:4" x14ac:dyDescent="0.3">
      <c r="C21">
        <v>12</v>
      </c>
      <c r="D21">
        <f t="shared" si="1"/>
        <v>40000</v>
      </c>
    </row>
    <row r="22" spans="3:4" x14ac:dyDescent="0.3">
      <c r="C22">
        <v>13</v>
      </c>
      <c r="D22">
        <f t="shared" si="1"/>
        <v>45000</v>
      </c>
    </row>
    <row r="23" spans="3:4" x14ac:dyDescent="0.3">
      <c r="C23">
        <v>14</v>
      </c>
      <c r="D23">
        <f t="shared" si="1"/>
        <v>50000</v>
      </c>
    </row>
    <row r="24" spans="3:4" x14ac:dyDescent="0.3">
      <c r="C24">
        <v>15</v>
      </c>
      <c r="D24">
        <f t="shared" si="1"/>
        <v>55000</v>
      </c>
    </row>
    <row r="25" spans="3:4" x14ac:dyDescent="0.3">
      <c r="C25">
        <v>16</v>
      </c>
      <c r="D25">
        <f t="shared" si="1"/>
        <v>60000</v>
      </c>
    </row>
    <row r="26" spans="3:4" x14ac:dyDescent="0.3">
      <c r="C26">
        <v>17</v>
      </c>
      <c r="D26">
        <f t="shared" si="1"/>
        <v>65000</v>
      </c>
    </row>
    <row r="27" spans="3:4" x14ac:dyDescent="0.3">
      <c r="C27">
        <v>18</v>
      </c>
      <c r="D27">
        <f t="shared" si="1"/>
        <v>70000</v>
      </c>
    </row>
    <row r="28" spans="3:4" x14ac:dyDescent="0.3">
      <c r="C28">
        <v>19</v>
      </c>
      <c r="D28">
        <f t="shared" si="1"/>
        <v>75000</v>
      </c>
    </row>
    <row r="29" spans="3:4" x14ac:dyDescent="0.3">
      <c r="C29">
        <v>20</v>
      </c>
      <c r="D29">
        <f t="shared" si="1"/>
        <v>80000</v>
      </c>
    </row>
    <row r="30" spans="3:4" x14ac:dyDescent="0.3">
      <c r="C30">
        <v>21</v>
      </c>
      <c r="D30">
        <f t="shared" si="1"/>
        <v>85000</v>
      </c>
    </row>
    <row r="31" spans="3:4" x14ac:dyDescent="0.3">
      <c r="C31">
        <v>22</v>
      </c>
      <c r="D31">
        <f t="shared" si="1"/>
        <v>90000</v>
      </c>
    </row>
    <row r="32" spans="3:4" x14ac:dyDescent="0.3">
      <c r="C32">
        <v>23</v>
      </c>
      <c r="D32">
        <f t="shared" si="1"/>
        <v>95000</v>
      </c>
    </row>
    <row r="33" spans="3:4" x14ac:dyDescent="0.3">
      <c r="C33">
        <v>24</v>
      </c>
      <c r="D33">
        <f t="shared" si="1"/>
        <v>100000</v>
      </c>
    </row>
    <row r="34" spans="3:4" x14ac:dyDescent="0.3">
      <c r="C34">
        <v>25</v>
      </c>
      <c r="D34">
        <f t="shared" si="1"/>
        <v>105000</v>
      </c>
    </row>
    <row r="35" spans="3:4" x14ac:dyDescent="0.3">
      <c r="C35">
        <v>26</v>
      </c>
      <c r="D35">
        <f t="shared" si="1"/>
        <v>110000</v>
      </c>
    </row>
    <row r="36" spans="3:4" x14ac:dyDescent="0.3">
      <c r="C36">
        <v>27</v>
      </c>
      <c r="D36">
        <f t="shared" si="1"/>
        <v>115000</v>
      </c>
    </row>
    <row r="37" spans="3:4" x14ac:dyDescent="0.3">
      <c r="C37">
        <v>28</v>
      </c>
      <c r="D37">
        <f t="shared" si="1"/>
        <v>120000</v>
      </c>
    </row>
    <row r="38" spans="3:4" x14ac:dyDescent="0.3">
      <c r="C38">
        <v>29</v>
      </c>
      <c r="D38">
        <f t="shared" si="1"/>
        <v>125000</v>
      </c>
    </row>
    <row r="39" spans="3:4" x14ac:dyDescent="0.3">
      <c r="C39">
        <v>30</v>
      </c>
      <c r="D39">
        <f t="shared" si="1"/>
        <v>130000</v>
      </c>
    </row>
    <row r="40" spans="3:4" x14ac:dyDescent="0.3">
      <c r="C40">
        <v>31</v>
      </c>
      <c r="D40">
        <f t="shared" si="1"/>
        <v>135000</v>
      </c>
    </row>
    <row r="41" spans="3:4" x14ac:dyDescent="0.3">
      <c r="C41">
        <v>32</v>
      </c>
      <c r="D41">
        <f t="shared" si="1"/>
        <v>140000</v>
      </c>
    </row>
    <row r="42" spans="3:4" x14ac:dyDescent="0.3">
      <c r="C42">
        <v>33</v>
      </c>
      <c r="D42">
        <f t="shared" si="1"/>
        <v>145000</v>
      </c>
    </row>
    <row r="43" spans="3:4" x14ac:dyDescent="0.3">
      <c r="C43">
        <v>34</v>
      </c>
      <c r="D43">
        <f>C43*5000-20000</f>
        <v>150000</v>
      </c>
    </row>
    <row r="44" spans="3:4" x14ac:dyDescent="0.3">
      <c r="C44">
        <v>35</v>
      </c>
      <c r="D44">
        <f t="shared" si="1"/>
        <v>155000</v>
      </c>
    </row>
    <row r="45" spans="3:4" x14ac:dyDescent="0.3">
      <c r="C45">
        <v>36</v>
      </c>
      <c r="D45">
        <f t="shared" si="1"/>
        <v>160000</v>
      </c>
    </row>
    <row r="46" spans="3:4" x14ac:dyDescent="0.3">
      <c r="C46">
        <v>37</v>
      </c>
      <c r="D46">
        <f t="shared" si="1"/>
        <v>165000</v>
      </c>
    </row>
    <row r="47" spans="3:4" x14ac:dyDescent="0.3">
      <c r="C47">
        <v>38</v>
      </c>
      <c r="D47">
        <f t="shared" si="1"/>
        <v>170000</v>
      </c>
    </row>
    <row r="48" spans="3:4" x14ac:dyDescent="0.3">
      <c r="C48">
        <v>39</v>
      </c>
      <c r="D48">
        <f t="shared" si="1"/>
        <v>175000</v>
      </c>
    </row>
    <row r="49" spans="3:4" x14ac:dyDescent="0.3">
      <c r="C49">
        <v>40</v>
      </c>
      <c r="D49">
        <f t="shared" si="1"/>
        <v>180000</v>
      </c>
    </row>
    <row r="50" spans="3:4" x14ac:dyDescent="0.3">
      <c r="C50">
        <v>41</v>
      </c>
      <c r="D50">
        <f t="shared" si="1"/>
        <v>185000</v>
      </c>
    </row>
    <row r="51" spans="3:4" x14ac:dyDescent="0.3">
      <c r="C51">
        <v>42</v>
      </c>
      <c r="D51">
        <f t="shared" si="1"/>
        <v>190000</v>
      </c>
    </row>
    <row r="52" spans="3:4" x14ac:dyDescent="0.3">
      <c r="C52">
        <v>43</v>
      </c>
      <c r="D52">
        <f t="shared" si="1"/>
        <v>195000</v>
      </c>
    </row>
    <row r="53" spans="3:4" x14ac:dyDescent="0.3">
      <c r="C53">
        <v>44</v>
      </c>
      <c r="D53">
        <f t="shared" si="1"/>
        <v>200000</v>
      </c>
    </row>
    <row r="54" spans="3:4" x14ac:dyDescent="0.3">
      <c r="C54">
        <v>45</v>
      </c>
      <c r="D54">
        <f t="shared" si="1"/>
        <v>205000</v>
      </c>
    </row>
    <row r="55" spans="3:4" x14ac:dyDescent="0.3">
      <c r="C55">
        <v>46</v>
      </c>
      <c r="D55">
        <f t="shared" si="1"/>
        <v>210000</v>
      </c>
    </row>
    <row r="56" spans="3:4" x14ac:dyDescent="0.3">
      <c r="C56">
        <v>47</v>
      </c>
      <c r="D56">
        <f t="shared" si="1"/>
        <v>215000</v>
      </c>
    </row>
    <row r="57" spans="3:4" x14ac:dyDescent="0.3">
      <c r="C57">
        <v>48</v>
      </c>
      <c r="D57">
        <f t="shared" si="1"/>
        <v>220000</v>
      </c>
    </row>
    <row r="58" spans="3:4" x14ac:dyDescent="0.3">
      <c r="C58">
        <v>49</v>
      </c>
      <c r="D58">
        <f t="shared" si="1"/>
        <v>225000</v>
      </c>
    </row>
    <row r="59" spans="3:4" x14ac:dyDescent="0.3">
      <c r="C59">
        <v>50</v>
      </c>
      <c r="D59">
        <f t="shared" ref="D59:D64" si="2">C59*25000-1000000</f>
        <v>250000</v>
      </c>
    </row>
    <row r="60" spans="3:4" x14ac:dyDescent="0.3">
      <c r="C60">
        <v>51</v>
      </c>
      <c r="D60">
        <f t="shared" si="2"/>
        <v>275000</v>
      </c>
    </row>
    <row r="61" spans="3:4" x14ac:dyDescent="0.3">
      <c r="C61">
        <v>52</v>
      </c>
      <c r="D61">
        <f t="shared" si="2"/>
        <v>300000</v>
      </c>
    </row>
    <row r="62" spans="3:4" x14ac:dyDescent="0.3">
      <c r="C62">
        <v>53</v>
      </c>
      <c r="D62">
        <f t="shared" si="2"/>
        <v>325000</v>
      </c>
    </row>
    <row r="63" spans="3:4" x14ac:dyDescent="0.3">
      <c r="C63">
        <v>54</v>
      </c>
      <c r="D63">
        <f t="shared" si="2"/>
        <v>350000</v>
      </c>
    </row>
    <row r="64" spans="3:4" x14ac:dyDescent="0.3">
      <c r="C64">
        <v>55</v>
      </c>
      <c r="D64">
        <f t="shared" si="2"/>
        <v>375000</v>
      </c>
    </row>
    <row r="65" spans="3:4" x14ac:dyDescent="0.3">
      <c r="C65">
        <v>56</v>
      </c>
      <c r="D65">
        <f t="shared" ref="D65:D109" si="3">C65*25000-1000000</f>
        <v>400000</v>
      </c>
    </row>
    <row r="66" spans="3:4" x14ac:dyDescent="0.3">
      <c r="C66">
        <v>57</v>
      </c>
      <c r="D66">
        <f t="shared" si="3"/>
        <v>425000</v>
      </c>
    </row>
    <row r="67" spans="3:4" x14ac:dyDescent="0.3">
      <c r="C67">
        <v>58</v>
      </c>
      <c r="D67">
        <f t="shared" si="3"/>
        <v>450000</v>
      </c>
    </row>
    <row r="68" spans="3:4" x14ac:dyDescent="0.3">
      <c r="C68">
        <v>59</v>
      </c>
      <c r="D68">
        <f t="shared" si="3"/>
        <v>475000</v>
      </c>
    </row>
    <row r="69" spans="3:4" x14ac:dyDescent="0.3">
      <c r="C69">
        <v>60</v>
      </c>
      <c r="D69">
        <f t="shared" si="3"/>
        <v>500000</v>
      </c>
    </row>
    <row r="70" spans="3:4" x14ac:dyDescent="0.3">
      <c r="C70">
        <v>61</v>
      </c>
      <c r="D70">
        <f t="shared" si="3"/>
        <v>525000</v>
      </c>
    </row>
    <row r="71" spans="3:4" x14ac:dyDescent="0.3">
      <c r="C71">
        <v>62</v>
      </c>
      <c r="D71">
        <f t="shared" si="3"/>
        <v>550000</v>
      </c>
    </row>
    <row r="72" spans="3:4" x14ac:dyDescent="0.3">
      <c r="C72">
        <v>63</v>
      </c>
      <c r="D72">
        <f t="shared" si="3"/>
        <v>575000</v>
      </c>
    </row>
    <row r="73" spans="3:4" x14ac:dyDescent="0.3">
      <c r="C73">
        <v>64</v>
      </c>
      <c r="D73">
        <f t="shared" si="3"/>
        <v>600000</v>
      </c>
    </row>
    <row r="74" spans="3:4" x14ac:dyDescent="0.3">
      <c r="C74">
        <v>65</v>
      </c>
      <c r="D74">
        <f t="shared" si="3"/>
        <v>625000</v>
      </c>
    </row>
    <row r="75" spans="3:4" x14ac:dyDescent="0.3">
      <c r="C75">
        <v>66</v>
      </c>
      <c r="D75">
        <f t="shared" si="3"/>
        <v>650000</v>
      </c>
    </row>
    <row r="76" spans="3:4" x14ac:dyDescent="0.3">
      <c r="C76">
        <v>67</v>
      </c>
      <c r="D76">
        <f t="shared" si="3"/>
        <v>675000</v>
      </c>
    </row>
    <row r="77" spans="3:4" x14ac:dyDescent="0.3">
      <c r="C77">
        <v>68</v>
      </c>
      <c r="D77">
        <f t="shared" si="3"/>
        <v>700000</v>
      </c>
    </row>
    <row r="78" spans="3:4" x14ac:dyDescent="0.3">
      <c r="C78">
        <v>69</v>
      </c>
      <c r="D78">
        <f t="shared" si="3"/>
        <v>725000</v>
      </c>
    </row>
    <row r="79" spans="3:4" x14ac:dyDescent="0.3">
      <c r="C79">
        <v>70</v>
      </c>
      <c r="D79">
        <f>C79*25000-1000000</f>
        <v>750000</v>
      </c>
    </row>
    <row r="80" spans="3:4" x14ac:dyDescent="0.3">
      <c r="C80">
        <v>71</v>
      </c>
      <c r="D80">
        <f t="shared" si="3"/>
        <v>775000</v>
      </c>
    </row>
    <row r="81" spans="3:4" x14ac:dyDescent="0.3">
      <c r="C81">
        <v>72</v>
      </c>
      <c r="D81">
        <f t="shared" si="3"/>
        <v>800000</v>
      </c>
    </row>
    <row r="82" spans="3:4" x14ac:dyDescent="0.3">
      <c r="C82">
        <v>73</v>
      </c>
      <c r="D82">
        <f t="shared" si="3"/>
        <v>825000</v>
      </c>
    </row>
    <row r="83" spans="3:4" x14ac:dyDescent="0.3">
      <c r="C83">
        <v>74</v>
      </c>
      <c r="D83">
        <f t="shared" si="3"/>
        <v>850000</v>
      </c>
    </row>
    <row r="84" spans="3:4" x14ac:dyDescent="0.3">
      <c r="C84">
        <v>75</v>
      </c>
      <c r="D84">
        <f t="shared" si="3"/>
        <v>875000</v>
      </c>
    </row>
    <row r="85" spans="3:4" x14ac:dyDescent="0.3">
      <c r="C85">
        <v>76</v>
      </c>
      <c r="D85">
        <f t="shared" si="3"/>
        <v>900000</v>
      </c>
    </row>
    <row r="86" spans="3:4" x14ac:dyDescent="0.3">
      <c r="C86">
        <v>77</v>
      </c>
      <c r="D86">
        <f t="shared" si="3"/>
        <v>925000</v>
      </c>
    </row>
    <row r="87" spans="3:4" x14ac:dyDescent="0.3">
      <c r="C87">
        <v>78</v>
      </c>
      <c r="D87">
        <f t="shared" si="3"/>
        <v>950000</v>
      </c>
    </row>
    <row r="88" spans="3:4" x14ac:dyDescent="0.3">
      <c r="C88">
        <v>79</v>
      </c>
      <c r="D88">
        <f t="shared" si="3"/>
        <v>975000</v>
      </c>
    </row>
    <row r="89" spans="3:4" x14ac:dyDescent="0.3">
      <c r="C89">
        <v>80</v>
      </c>
      <c r="D89">
        <f t="shared" si="3"/>
        <v>1000000</v>
      </c>
    </row>
    <row r="90" spans="3:4" x14ac:dyDescent="0.3">
      <c r="C90">
        <v>81</v>
      </c>
      <c r="D90">
        <f t="shared" si="3"/>
        <v>1025000</v>
      </c>
    </row>
    <row r="91" spans="3:4" x14ac:dyDescent="0.3">
      <c r="C91">
        <v>82</v>
      </c>
      <c r="D91">
        <f t="shared" si="3"/>
        <v>1050000</v>
      </c>
    </row>
    <row r="92" spans="3:4" x14ac:dyDescent="0.3">
      <c r="C92">
        <v>83</v>
      </c>
      <c r="D92">
        <f t="shared" si="3"/>
        <v>1075000</v>
      </c>
    </row>
    <row r="93" spans="3:4" x14ac:dyDescent="0.3">
      <c r="C93">
        <v>84</v>
      </c>
      <c r="D93">
        <f t="shared" si="3"/>
        <v>1100000</v>
      </c>
    </row>
    <row r="94" spans="3:4" x14ac:dyDescent="0.3">
      <c r="C94">
        <v>85</v>
      </c>
      <c r="D94">
        <f t="shared" si="3"/>
        <v>1125000</v>
      </c>
    </row>
    <row r="95" spans="3:4" x14ac:dyDescent="0.3">
      <c r="C95">
        <v>86</v>
      </c>
      <c r="D95">
        <f t="shared" si="3"/>
        <v>1150000</v>
      </c>
    </row>
    <row r="96" spans="3:4" x14ac:dyDescent="0.3">
      <c r="C96">
        <v>87</v>
      </c>
      <c r="D96">
        <f t="shared" si="3"/>
        <v>1175000</v>
      </c>
    </row>
    <row r="97" spans="3:4" x14ac:dyDescent="0.3">
      <c r="C97">
        <v>88</v>
      </c>
      <c r="D97">
        <f t="shared" si="3"/>
        <v>1200000</v>
      </c>
    </row>
    <row r="98" spans="3:4" x14ac:dyDescent="0.3">
      <c r="C98">
        <v>89</v>
      </c>
      <c r="D98">
        <f t="shared" si="3"/>
        <v>1225000</v>
      </c>
    </row>
    <row r="99" spans="3:4" x14ac:dyDescent="0.3">
      <c r="C99">
        <v>90</v>
      </c>
      <c r="D99">
        <f t="shared" si="3"/>
        <v>1250000</v>
      </c>
    </row>
    <row r="100" spans="3:4" x14ac:dyDescent="0.3">
      <c r="C100">
        <v>91</v>
      </c>
      <c r="D100">
        <f t="shared" si="3"/>
        <v>1275000</v>
      </c>
    </row>
    <row r="101" spans="3:4" x14ac:dyDescent="0.3">
      <c r="C101">
        <v>92</v>
      </c>
      <c r="D101">
        <f t="shared" si="3"/>
        <v>1300000</v>
      </c>
    </row>
    <row r="102" spans="3:4" x14ac:dyDescent="0.3">
      <c r="C102">
        <v>93</v>
      </c>
      <c r="D102">
        <f t="shared" si="3"/>
        <v>1325000</v>
      </c>
    </row>
    <row r="103" spans="3:4" x14ac:dyDescent="0.3">
      <c r="C103">
        <v>94</v>
      </c>
      <c r="D103">
        <f t="shared" si="3"/>
        <v>1350000</v>
      </c>
    </row>
    <row r="104" spans="3:4" x14ac:dyDescent="0.3">
      <c r="C104">
        <v>95</v>
      </c>
      <c r="D104">
        <f t="shared" si="3"/>
        <v>1375000</v>
      </c>
    </row>
    <row r="105" spans="3:4" x14ac:dyDescent="0.3">
      <c r="C105">
        <v>96</v>
      </c>
      <c r="D105">
        <f t="shared" si="3"/>
        <v>1400000</v>
      </c>
    </row>
    <row r="106" spans="3:4" x14ac:dyDescent="0.3">
      <c r="C106">
        <v>97</v>
      </c>
      <c r="D106">
        <f t="shared" si="3"/>
        <v>1425000</v>
      </c>
    </row>
    <row r="107" spans="3:4" x14ac:dyDescent="0.3">
      <c r="C107">
        <v>98</v>
      </c>
      <c r="D107">
        <f t="shared" si="3"/>
        <v>1450000</v>
      </c>
    </row>
    <row r="108" spans="3:4" x14ac:dyDescent="0.3">
      <c r="C108">
        <v>99</v>
      </c>
      <c r="D108">
        <f t="shared" si="3"/>
        <v>1475000</v>
      </c>
    </row>
    <row r="109" spans="3:4" x14ac:dyDescent="0.3">
      <c r="C109">
        <v>100</v>
      </c>
      <c r="D109">
        <f t="shared" si="3"/>
        <v>1500000</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272</v>
      </c>
    </row>
    <row r="2" spans="2:23" x14ac:dyDescent="0.3">
      <c r="C2" s="2" t="s">
        <v>273</v>
      </c>
    </row>
    <row r="3" spans="2:23" x14ac:dyDescent="0.3">
      <c r="B3" t="s">
        <v>0</v>
      </c>
      <c r="E3" t="s">
        <v>43</v>
      </c>
      <c r="F3" t="s">
        <v>44</v>
      </c>
      <c r="G3" t="s">
        <v>45</v>
      </c>
      <c r="I3" t="s">
        <v>46</v>
      </c>
      <c r="L3" t="s">
        <v>42</v>
      </c>
      <c r="M3" t="s">
        <v>165</v>
      </c>
      <c r="O3" t="s">
        <v>56</v>
      </c>
      <c r="T3" t="s">
        <v>51</v>
      </c>
    </row>
    <row r="4" spans="2:23" x14ac:dyDescent="0.3">
      <c r="B4" t="s">
        <v>23</v>
      </c>
      <c r="C4" s="10" t="s">
        <v>49</v>
      </c>
      <c r="D4" s="10" t="s">
        <v>50</v>
      </c>
      <c r="E4" s="8" t="s">
        <v>1</v>
      </c>
      <c r="F4" s="8" t="s">
        <v>2</v>
      </c>
      <c r="G4" s="8" t="s">
        <v>3</v>
      </c>
      <c r="H4" s="8" t="s">
        <v>10</v>
      </c>
      <c r="I4" s="8" t="s">
        <v>14</v>
      </c>
      <c r="J4" s="9" t="s">
        <v>6</v>
      </c>
      <c r="K4" s="9" t="s">
        <v>4</v>
      </c>
      <c r="L4" s="8" t="s">
        <v>162</v>
      </c>
      <c r="M4" s="8" t="s">
        <v>12</v>
      </c>
      <c r="N4" s="11" t="s">
        <v>152</v>
      </c>
      <c r="O4" s="14" t="s">
        <v>7</v>
      </c>
      <c r="P4" s="14" t="s">
        <v>8</v>
      </c>
      <c r="Q4" s="14" t="s">
        <v>11</v>
      </c>
      <c r="R4" s="11" t="s">
        <v>154</v>
      </c>
      <c r="S4" s="11" t="s">
        <v>153</v>
      </c>
      <c r="T4" s="14" t="s">
        <v>9</v>
      </c>
      <c r="U4" s="14" t="s">
        <v>5</v>
      </c>
      <c r="V4" s="14" t="s">
        <v>27</v>
      </c>
      <c r="W4" s="14" t="s">
        <v>22</v>
      </c>
    </row>
    <row r="5" spans="2:23" x14ac:dyDescent="0.3">
      <c r="B5" t="s">
        <v>275</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148</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150</v>
      </c>
      <c r="C9" s="3"/>
      <c r="D9" t="s">
        <v>47</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151</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158</v>
      </c>
      <c r="C11" s="3"/>
      <c r="E11" s="3"/>
      <c r="F11" s="3"/>
      <c r="G11" s="3"/>
      <c r="H11" s="3"/>
      <c r="I11" s="3"/>
      <c r="J11" s="3"/>
      <c r="K11" s="3"/>
      <c r="L11" s="3"/>
      <c r="M11" s="3"/>
    </row>
    <row r="12" spans="2:23" x14ac:dyDescent="0.3">
      <c r="B12" s="7" t="s">
        <v>155</v>
      </c>
      <c r="C12" s="3"/>
      <c r="D12" s="2" t="s">
        <v>164</v>
      </c>
      <c r="E12" s="3"/>
      <c r="F12" s="3"/>
      <c r="G12" s="3"/>
      <c r="H12" s="3"/>
      <c r="I12" s="3"/>
      <c r="J12" s="3"/>
      <c r="K12" s="3"/>
      <c r="L12" s="3"/>
      <c r="M12" s="3"/>
    </row>
    <row r="13" spans="2:23" x14ac:dyDescent="0.3">
      <c r="B13" s="7" t="s">
        <v>156</v>
      </c>
      <c r="C13" s="3"/>
      <c r="E13" s="3"/>
      <c r="F13" s="3"/>
      <c r="G13" s="3"/>
      <c r="H13" s="3"/>
      <c r="I13" s="3"/>
      <c r="J13" s="3"/>
      <c r="K13" s="3"/>
      <c r="L13" s="3"/>
      <c r="M13" s="3"/>
    </row>
    <row r="14" spans="2:23" x14ac:dyDescent="0.3">
      <c r="B14" s="7" t="s">
        <v>157</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149</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159</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160</v>
      </c>
      <c r="C17" s="3"/>
    </row>
    <row r="18" spans="2:23" x14ac:dyDescent="0.3">
      <c r="C18" s="3"/>
    </row>
    <row r="19" spans="2:23" x14ac:dyDescent="0.3">
      <c r="C19" s="3"/>
      <c r="D19" s="2" t="s">
        <v>163</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40</v>
      </c>
      <c r="D24" s="2" t="s">
        <v>161</v>
      </c>
    </row>
    <row r="25" spans="2:23" x14ac:dyDescent="0.3">
      <c r="C25" s="3"/>
      <c r="D25" t="s">
        <v>214</v>
      </c>
    </row>
    <row r="26" spans="2:23" x14ac:dyDescent="0.3">
      <c r="C26" s="3"/>
    </row>
    <row r="27" spans="2:23" x14ac:dyDescent="0.3">
      <c r="C27" s="4" t="s">
        <v>41</v>
      </c>
      <c r="D27" t="s">
        <v>204</v>
      </c>
    </row>
    <row r="28" spans="2:23" x14ac:dyDescent="0.3">
      <c r="D28" t="s">
        <v>205</v>
      </c>
    </row>
    <row r="29" spans="2:23" x14ac:dyDescent="0.3">
      <c r="D29" t="s">
        <v>48</v>
      </c>
    </row>
    <row r="30" spans="2:23" x14ac:dyDescent="0.3">
      <c r="D30" t="s">
        <v>185</v>
      </c>
    </row>
    <row r="31" spans="2:23" x14ac:dyDescent="0.3">
      <c r="D31" t="s">
        <v>184</v>
      </c>
    </row>
    <row r="32" spans="2:23" x14ac:dyDescent="0.3">
      <c r="D32" t="s">
        <v>265</v>
      </c>
    </row>
    <row r="33" spans="4:4" x14ac:dyDescent="0.3">
      <c r="D33" t="s">
        <v>78</v>
      </c>
    </row>
    <row r="34" spans="4:4" x14ac:dyDescent="0.3">
      <c r="D34" t="s">
        <v>143</v>
      </c>
    </row>
    <row r="35" spans="4:4" x14ac:dyDescent="0.3">
      <c r="D3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S29"/>
  <sheetViews>
    <sheetView zoomScaleNormal="100" workbookViewId="0">
      <selection activeCell="F23" sqref="F23"/>
    </sheetView>
  </sheetViews>
  <sheetFormatPr defaultRowHeight="14" x14ac:dyDescent="0.3"/>
  <cols>
    <col min="1" max="1" width="17.5" customWidth="1"/>
    <col min="2" max="2" width="9.1640625" customWidth="1"/>
    <col min="3" max="3" width="15" customWidth="1"/>
    <col min="4" max="4" width="8" customWidth="1"/>
    <col min="5" max="5" width="7.9140625" customWidth="1"/>
    <col min="6" max="6" width="6.75" customWidth="1"/>
    <col min="7" max="7" width="8.08203125" customWidth="1"/>
    <col min="8" max="8" width="7.83203125" customWidth="1"/>
    <col min="9" max="9" width="7.75" customWidth="1"/>
    <col min="10" max="10" width="7.6640625" customWidth="1"/>
    <col min="11" max="11" width="11.58203125" customWidth="1"/>
    <col min="12" max="12" width="12.08203125" customWidth="1"/>
    <col min="18" max="18" width="15.33203125" customWidth="1"/>
    <col min="19" max="19" width="15.6640625" customWidth="1"/>
  </cols>
  <sheetData>
    <row r="1" spans="1:19" x14ac:dyDescent="0.3">
      <c r="A1" t="s">
        <v>188</v>
      </c>
      <c r="D1" t="s">
        <v>46</v>
      </c>
      <c r="E1" t="s">
        <v>191</v>
      </c>
      <c r="H1" t="s">
        <v>192</v>
      </c>
      <c r="I1" t="s">
        <v>193</v>
      </c>
      <c r="J1" t="s">
        <v>194</v>
      </c>
      <c r="K1" t="s">
        <v>195</v>
      </c>
      <c r="L1" t="s">
        <v>165</v>
      </c>
      <c r="N1" t="s">
        <v>224</v>
      </c>
    </row>
    <row r="2" spans="1:19" x14ac:dyDescent="0.3">
      <c r="A2" t="s">
        <v>187</v>
      </c>
      <c r="B2" s="10" t="s">
        <v>49</v>
      </c>
      <c r="C2" s="10" t="s">
        <v>203</v>
      </c>
      <c r="D2" s="8" t="s">
        <v>14</v>
      </c>
      <c r="E2" s="8" t="s">
        <v>112</v>
      </c>
      <c r="F2" s="8" t="s">
        <v>167</v>
      </c>
      <c r="G2" s="8" t="s">
        <v>168</v>
      </c>
      <c r="H2" s="8" t="s">
        <v>169</v>
      </c>
      <c r="I2" s="8" t="s">
        <v>170</v>
      </c>
      <c r="J2" s="8" t="s">
        <v>171</v>
      </c>
      <c r="K2" s="8" t="s">
        <v>172</v>
      </c>
      <c r="L2" s="8" t="s">
        <v>12</v>
      </c>
      <c r="M2" s="11" t="s">
        <v>152</v>
      </c>
      <c r="N2" s="14" t="s">
        <v>173</v>
      </c>
      <c r="O2" s="14" t="s">
        <v>174</v>
      </c>
      <c r="P2" s="14" t="s">
        <v>175</v>
      </c>
      <c r="Q2" s="11" t="s">
        <v>154</v>
      </c>
      <c r="R2" s="14" t="s">
        <v>178</v>
      </c>
      <c r="S2" s="14" t="s">
        <v>179</v>
      </c>
    </row>
    <row r="3" spans="1:19" x14ac:dyDescent="0.3">
      <c r="B3" s="2" t="s">
        <v>176</v>
      </c>
      <c r="C3" t="s">
        <v>182</v>
      </c>
      <c r="D3">
        <v>10</v>
      </c>
      <c r="E3">
        <v>70</v>
      </c>
      <c r="F3">
        <v>50</v>
      </c>
      <c r="G3">
        <v>20</v>
      </c>
      <c r="H3">
        <v>10</v>
      </c>
      <c r="I3">
        <v>4</v>
      </c>
      <c r="J3">
        <v>0</v>
      </c>
      <c r="K3">
        <v>0</v>
      </c>
      <c r="L3">
        <v>0</v>
      </c>
      <c r="N3">
        <f>表2_2[[#This Row],[防御]]*2+表2_2[[#This Row],[HP]]+表2_2[[#This Row],[MP]]+表2_2[[#This Row],[伤害加成]]*3+表2_2[[#This Row],[空手加成]]*4+表2_2[[#This Row],[法抗]]</f>
        <v>240</v>
      </c>
      <c r="O3">
        <f>表2_2[[#This Row],[限制等级]]*20+表2_2[[#This Row],[重量]]*10</f>
        <v>240</v>
      </c>
      <c r="P3">
        <f t="shared" ref="P3:P9" si="0">O3*1.25^L3</f>
        <v>240</v>
      </c>
      <c r="R3">
        <f>10+表2_2[[#This Row],[限制等级]]*0.2</f>
        <v>12</v>
      </c>
      <c r="S3">
        <f>25+表2_2[[#This Row],[限制等级]]*0.2</f>
        <v>27</v>
      </c>
    </row>
    <row r="4" spans="1:19" x14ac:dyDescent="0.3">
      <c r="B4" s="3"/>
      <c r="C4" t="s">
        <v>181</v>
      </c>
      <c r="D4" s="3">
        <v>18</v>
      </c>
      <c r="E4" s="3">
        <v>135</v>
      </c>
      <c r="F4" s="3">
        <v>80</v>
      </c>
      <c r="G4" s="3">
        <v>30</v>
      </c>
      <c r="H4" s="3">
        <v>20</v>
      </c>
      <c r="I4" s="3">
        <v>8</v>
      </c>
      <c r="J4" s="3">
        <v>0</v>
      </c>
      <c r="K4" s="3">
        <v>10</v>
      </c>
      <c r="L4" s="3">
        <v>0</v>
      </c>
      <c r="N4">
        <f>表2_2[[#This Row],[防御]]*2+表2_2[[#This Row],[HP]]+表2_2[[#This Row],[MP]]+表2_2[[#This Row],[伤害加成]]*3+表2_2[[#This Row],[空手加成]]*4+表2_2[[#This Row],[法抗]]</f>
        <v>450</v>
      </c>
      <c r="O4">
        <f>表2_2[[#This Row],[限制等级]]*20+表2_2[[#This Row],[重量]]*10</f>
        <v>440</v>
      </c>
      <c r="P4">
        <f t="shared" si="0"/>
        <v>440</v>
      </c>
      <c r="R4">
        <f>10+表2_2[[#This Row],[限制等级]]*0.2</f>
        <v>13.6</v>
      </c>
      <c r="S4">
        <f>25+表2_2[[#This Row],[限制等级]]*0.2</f>
        <v>28.6</v>
      </c>
    </row>
    <row r="5" spans="1:19" x14ac:dyDescent="0.3">
      <c r="B5" s="3"/>
      <c r="C5" t="s">
        <v>271</v>
      </c>
      <c r="D5" s="3">
        <v>21</v>
      </c>
      <c r="E5" s="3">
        <v>160</v>
      </c>
      <c r="F5" s="3">
        <v>60</v>
      </c>
      <c r="G5" s="3">
        <v>35</v>
      </c>
      <c r="H5" s="3">
        <v>45</v>
      </c>
      <c r="I5" s="3">
        <v>2</v>
      </c>
      <c r="J5" s="3">
        <v>0</v>
      </c>
      <c r="K5" s="3">
        <v>0</v>
      </c>
      <c r="L5" s="3">
        <v>1</v>
      </c>
      <c r="N5">
        <f>表2_2[[#This Row],[防御]]*2+表2_2[[#This Row],[HP]]+表2_2[[#This Row],[MP]]+表2_2[[#This Row],[伤害加成]]*3+表2_2[[#This Row],[空手加成]]*4+表2_2[[#This Row],[法抗]]</f>
        <v>550</v>
      </c>
      <c r="O5">
        <f>表2_2[[#This Row],[限制等级]]*20+表2_2[[#This Row],[重量]]*10</f>
        <v>440</v>
      </c>
      <c r="P5">
        <f t="shared" si="0"/>
        <v>550</v>
      </c>
      <c r="R5">
        <f>10+表2_2[[#This Row],[限制等级]]*0.2</f>
        <v>14.2</v>
      </c>
      <c r="S5">
        <f>25+表2_2[[#This Row],[限制等级]]*0.2</f>
        <v>29.2</v>
      </c>
    </row>
    <row r="6" spans="1:19" x14ac:dyDescent="0.3">
      <c r="A6" s="2" t="s">
        <v>148</v>
      </c>
      <c r="B6" s="2"/>
      <c r="C6" t="s">
        <v>180</v>
      </c>
      <c r="D6" s="3">
        <v>20</v>
      </c>
      <c r="E6" s="3">
        <v>250</v>
      </c>
      <c r="F6" s="3">
        <v>250</v>
      </c>
      <c r="G6" s="3">
        <v>0</v>
      </c>
      <c r="H6" s="3">
        <v>0</v>
      </c>
      <c r="I6" s="3">
        <v>10</v>
      </c>
      <c r="J6" s="3">
        <v>50</v>
      </c>
      <c r="K6" s="3">
        <v>0</v>
      </c>
      <c r="L6" s="3">
        <v>3</v>
      </c>
      <c r="N6">
        <f>表2_2[[#This Row],[防御]]*2+表2_2[[#This Row],[HP]]+表2_2[[#This Row],[MP]]+表2_2[[#This Row],[伤害加成]]*3+表2_2[[#This Row],[空手加成]]*4+表2_2[[#This Row],[法抗]]</f>
        <v>950</v>
      </c>
      <c r="O6">
        <f>表2_2[[#This Row],[限制等级]]*20+表2_2[[#This Row],[重量]]*10</f>
        <v>500</v>
      </c>
      <c r="P6">
        <f t="shared" si="0"/>
        <v>976.5625</v>
      </c>
      <c r="R6">
        <f>10+表2_2[[#This Row],[限制等级]]*0.2</f>
        <v>14</v>
      </c>
      <c r="S6">
        <f>25+表2_2[[#This Row],[限制等级]]*0.2</f>
        <v>29</v>
      </c>
    </row>
    <row r="7" spans="1:19" x14ac:dyDescent="0.3">
      <c r="A7" s="6" t="s">
        <v>150</v>
      </c>
      <c r="B7" s="3"/>
      <c r="C7" s="19" t="s">
        <v>189</v>
      </c>
      <c r="D7" s="3">
        <v>28</v>
      </c>
      <c r="E7" s="3">
        <v>200</v>
      </c>
      <c r="F7" s="3">
        <v>100</v>
      </c>
      <c r="G7" s="3">
        <v>100</v>
      </c>
      <c r="H7" s="3">
        <v>60</v>
      </c>
      <c r="I7" s="3">
        <v>8</v>
      </c>
      <c r="J7" s="3">
        <v>0</v>
      </c>
      <c r="K7" s="3">
        <v>20</v>
      </c>
      <c r="L7" s="3">
        <v>1</v>
      </c>
      <c r="N7">
        <f>表2_2[[#This Row],[防御]]*2+表2_2[[#This Row],[HP]]+表2_2[[#This Row],[MP]]+表2_2[[#This Row],[伤害加成]]*3+表2_2[[#This Row],[空手加成]]*4+表2_2[[#This Row],[法抗]]</f>
        <v>800</v>
      </c>
      <c r="O7">
        <f>表2_2[[#This Row],[限制等级]]*20+表2_2[[#This Row],[重量]]*10</f>
        <v>640</v>
      </c>
      <c r="P7">
        <f t="shared" si="0"/>
        <v>800</v>
      </c>
      <c r="R7">
        <f>10+表2_2[[#This Row],[限制等级]]*0.2</f>
        <v>15.600000000000001</v>
      </c>
      <c r="S7">
        <f>25+表2_2[[#This Row],[限制等级]]*0.2</f>
        <v>30.6</v>
      </c>
    </row>
    <row r="8" spans="1:19" x14ac:dyDescent="0.3">
      <c r="A8" s="6" t="s">
        <v>151</v>
      </c>
      <c r="B8" s="3"/>
      <c r="C8" t="s">
        <v>190</v>
      </c>
      <c r="D8" s="3">
        <v>31</v>
      </c>
      <c r="E8" s="3">
        <v>180</v>
      </c>
      <c r="F8" s="3">
        <v>75</v>
      </c>
      <c r="G8" s="3">
        <v>35</v>
      </c>
      <c r="H8" s="3">
        <v>30</v>
      </c>
      <c r="I8" s="3">
        <v>-5</v>
      </c>
      <c r="J8" s="3">
        <v>0</v>
      </c>
      <c r="K8" s="3">
        <v>0</v>
      </c>
      <c r="L8" s="3">
        <v>0</v>
      </c>
      <c r="N8">
        <f>表2_2[[#This Row],[防御]]*2+表2_2[[#This Row],[HP]]+表2_2[[#This Row],[MP]]+表2_2[[#This Row],[伤害加成]]*3+表2_2[[#This Row],[空手加成]]*4+表2_2[[#This Row],[法抗]]</f>
        <v>560</v>
      </c>
      <c r="O8">
        <f>表2_2[[#This Row],[限制等级]]*20+表2_2[[#This Row],[重量]]*10</f>
        <v>570</v>
      </c>
      <c r="P8">
        <f t="shared" si="0"/>
        <v>570</v>
      </c>
      <c r="R8">
        <f>10+表2_2[[#This Row],[限制等级]]*0.2</f>
        <v>16.2</v>
      </c>
      <c r="S8">
        <f>25+表2_2[[#This Row],[限制等级]]*0.2</f>
        <v>31.2</v>
      </c>
    </row>
    <row r="9" spans="1:19" x14ac:dyDescent="0.3">
      <c r="A9" s="6" t="s">
        <v>158</v>
      </c>
      <c r="B9" s="3"/>
      <c r="C9" t="s">
        <v>266</v>
      </c>
      <c r="D9" s="3">
        <v>33</v>
      </c>
      <c r="E9" s="3">
        <v>230</v>
      </c>
      <c r="F9" s="3">
        <v>130</v>
      </c>
      <c r="G9" s="3">
        <v>50</v>
      </c>
      <c r="H9" s="3">
        <v>100</v>
      </c>
      <c r="I9" s="3">
        <v>10</v>
      </c>
      <c r="J9" s="3">
        <v>0</v>
      </c>
      <c r="K9" s="3">
        <v>20</v>
      </c>
      <c r="L9" s="3">
        <v>1</v>
      </c>
      <c r="N9">
        <f>表2_2[[#This Row],[防御]]*2+表2_2[[#This Row],[HP]]+表2_2[[#This Row],[MP]]+表2_2[[#This Row],[伤害加成]]*3+表2_2[[#This Row],[空手加成]]*4+表2_2[[#This Row],[法抗]]</f>
        <v>960</v>
      </c>
      <c r="O9">
        <f>表2_2[[#This Row],[限制等级]]*20+表2_2[[#This Row],[重量]]*10</f>
        <v>760</v>
      </c>
      <c r="P9">
        <f t="shared" si="0"/>
        <v>950</v>
      </c>
      <c r="R9">
        <f>10+表2_2[[#This Row],[限制等级]]*0.2</f>
        <v>16.600000000000001</v>
      </c>
      <c r="S9">
        <f>25+表2_2[[#This Row],[限制等级]]*0.2</f>
        <v>31.6</v>
      </c>
    </row>
    <row r="10" spans="1:19" x14ac:dyDescent="0.3">
      <c r="A10" s="15" t="s">
        <v>149</v>
      </c>
      <c r="B10" s="3"/>
      <c r="C10" s="1" t="s">
        <v>177</v>
      </c>
      <c r="D10" s="12">
        <v>35</v>
      </c>
      <c r="E10" s="12">
        <v>180</v>
      </c>
      <c r="F10" s="12">
        <v>100</v>
      </c>
      <c r="G10" s="12">
        <v>55</v>
      </c>
      <c r="H10" s="12">
        <v>60</v>
      </c>
      <c r="I10" s="12">
        <v>0.5</v>
      </c>
      <c r="J10" s="12">
        <v>0</v>
      </c>
      <c r="K10" s="12">
        <v>10</v>
      </c>
      <c r="L10" s="12">
        <v>0</v>
      </c>
      <c r="N10" s="16">
        <f>表2_2[[#This Row],[防御]]*2+表2_2[[#This Row],[HP]]+表2_2[[#This Row],[MP]]+表2_2[[#This Row],[伤害加成]]*3+表2_2[[#This Row],[空手加成]]*4+表2_2[[#This Row],[法抗]]</f>
        <v>705</v>
      </c>
      <c r="O10">
        <f>表2_2[[#This Row],[限制等级]]*20+表2_2[[#This Row],[重量]]*10</f>
        <v>705</v>
      </c>
      <c r="P10" s="16">
        <f>O10*1.25^L10</f>
        <v>705</v>
      </c>
      <c r="R10">
        <f>10+表2_2[[#This Row],[限制等级]]*0.2</f>
        <v>17</v>
      </c>
      <c r="S10">
        <f>25+表2_2[[#This Row],[限制等级]]*0.2</f>
        <v>32</v>
      </c>
    </row>
    <row r="11" spans="1:19" x14ac:dyDescent="0.3">
      <c r="A11" s="15" t="s">
        <v>159</v>
      </c>
      <c r="B11" s="3"/>
      <c r="D11" s="3"/>
      <c r="E11" s="3"/>
      <c r="F11" s="3"/>
      <c r="G11" s="3"/>
      <c r="H11" s="3"/>
      <c r="I11" s="3"/>
      <c r="J11" s="3"/>
      <c r="K11" s="3"/>
      <c r="L11" s="3"/>
    </row>
    <row r="12" spans="1:19" x14ac:dyDescent="0.3">
      <c r="A12" s="15" t="s">
        <v>201</v>
      </c>
      <c r="B12" s="3"/>
      <c r="C12" s="2" t="s">
        <v>183</v>
      </c>
      <c r="D12" s="3"/>
      <c r="E12" s="3"/>
      <c r="F12" s="3"/>
      <c r="G12" s="3"/>
      <c r="H12" s="3"/>
      <c r="I12" s="3"/>
      <c r="J12" s="3"/>
      <c r="K12" s="3"/>
      <c r="L12" s="3"/>
    </row>
    <row r="13" spans="1:19" x14ac:dyDescent="0.3">
      <c r="B13" s="2"/>
      <c r="D13" s="3"/>
      <c r="E13" s="3"/>
      <c r="F13" s="3"/>
      <c r="G13" s="3"/>
      <c r="H13" s="3"/>
      <c r="I13" s="3"/>
      <c r="J13" s="3"/>
      <c r="K13" s="3"/>
      <c r="L13" s="3"/>
    </row>
    <row r="14" spans="1:19" x14ac:dyDescent="0.3">
      <c r="B14" s="2" t="s">
        <v>199</v>
      </c>
      <c r="C14" t="s">
        <v>200</v>
      </c>
      <c r="D14">
        <v>20</v>
      </c>
      <c r="E14">
        <v>90</v>
      </c>
      <c r="F14">
        <v>120</v>
      </c>
      <c r="G14">
        <v>80</v>
      </c>
      <c r="H14">
        <v>35</v>
      </c>
      <c r="I14">
        <v>0</v>
      </c>
      <c r="J14">
        <v>0</v>
      </c>
      <c r="K14">
        <v>0</v>
      </c>
      <c r="L14">
        <v>1</v>
      </c>
      <c r="N14">
        <f>表2_2[[#This Row],[防御]]*2+表2_2[[#This Row],[HP]]+表2_2[[#This Row],[MP]]+表2_2[[#This Row],[伤害加成]]*3+表2_2[[#This Row],[空手加成]]*4+表2_2[[#This Row],[法抗]]</f>
        <v>485</v>
      </c>
      <c r="O14">
        <f>表2_2[[#This Row],[限制等级]]*20</f>
        <v>400</v>
      </c>
      <c r="P14">
        <f t="shared" ref="P14:P15" si="1">O14*1.25^L14</f>
        <v>500</v>
      </c>
      <c r="R14">
        <v>0</v>
      </c>
      <c r="S14">
        <v>0</v>
      </c>
    </row>
    <row r="15" spans="1:19" x14ac:dyDescent="0.3">
      <c r="B15" s="3"/>
      <c r="C15" s="1" t="s">
        <v>267</v>
      </c>
      <c r="D15" s="12">
        <v>60</v>
      </c>
      <c r="E15" s="12">
        <v>200</v>
      </c>
      <c r="F15" s="12">
        <v>300</v>
      </c>
      <c r="G15" s="12">
        <v>300</v>
      </c>
      <c r="H15" s="12">
        <v>70</v>
      </c>
      <c r="I15" s="12">
        <v>0</v>
      </c>
      <c r="J15" s="12">
        <v>0</v>
      </c>
      <c r="K15" s="12">
        <v>0</v>
      </c>
      <c r="L15" s="12">
        <v>0</v>
      </c>
      <c r="N15" s="16">
        <f>表2_2[[#This Row],[防御]]*2+表2_2[[#This Row],[HP]]+表2_2[[#This Row],[MP]]+表2_2[[#This Row],[伤害加成]]*3+表2_2[[#This Row],[空手加成]]*4+表2_2[[#This Row],[法抗]]</f>
        <v>1210</v>
      </c>
      <c r="O15">
        <f>表2_2[[#This Row],[限制等级]]*20</f>
        <v>1200</v>
      </c>
      <c r="P15" s="16">
        <f t="shared" si="1"/>
        <v>1200</v>
      </c>
      <c r="R15">
        <v>0</v>
      </c>
      <c r="S15">
        <v>0</v>
      </c>
    </row>
    <row r="16" spans="1:19" x14ac:dyDescent="0.3">
      <c r="B16" s="3"/>
      <c r="C16" s="1"/>
      <c r="D16" s="1"/>
      <c r="E16" s="1"/>
      <c r="F16" s="1"/>
      <c r="G16" s="1"/>
      <c r="H16" s="1"/>
      <c r="I16" s="1"/>
      <c r="J16" s="1"/>
      <c r="K16" s="1"/>
      <c r="L16" s="1"/>
      <c r="M16" s="1"/>
      <c r="N16" s="1"/>
      <c r="O16" s="1"/>
      <c r="P16" s="1"/>
      <c r="Q16" s="1"/>
      <c r="R16" s="1"/>
      <c r="S16" s="1"/>
    </row>
    <row r="17" spans="2:19" x14ac:dyDescent="0.3">
      <c r="B17" s="3"/>
      <c r="C17" s="2" t="s">
        <v>202</v>
      </c>
      <c r="D17" s="1"/>
      <c r="E17" s="1"/>
      <c r="F17" s="1"/>
      <c r="G17" s="1"/>
      <c r="H17" s="1"/>
      <c r="I17" s="1"/>
      <c r="J17" s="1"/>
      <c r="K17" s="1"/>
      <c r="L17" s="1"/>
      <c r="M17" s="1"/>
      <c r="N17" s="1"/>
      <c r="O17" s="1"/>
      <c r="P17" s="1"/>
      <c r="Q17" s="1"/>
      <c r="R17" s="1"/>
      <c r="S17" s="1"/>
    </row>
    <row r="18" spans="2:19" x14ac:dyDescent="0.3">
      <c r="B18" s="3"/>
    </row>
    <row r="19" spans="2:19" x14ac:dyDescent="0.3">
      <c r="B19" s="4" t="s">
        <v>40</v>
      </c>
      <c r="C19" s="2" t="s">
        <v>197</v>
      </c>
    </row>
    <row r="20" spans="2:19" x14ac:dyDescent="0.3">
      <c r="B20" s="3"/>
      <c r="C20" t="s">
        <v>213</v>
      </c>
    </row>
    <row r="21" spans="2:19" x14ac:dyDescent="0.3">
      <c r="B21" s="3"/>
    </row>
    <row r="22" spans="2:19" x14ac:dyDescent="0.3">
      <c r="B22" s="4" t="s">
        <v>41</v>
      </c>
      <c r="C22" t="s">
        <v>335</v>
      </c>
    </row>
    <row r="23" spans="2:19" x14ac:dyDescent="0.3">
      <c r="C23" t="s">
        <v>205</v>
      </c>
    </row>
    <row r="24" spans="2:19" x14ac:dyDescent="0.3">
      <c r="C24" t="s">
        <v>48</v>
      </c>
    </row>
    <row r="25" spans="2:19" x14ac:dyDescent="0.3">
      <c r="C25" t="s">
        <v>186</v>
      </c>
    </row>
    <row r="26" spans="2:19" x14ac:dyDescent="0.3">
      <c r="C26" t="s">
        <v>334</v>
      </c>
    </row>
    <row r="27" spans="2:19" x14ac:dyDescent="0.3">
      <c r="C27" t="s">
        <v>198</v>
      </c>
    </row>
    <row r="28" spans="2:19" x14ac:dyDescent="0.3">
      <c r="C28" t="s">
        <v>196</v>
      </c>
    </row>
    <row r="29" spans="2:19" x14ac:dyDescent="0.3">
      <c r="C29" t="s">
        <v>336</v>
      </c>
    </row>
  </sheetData>
  <phoneticPr fontId="1" type="noConversion"/>
  <pageMargins left="0.7" right="0.7" top="0.75" bottom="0.75" header="0.3" footer="0.3"/>
  <pageSetup paperSize="9" orientation="portrait" r:id="rId1"/>
  <ignoredErrors>
    <ignoredError sqref="R14:S14 R15:S15"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16"/>
  <sheetViews>
    <sheetView workbookViewId="0">
      <selection activeCell="D17" sqref="D17"/>
    </sheetView>
  </sheetViews>
  <sheetFormatPr defaultRowHeight="14" x14ac:dyDescent="0.3"/>
  <cols>
    <col min="3" max="3" width="10.5" customWidth="1"/>
    <col min="6" max="6" width="8.33203125" customWidth="1"/>
    <col min="7" max="7" width="12.1640625" customWidth="1"/>
  </cols>
  <sheetData>
    <row r="1" spans="1:10" x14ac:dyDescent="0.3">
      <c r="A1" t="s">
        <v>35</v>
      </c>
    </row>
    <row r="2" spans="1:10" x14ac:dyDescent="0.3">
      <c r="D2" t="s">
        <v>14</v>
      </c>
      <c r="E2" t="s">
        <v>37</v>
      </c>
      <c r="F2" t="s">
        <v>170</v>
      </c>
      <c r="G2" t="s">
        <v>280</v>
      </c>
      <c r="H2" t="s">
        <v>36</v>
      </c>
      <c r="J2" t="s">
        <v>38</v>
      </c>
    </row>
    <row r="3" spans="1:10" x14ac:dyDescent="0.3">
      <c r="C3" t="s">
        <v>39</v>
      </c>
      <c r="D3">
        <v>13</v>
      </c>
      <c r="E3">
        <v>136</v>
      </c>
      <c r="F3">
        <v>2</v>
      </c>
      <c r="G3">
        <v>1</v>
      </c>
      <c r="H3">
        <v>0</v>
      </c>
      <c r="J3">
        <f>(D3*10*1.25^H3+F3*3)/1.6^(G3-1)</f>
        <v>136</v>
      </c>
    </row>
    <row r="4" spans="1:10" x14ac:dyDescent="0.3">
      <c r="C4" s="1" t="s">
        <v>52</v>
      </c>
      <c r="D4">
        <v>30</v>
      </c>
      <c r="E4">
        <v>300</v>
      </c>
      <c r="F4">
        <v>3</v>
      </c>
      <c r="G4">
        <v>1</v>
      </c>
      <c r="H4">
        <v>0</v>
      </c>
      <c r="J4">
        <f>(D4*10*1.25^H4+F4*3)/1.6^(G4-1)</f>
        <v>309</v>
      </c>
    </row>
    <row r="9" spans="1:10" x14ac:dyDescent="0.3">
      <c r="C9" t="s">
        <v>55</v>
      </c>
    </row>
    <row r="10" spans="1:10" x14ac:dyDescent="0.3">
      <c r="C10" t="s">
        <v>341</v>
      </c>
    </row>
    <row r="11" spans="1:10" x14ac:dyDescent="0.3">
      <c r="C11" s="2" t="s">
        <v>330</v>
      </c>
    </row>
    <row r="12" spans="1:10" x14ac:dyDescent="0.3">
      <c r="C12" t="s">
        <v>343</v>
      </c>
    </row>
    <row r="13" spans="1:10" x14ac:dyDescent="0.3">
      <c r="C13" s="1" t="s">
        <v>333</v>
      </c>
    </row>
    <row r="15" spans="1:10" x14ac:dyDescent="0.3">
      <c r="C15" t="s">
        <v>337</v>
      </c>
      <c r="F15" t="s">
        <v>14</v>
      </c>
      <c r="G15" t="s">
        <v>339</v>
      </c>
      <c r="J15" t="s">
        <v>338</v>
      </c>
    </row>
    <row r="16" spans="1:10" x14ac:dyDescent="0.3">
      <c r="C16" t="s">
        <v>340</v>
      </c>
      <c r="F16">
        <v>20</v>
      </c>
      <c r="G16">
        <v>30</v>
      </c>
      <c r="J16">
        <f>G16*F16/16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3"/>
  <sheetViews>
    <sheetView workbookViewId="0">
      <selection activeCell="F6" sqref="F6"/>
    </sheetView>
  </sheetViews>
  <sheetFormatPr defaultRowHeight="14" x14ac:dyDescent="0.3"/>
  <cols>
    <col min="1" max="1" width="16.25" customWidth="1"/>
  </cols>
  <sheetData>
    <row r="1" spans="1:11" x14ac:dyDescent="0.3">
      <c r="A1" t="s">
        <v>29</v>
      </c>
      <c r="B1" t="s">
        <v>332</v>
      </c>
    </row>
    <row r="2" spans="1:11" x14ac:dyDescent="0.3">
      <c r="A2" t="s">
        <v>28</v>
      </c>
      <c r="B2" t="s">
        <v>34</v>
      </c>
      <c r="D2" s="2" t="s">
        <v>30</v>
      </c>
      <c r="E2" s="2" t="s">
        <v>10</v>
      </c>
      <c r="F2" s="2" t="s">
        <v>3</v>
      </c>
      <c r="G2" s="2" t="s">
        <v>14</v>
      </c>
      <c r="H2" s="2" t="s">
        <v>89</v>
      </c>
      <c r="I2" s="2"/>
      <c r="K2" s="2" t="s">
        <v>31</v>
      </c>
    </row>
    <row r="3" spans="1:11" x14ac:dyDescent="0.3">
      <c r="D3">
        <v>3000</v>
      </c>
      <c r="E3">
        <v>7500</v>
      </c>
      <c r="F3">
        <v>2</v>
      </c>
      <c r="G3">
        <v>15</v>
      </c>
      <c r="H3">
        <v>0</v>
      </c>
      <c r="K3">
        <f>1.5*E3*1.25^H3*SQRT(G3/30)/(F3+0.5)</f>
        <v>3181.9805153394641</v>
      </c>
    </row>
    <row r="4" spans="1:11" x14ac:dyDescent="0.3">
      <c r="D4">
        <v>1800</v>
      </c>
      <c r="E4">
        <v>7500</v>
      </c>
      <c r="F4">
        <v>6</v>
      </c>
      <c r="G4">
        <v>33</v>
      </c>
      <c r="H4">
        <v>0</v>
      </c>
      <c r="K4">
        <f>1.5*E4*1.25^H4*SQRT(G4/30)/(F4+0.5)</f>
        <v>1815.2460833714163</v>
      </c>
    </row>
    <row r="5" spans="1:11" x14ac:dyDescent="0.3">
      <c r="C5" s="1" t="s">
        <v>53</v>
      </c>
      <c r="D5">
        <v>3000</v>
      </c>
      <c r="E5">
        <v>7500</v>
      </c>
      <c r="F5">
        <v>5</v>
      </c>
      <c r="G5">
        <v>50</v>
      </c>
      <c r="H5">
        <v>0</v>
      </c>
      <c r="K5">
        <f>1.5*E5*1.25^H5*SQRT(G5/30)/(F5+0.5)</f>
        <v>2640.6704633232384</v>
      </c>
    </row>
    <row r="8" spans="1:11" x14ac:dyDescent="0.3">
      <c r="C8" t="s">
        <v>140</v>
      </c>
    </row>
    <row r="11" spans="1:11" x14ac:dyDescent="0.3">
      <c r="B11" t="s">
        <v>32</v>
      </c>
      <c r="D11" s="2" t="s">
        <v>30</v>
      </c>
      <c r="E11" s="2" t="s">
        <v>33</v>
      </c>
      <c r="F11" s="2"/>
      <c r="G11" s="2" t="s">
        <v>31</v>
      </c>
    </row>
    <row r="12" spans="1:11" x14ac:dyDescent="0.3">
      <c r="D12">
        <v>3000</v>
      </c>
      <c r="E12">
        <v>7500</v>
      </c>
      <c r="G12">
        <f>E12</f>
        <v>7500</v>
      </c>
    </row>
    <row r="13" spans="1:11" x14ac:dyDescent="0.3">
      <c r="C13" s="1" t="s">
        <v>54</v>
      </c>
      <c r="D13">
        <v>3000</v>
      </c>
      <c r="E13">
        <v>7500</v>
      </c>
      <c r="G13">
        <f>E13</f>
        <v>7500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B33" sqref="B33"/>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76</v>
      </c>
    </row>
    <row r="2" spans="1:12" x14ac:dyDescent="0.3">
      <c r="D2" s="2" t="s">
        <v>57</v>
      </c>
      <c r="E2" s="2" t="s">
        <v>58</v>
      </c>
      <c r="F2" s="2" t="s">
        <v>59</v>
      </c>
      <c r="G2" s="2" t="s">
        <v>60</v>
      </c>
      <c r="H2" s="2" t="s">
        <v>74</v>
      </c>
      <c r="I2" s="2" t="s">
        <v>61</v>
      </c>
      <c r="J2" s="2" t="s">
        <v>71</v>
      </c>
      <c r="K2" s="2"/>
      <c r="L2" s="2" t="s">
        <v>66</v>
      </c>
    </row>
    <row r="3" spans="1:12" x14ac:dyDescent="0.3">
      <c r="B3" t="s">
        <v>135</v>
      </c>
      <c r="C3" t="s">
        <v>136</v>
      </c>
      <c r="D3" t="s">
        <v>137</v>
      </c>
      <c r="E3" s="5" t="s">
        <v>75</v>
      </c>
      <c r="F3" t="s">
        <v>63</v>
      </c>
      <c r="G3" t="s">
        <v>63</v>
      </c>
      <c r="J3" s="5" t="s">
        <v>72</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65</v>
      </c>
      <c r="E4" s="5" t="s">
        <v>75</v>
      </c>
      <c r="F4" t="s">
        <v>63</v>
      </c>
      <c r="G4" t="s">
        <v>63</v>
      </c>
      <c r="L4" t="str">
        <f>"子弹威力 = "&amp;D4&amp;" ( _parent._parent.空手攻击力 "&amp;F4&amp;E4&amp;" ) "&amp;"*(1+_parent._parent.技能等级"&amp;G4&amp;")"&amp;J4</f>
        <v>子弹威力 =  ( _parent._parent.空手攻击力 *1+100 ) *(1+_parent._parent.技能等级*1)</v>
      </c>
    </row>
    <row r="5" spans="1:12" x14ac:dyDescent="0.3">
      <c r="C5" s="1" t="s">
        <v>69</v>
      </c>
      <c r="E5" s="5" t="s">
        <v>75</v>
      </c>
      <c r="F5" t="s">
        <v>63</v>
      </c>
      <c r="G5" t="s">
        <v>63</v>
      </c>
      <c r="L5" t="str">
        <f>"子弹威力 = "&amp;D5&amp;" ( _parent._parent.空手攻击力 "&amp;F5&amp;E5&amp;" ) "&amp;"*(1+_parent._parent.技能等级"&amp;G5&amp;")"&amp;J5</f>
        <v>子弹威力 =  ( _parent._parent.空手攻击力 *1+100 ) *(1+_parent._parent.技能等级*1)</v>
      </c>
    </row>
    <row r="8" spans="1:12" x14ac:dyDescent="0.3">
      <c r="K8" s="1" t="s">
        <v>67</v>
      </c>
      <c r="L8" s="4"/>
    </row>
    <row r="9" spans="1:12" x14ac:dyDescent="0.3">
      <c r="K9" s="4"/>
      <c r="L9" s="4" t="s">
        <v>73</v>
      </c>
    </row>
    <row r="12" spans="1:12" x14ac:dyDescent="0.3">
      <c r="B12" t="s">
        <v>133</v>
      </c>
      <c r="C12" t="s">
        <v>70</v>
      </c>
      <c r="D12" t="s">
        <v>62</v>
      </c>
      <c r="E12" s="5" t="s">
        <v>75</v>
      </c>
      <c r="F12" t="s">
        <v>138</v>
      </c>
      <c r="G12" t="s">
        <v>63</v>
      </c>
      <c r="J12" s="5" t="s">
        <v>72</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65</v>
      </c>
      <c r="E13" s="5" t="s">
        <v>75</v>
      </c>
      <c r="F13" t="s">
        <v>139</v>
      </c>
      <c r="G13" t="s">
        <v>63</v>
      </c>
      <c r="L13" t="str">
        <f>"子弹威力 = "&amp;D13&amp;" ( _parent._parent.空手攻击力 "&amp;F13&amp;E13&amp;" ) "&amp;"*(1+_parent._parent.技能等级"&amp;G13&amp;")"&amp;J13</f>
        <v>子弹威力 =  ( _parent._parent.空手攻击力 /3+100 ) *(1+_parent._parent.技能等级*1)</v>
      </c>
    </row>
    <row r="14" spans="1:12" x14ac:dyDescent="0.3">
      <c r="C14" s="1" t="s">
        <v>69</v>
      </c>
      <c r="E14" s="5" t="s">
        <v>75</v>
      </c>
      <c r="F14" t="s">
        <v>139</v>
      </c>
      <c r="G14" t="s">
        <v>63</v>
      </c>
      <c r="L14" t="str">
        <f>"子弹威力 = "&amp;D14&amp;" ( _parent._parent.空手攻击力 "&amp;F14&amp;E14&amp;" ) "&amp;"*(1+_parent._parent.技能等级"&amp;G14&amp;")"&amp;J14</f>
        <v>子弹威力 =  ( _parent._parent.空手攻击力 /3+100 ) *(1+_parent._parent.技能等级*1)</v>
      </c>
    </row>
    <row r="17" spans="2:29" x14ac:dyDescent="0.3">
      <c r="K17" s="1" t="s">
        <v>67</v>
      </c>
      <c r="L17" s="4"/>
    </row>
    <row r="18" spans="2:29" x14ac:dyDescent="0.3">
      <c r="K18" s="4"/>
      <c r="L18" s="4" t="s">
        <v>73</v>
      </c>
    </row>
    <row r="20" spans="2:29" x14ac:dyDescent="0.3">
      <c r="B20" t="s">
        <v>134</v>
      </c>
      <c r="C20" t="s">
        <v>70</v>
      </c>
      <c r="D20" t="s">
        <v>62</v>
      </c>
      <c r="E20" s="5" t="s">
        <v>75</v>
      </c>
      <c r="F20" t="s">
        <v>132</v>
      </c>
      <c r="G20" t="s">
        <v>63</v>
      </c>
      <c r="H20" s="5" t="s">
        <v>75</v>
      </c>
      <c r="I20" s="5" t="s">
        <v>64</v>
      </c>
      <c r="J20" s="5" t="s">
        <v>72</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68</v>
      </c>
      <c r="E21" s="5"/>
      <c r="F21" t="s">
        <v>132</v>
      </c>
      <c r="G21" t="s">
        <v>63</v>
      </c>
      <c r="H21" s="5"/>
      <c r="I21" s="5" t="s">
        <v>64</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69</v>
      </c>
      <c r="E22" s="5" t="s">
        <v>75</v>
      </c>
      <c r="F22" t="s">
        <v>132</v>
      </c>
      <c r="G22" t="s">
        <v>63</v>
      </c>
      <c r="H22" s="5"/>
      <c r="I22" s="5" t="s">
        <v>64</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67</v>
      </c>
      <c r="L25" s="4"/>
    </row>
    <row r="26" spans="2:29" x14ac:dyDescent="0.3">
      <c r="K26" s="4"/>
      <c r="L26" s="4" t="s">
        <v>73</v>
      </c>
    </row>
    <row r="30" spans="2:29" x14ac:dyDescent="0.3">
      <c r="C30" s="1" t="s">
        <v>77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30"/>
  <sheetViews>
    <sheetView workbookViewId="0">
      <selection activeCell="F10" sqref="F10"/>
    </sheetView>
  </sheetViews>
  <sheetFormatPr defaultRowHeight="14" x14ac:dyDescent="0.3"/>
  <cols>
    <col min="8" max="8" width="11.75" customWidth="1"/>
  </cols>
  <sheetData>
    <row r="1" spans="1:14" x14ac:dyDescent="0.3">
      <c r="A1" t="s">
        <v>79</v>
      </c>
    </row>
    <row r="4" spans="1:14" x14ac:dyDescent="0.3">
      <c r="B4" t="s">
        <v>80</v>
      </c>
      <c r="D4" s="2" t="s">
        <v>14</v>
      </c>
      <c r="E4" s="2" t="s">
        <v>36</v>
      </c>
      <c r="F4" s="2" t="s">
        <v>6</v>
      </c>
      <c r="G4" s="2" t="s">
        <v>88</v>
      </c>
      <c r="H4" s="2" t="s">
        <v>280</v>
      </c>
      <c r="J4" s="2" t="s">
        <v>82</v>
      </c>
      <c r="K4" s="2" t="s">
        <v>83</v>
      </c>
      <c r="N4" t="s">
        <v>101</v>
      </c>
    </row>
    <row r="5" spans="1:14" x14ac:dyDescent="0.3">
      <c r="C5" t="s">
        <v>87</v>
      </c>
      <c r="D5">
        <v>5</v>
      </c>
      <c r="E5">
        <v>0</v>
      </c>
      <c r="F5">
        <v>1</v>
      </c>
      <c r="G5">
        <v>1</v>
      </c>
      <c r="H5">
        <v>1</v>
      </c>
      <c r="J5">
        <f>D5*3900*(1.6)^(E5)*G5*1.6^(H5-1)/F5</f>
        <v>19500</v>
      </c>
      <c r="K5" s="5">
        <f>D5*120*(1.5)^E5*G5*1.6^(H5-1)/F5</f>
        <v>600</v>
      </c>
      <c r="N5">
        <f>J5/K5</f>
        <v>32.5</v>
      </c>
    </row>
    <row r="6" spans="1:14" x14ac:dyDescent="0.3">
      <c r="C6" t="s">
        <v>86</v>
      </c>
      <c r="D6">
        <v>20</v>
      </c>
      <c r="E6">
        <v>0</v>
      </c>
      <c r="F6">
        <v>1</v>
      </c>
      <c r="G6">
        <v>1</v>
      </c>
      <c r="H6">
        <v>1</v>
      </c>
      <c r="J6">
        <f t="shared" ref="J6:J8" si="0">D6*3900*(1.6)^(E6)*G6*1.6^(H6-1)/F6</f>
        <v>78000</v>
      </c>
      <c r="K6" s="5">
        <f t="shared" ref="K6:K8" si="1">D6*120*(1.5)^E6*G6*1.6^(H6-1)/F6</f>
        <v>2400</v>
      </c>
      <c r="N6">
        <f>J6/K6</f>
        <v>32.5</v>
      </c>
    </row>
    <row r="7" spans="1:14" x14ac:dyDescent="0.3">
      <c r="C7" t="s">
        <v>85</v>
      </c>
      <c r="D7">
        <v>2</v>
      </c>
      <c r="E7">
        <v>0</v>
      </c>
      <c r="F7">
        <v>1.5</v>
      </c>
      <c r="G7">
        <v>1</v>
      </c>
      <c r="H7">
        <v>1</v>
      </c>
      <c r="J7">
        <f t="shared" si="0"/>
        <v>5200</v>
      </c>
      <c r="K7" s="5">
        <f t="shared" si="1"/>
        <v>160</v>
      </c>
      <c r="N7">
        <f>J7/K7</f>
        <v>32.5</v>
      </c>
    </row>
    <row r="8" spans="1:14" x14ac:dyDescent="0.3">
      <c r="C8" s="1" t="s">
        <v>84</v>
      </c>
      <c r="D8">
        <v>13</v>
      </c>
      <c r="E8">
        <v>0</v>
      </c>
      <c r="F8">
        <v>1</v>
      </c>
      <c r="G8">
        <v>1</v>
      </c>
      <c r="H8">
        <v>1</v>
      </c>
      <c r="J8">
        <f t="shared" si="0"/>
        <v>50700</v>
      </c>
      <c r="K8" s="5">
        <f t="shared" si="1"/>
        <v>1560</v>
      </c>
      <c r="N8">
        <f>J8/K8</f>
        <v>32.5</v>
      </c>
    </row>
    <row r="11" spans="1:14" x14ac:dyDescent="0.3">
      <c r="C11" t="s">
        <v>283</v>
      </c>
      <c r="D11" t="s">
        <v>327</v>
      </c>
    </row>
    <row r="12" spans="1:14" x14ac:dyDescent="0.3">
      <c r="C12" t="s">
        <v>325</v>
      </c>
      <c r="D12" t="s">
        <v>326</v>
      </c>
    </row>
    <row r="13" spans="1:14" x14ac:dyDescent="0.3">
      <c r="D13" t="s">
        <v>331</v>
      </c>
    </row>
    <row r="14" spans="1:14" x14ac:dyDescent="0.3">
      <c r="C14" t="s">
        <v>329</v>
      </c>
    </row>
    <row r="16" spans="1:14" x14ac:dyDescent="0.3">
      <c r="B16" t="s">
        <v>81</v>
      </c>
      <c r="C16" t="s">
        <v>87</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84</v>
      </c>
      <c r="D19">
        <v>40</v>
      </c>
      <c r="E19">
        <v>1</v>
      </c>
      <c r="G19">
        <v>1</v>
      </c>
      <c r="H19">
        <v>1</v>
      </c>
      <c r="J19">
        <f t="shared" si="2"/>
        <v>166400</v>
      </c>
      <c r="K19" s="5">
        <f t="shared" si="3"/>
        <v>5400</v>
      </c>
      <c r="N19">
        <f>J19/K19</f>
        <v>30.814814814814813</v>
      </c>
    </row>
    <row r="22" spans="3:14" x14ac:dyDescent="0.3">
      <c r="C22" t="s">
        <v>166</v>
      </c>
    </row>
    <row r="25" spans="3:14" x14ac:dyDescent="0.3">
      <c r="C25" t="s">
        <v>131</v>
      </c>
    </row>
    <row r="26" spans="3:14" x14ac:dyDescent="0.3">
      <c r="D26" t="s">
        <v>129</v>
      </c>
    </row>
    <row r="27" spans="3:14" x14ac:dyDescent="0.3">
      <c r="D27" t="s">
        <v>270</v>
      </c>
    </row>
    <row r="28" spans="3:14" x14ac:dyDescent="0.3">
      <c r="D28" t="s">
        <v>130</v>
      </c>
    </row>
    <row r="29" spans="3:14" x14ac:dyDescent="0.3">
      <c r="D29" t="s">
        <v>323</v>
      </c>
    </row>
    <row r="30" spans="3:14" x14ac:dyDescent="0.3">
      <c r="D30" t="s">
        <v>324</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I24" sqref="I24"/>
    </sheetView>
  </sheetViews>
  <sheetFormatPr defaultRowHeight="14" x14ac:dyDescent="0.3"/>
  <cols>
    <col min="1" max="1" width="17.5" customWidth="1"/>
    <col min="2" max="2" width="15.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207</v>
      </c>
      <c r="D1" t="s">
        <v>46</v>
      </c>
      <c r="E1" s="21" t="s">
        <v>208</v>
      </c>
      <c r="F1" t="s">
        <v>43</v>
      </c>
      <c r="G1" t="s">
        <v>44</v>
      </c>
      <c r="H1" t="s">
        <v>45</v>
      </c>
      <c r="N1" t="s">
        <v>225</v>
      </c>
    </row>
    <row r="2" spans="1:17" x14ac:dyDescent="0.3">
      <c r="B2" s="10" t="s">
        <v>49</v>
      </c>
      <c r="C2" s="10" t="s">
        <v>203</v>
      </c>
      <c r="D2" s="8" t="s">
        <v>14</v>
      </c>
      <c r="E2" s="20" t="s">
        <v>36</v>
      </c>
      <c r="F2" s="8" t="s">
        <v>218</v>
      </c>
      <c r="G2" s="8" t="s">
        <v>219</v>
      </c>
      <c r="H2" s="8" t="s">
        <v>216</v>
      </c>
      <c r="I2" s="8" t="s">
        <v>217</v>
      </c>
      <c r="J2" s="8" t="s">
        <v>253</v>
      </c>
      <c r="K2" s="11" t="s">
        <v>226</v>
      </c>
      <c r="L2" s="11" t="s">
        <v>228</v>
      </c>
      <c r="M2" s="11" t="s">
        <v>227</v>
      </c>
      <c r="N2" s="26" t="s">
        <v>209</v>
      </c>
      <c r="O2" s="26" t="s">
        <v>210</v>
      </c>
      <c r="P2" s="26" t="s">
        <v>211</v>
      </c>
      <c r="Q2" s="11" t="s">
        <v>154</v>
      </c>
    </row>
    <row r="3" spans="1:17" x14ac:dyDescent="0.3">
      <c r="B3" s="2" t="s">
        <v>176</v>
      </c>
      <c r="C3" t="s">
        <v>233</v>
      </c>
      <c r="D3">
        <v>21</v>
      </c>
      <c r="E3" s="21">
        <v>1</v>
      </c>
      <c r="F3">
        <v>2000</v>
      </c>
      <c r="G3">
        <v>0</v>
      </c>
      <c r="H3">
        <v>30000</v>
      </c>
      <c r="I3">
        <v>5400</v>
      </c>
      <c r="J3">
        <v>4800</v>
      </c>
      <c r="N3">
        <f>表2_4[[#This Row],[金币需求]]+表2_4[[#This Row],[K点需求]]*30+表2_4[[#This Row],[材料价格]]+表2_4[[#This Row],[装备折算价格]]+表2_4[[#This Row],[掉落物折算价格]]</f>
        <v>42200</v>
      </c>
      <c r="O3">
        <f>表2_4[[#This Row],[限制等级]]*2000</f>
        <v>42000</v>
      </c>
      <c r="P3">
        <f>IF(表2_4[[#This Row],[加权层数]]&gt;=1,O3*1.6^(E3-1),O3*1.6^(E3*3-3))</f>
        <v>42000</v>
      </c>
    </row>
    <row r="4" spans="1:17" x14ac:dyDescent="0.3">
      <c r="B4" s="3"/>
      <c r="C4" s="1" t="s">
        <v>177</v>
      </c>
      <c r="D4" s="12">
        <v>35</v>
      </c>
      <c r="E4" s="22">
        <v>1</v>
      </c>
      <c r="F4" s="12">
        <v>50000</v>
      </c>
      <c r="G4" s="12">
        <v>500</v>
      </c>
      <c r="H4" s="12">
        <v>0</v>
      </c>
      <c r="I4" s="12">
        <v>0</v>
      </c>
      <c r="J4" s="12">
        <v>4000</v>
      </c>
      <c r="N4" s="17">
        <f>表2_4[[#This Row],[金币需求]]+表2_4[[#This Row],[K点需求]]*30+表2_4[[#This Row],[材料价格]]+表2_4[[#This Row],[装备折算价格]]+表2_4[[#This Row],[掉落物折算价格]]</f>
        <v>69000</v>
      </c>
      <c r="O4">
        <f>表2_4[[#This Row],[限制等级]]*2000</f>
        <v>70000</v>
      </c>
      <c r="P4" s="17">
        <f>IF(表2_4[[#This Row],[加权层数]]&gt;=1,O4*1.6^(E4-1),O4*1.6^(E4*3-3))</f>
        <v>70000</v>
      </c>
    </row>
    <row r="5" spans="1:17" x14ac:dyDescent="0.3">
      <c r="A5" s="2" t="s">
        <v>148</v>
      </c>
      <c r="B5" s="3"/>
      <c r="D5" s="3"/>
      <c r="E5" s="23"/>
      <c r="F5" s="3"/>
      <c r="G5" s="3"/>
      <c r="H5" s="3"/>
      <c r="I5" s="3"/>
      <c r="J5" s="3"/>
    </row>
    <row r="6" spans="1:17" x14ac:dyDescent="0.3">
      <c r="A6" s="6" t="s">
        <v>150</v>
      </c>
      <c r="B6" s="3"/>
      <c r="C6" s="24" t="s">
        <v>242</v>
      </c>
      <c r="D6" s="2" t="s">
        <v>264</v>
      </c>
      <c r="E6" s="23"/>
      <c r="F6" s="3"/>
      <c r="G6" s="3"/>
      <c r="H6" s="3"/>
      <c r="I6" s="3"/>
      <c r="J6" s="3"/>
    </row>
    <row r="7" spans="1:17" x14ac:dyDescent="0.3">
      <c r="A7" s="6" t="s">
        <v>151</v>
      </c>
      <c r="B7" s="3"/>
      <c r="D7" s="3"/>
      <c r="E7" s="23"/>
      <c r="F7" s="3"/>
      <c r="G7" s="3"/>
      <c r="H7" s="3"/>
      <c r="I7" s="3"/>
      <c r="J7" s="3"/>
    </row>
    <row r="8" spans="1:17" x14ac:dyDescent="0.3">
      <c r="A8" s="6" t="s">
        <v>158</v>
      </c>
      <c r="B8" s="2" t="s">
        <v>223</v>
      </c>
      <c r="D8" s="8" t="s">
        <v>220</v>
      </c>
      <c r="E8" s="20" t="s">
        <v>221</v>
      </c>
      <c r="F8" s="8" t="s">
        <v>222</v>
      </c>
      <c r="G8" s="3"/>
      <c r="I8" s="3"/>
      <c r="J8" s="3"/>
      <c r="N8" s="14" t="s">
        <v>216</v>
      </c>
    </row>
    <row r="9" spans="1:17" x14ac:dyDescent="0.3">
      <c r="A9" s="15" t="s">
        <v>149</v>
      </c>
      <c r="B9" s="3"/>
      <c r="C9" t="s">
        <v>206</v>
      </c>
      <c r="D9" s="3">
        <v>5</v>
      </c>
      <c r="E9" s="23">
        <v>0</v>
      </c>
      <c r="F9" s="3">
        <v>5</v>
      </c>
      <c r="G9" s="3"/>
      <c r="I9" s="3"/>
      <c r="J9" s="3"/>
      <c r="N9" s="3">
        <f>1000*表2_4[[#This Row],[限制等级]]+3000*表2_4[[#This Row],[加权层数]]+5000*表2_4[[#This Row],[金币需求]]</f>
        <v>30000</v>
      </c>
    </row>
    <row r="10" spans="1:17" x14ac:dyDescent="0.3">
      <c r="A10" s="15" t="s">
        <v>159</v>
      </c>
      <c r="B10" s="3"/>
      <c r="C10" s="1" t="s">
        <v>177</v>
      </c>
      <c r="D10" s="12">
        <v>10</v>
      </c>
      <c r="E10" s="22">
        <v>5</v>
      </c>
      <c r="F10" s="12">
        <v>5</v>
      </c>
      <c r="G10" s="3"/>
      <c r="N10" s="17">
        <f>1000*表2_4[[#This Row],[限制等级]]+3000*表2_4[[#This Row],[加权层数]]+5000*表2_4[[#This Row],[金币需求]]</f>
        <v>50000</v>
      </c>
    </row>
    <row r="11" spans="1:17" x14ac:dyDescent="0.3">
      <c r="A11" s="15" t="s">
        <v>160</v>
      </c>
      <c r="B11" s="3"/>
      <c r="D11" s="3"/>
      <c r="E11" s="23"/>
      <c r="F11" s="3"/>
      <c r="G11" s="3"/>
      <c r="H11" s="3"/>
      <c r="I11" s="3"/>
      <c r="J11" s="3"/>
    </row>
    <row r="12" spans="1:17" x14ac:dyDescent="0.3">
      <c r="B12" s="2" t="s">
        <v>229</v>
      </c>
      <c r="D12" s="20" t="s">
        <v>231</v>
      </c>
      <c r="E12" s="20" t="s">
        <v>14</v>
      </c>
      <c r="F12" s="8" t="s">
        <v>36</v>
      </c>
      <c r="G12" s="8" t="s">
        <v>235</v>
      </c>
      <c r="H12" s="8" t="s">
        <v>88</v>
      </c>
      <c r="I12" s="8" t="s">
        <v>230</v>
      </c>
      <c r="J12" s="14" t="s">
        <v>236</v>
      </c>
      <c r="K12" s="3"/>
      <c r="L12" s="3"/>
      <c r="M12" s="3"/>
      <c r="N12" s="14" t="s">
        <v>217</v>
      </c>
      <c r="O12" s="2"/>
    </row>
    <row r="13" spans="1:17" x14ac:dyDescent="0.3">
      <c r="B13" s="2"/>
      <c r="C13" t="s">
        <v>233</v>
      </c>
      <c r="D13" t="s">
        <v>232</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234</v>
      </c>
      <c r="E14" s="21">
        <v>0</v>
      </c>
      <c r="F14">
        <v>0</v>
      </c>
      <c r="G14">
        <v>1</v>
      </c>
      <c r="H14">
        <v>1</v>
      </c>
      <c r="I14">
        <v>0</v>
      </c>
      <c r="J14" s="3">
        <f>表2_4[[#This Row],[装备折算价格]]*0.25 * E14*3900*(1.6)^(F14)*H14/G14</f>
        <v>0</v>
      </c>
    </row>
    <row r="15" spans="1:17" x14ac:dyDescent="0.3">
      <c r="B15" s="3"/>
      <c r="C15" s="1" t="s">
        <v>177</v>
      </c>
      <c r="D15" t="s">
        <v>237</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238</v>
      </c>
      <c r="E16" s="22">
        <v>1</v>
      </c>
      <c r="F16" s="12">
        <v>0</v>
      </c>
      <c r="G16" s="12">
        <v>1</v>
      </c>
      <c r="H16" s="12">
        <v>1</v>
      </c>
      <c r="I16" s="12">
        <v>0</v>
      </c>
      <c r="J16" s="3">
        <f>表2_4[[#This Row],[装备折算价格]]*0.25 * E16*3900*(1.6)^(F16)*H16/G16</f>
        <v>0</v>
      </c>
    </row>
    <row r="17" spans="2:17" x14ac:dyDescent="0.3">
      <c r="B17" s="3"/>
      <c r="D17" t="s">
        <v>239</v>
      </c>
      <c r="E17" s="22">
        <v>1</v>
      </c>
      <c r="F17" s="12">
        <v>0</v>
      </c>
      <c r="G17" s="12">
        <v>1</v>
      </c>
      <c r="H17" s="12">
        <v>1</v>
      </c>
      <c r="I17" s="12">
        <v>0</v>
      </c>
      <c r="J17" s="3">
        <f>表2_4[[#This Row],[装备折算价格]]*0.25 * E17*3900*(1.6)^(F17)*H17/G17</f>
        <v>0</v>
      </c>
    </row>
    <row r="18" spans="2:17" x14ac:dyDescent="0.3">
      <c r="B18" s="3"/>
      <c r="C18" s="2"/>
      <c r="D18" t="s">
        <v>240</v>
      </c>
      <c r="E18" s="22">
        <v>1</v>
      </c>
      <c r="F18" s="12">
        <v>0</v>
      </c>
      <c r="G18" s="12">
        <v>1</v>
      </c>
      <c r="H18" s="12">
        <v>1</v>
      </c>
      <c r="I18" s="12">
        <v>0</v>
      </c>
      <c r="J18" s="3">
        <f>表2_4[[#This Row],[装备折算价格]]*0.25 * E18*3900*(1.6)^(F18)*H18/G18</f>
        <v>0</v>
      </c>
    </row>
    <row r="19" spans="2:17" x14ac:dyDescent="0.3">
      <c r="B19" s="3"/>
      <c r="C19" s="24" t="s">
        <v>242</v>
      </c>
      <c r="D19" s="2" t="s">
        <v>243</v>
      </c>
    </row>
    <row r="20" spans="2:17" x14ac:dyDescent="0.3">
      <c r="B20" s="3"/>
      <c r="D20" s="2" t="s">
        <v>241</v>
      </c>
    </row>
    <row r="21" spans="2:17" x14ac:dyDescent="0.3">
      <c r="B21" s="3"/>
    </row>
    <row r="22" spans="2:17" x14ac:dyDescent="0.3">
      <c r="B22" s="2" t="s">
        <v>244</v>
      </c>
      <c r="D22" s="20" t="s">
        <v>231</v>
      </c>
      <c r="E22" s="20" t="s">
        <v>255</v>
      </c>
      <c r="F22" s="20" t="s">
        <v>245</v>
      </c>
      <c r="G22" s="20" t="s">
        <v>246</v>
      </c>
      <c r="H22" s="20" t="s">
        <v>247</v>
      </c>
      <c r="I22" s="20" t="s">
        <v>248</v>
      </c>
      <c r="J22" s="20" t="s">
        <v>249</v>
      </c>
      <c r="K22" s="25" t="s">
        <v>250</v>
      </c>
      <c r="L22" s="25" t="s">
        <v>251</v>
      </c>
      <c r="N22" s="26" t="s">
        <v>253</v>
      </c>
      <c r="P22" s="26" t="s">
        <v>257</v>
      </c>
      <c r="Q22" s="26" t="s">
        <v>252</v>
      </c>
    </row>
    <row r="23" spans="2:17" x14ac:dyDescent="0.3">
      <c r="B23" s="3"/>
      <c r="C23" t="s">
        <v>233</v>
      </c>
      <c r="D23" t="s">
        <v>260</v>
      </c>
      <c r="E23" s="21">
        <v>1</v>
      </c>
      <c r="F23" s="21">
        <v>4</v>
      </c>
      <c r="G23">
        <v>1.5</v>
      </c>
      <c r="H23">
        <v>1.5</v>
      </c>
      <c r="I23">
        <v>0.5</v>
      </c>
      <c r="J23">
        <v>0.1</v>
      </c>
      <c r="K23">
        <v>10000</v>
      </c>
      <c r="L23">
        <v>500</v>
      </c>
      <c r="N23">
        <f>IF(表2_4[[#This Row],[列2]],MIN(表2_4[[#This Row],[列2]],表2_4[[#This Row],[加权成本]]),表2_4[[#This Row],[加权成本]])</f>
        <v>5400</v>
      </c>
      <c r="P23">
        <f>(表2_4[[#This Row],[加权层数]]*表2_4[[#This Row],[金币需求]]*3000*表2_4[[#This Row],[K点需求]]*表2_4[[#This Row],[材料价格]]*表2_4[[#This Row],[掉落物折算价格]])/(表2_4[[#This Row],[装备折算价格]])</f>
        <v>5400</v>
      </c>
      <c r="Q23">
        <f>MAX(表2_4[[#This Row],[列3]],表2_4[[#This Row],[列4]]*30)</f>
        <v>15000</v>
      </c>
    </row>
    <row r="24" spans="2:17" x14ac:dyDescent="0.3">
      <c r="B24" s="3"/>
      <c r="C24" s="1" t="s">
        <v>25</v>
      </c>
      <c r="D24" t="s">
        <v>261</v>
      </c>
      <c r="E24" s="22">
        <v>0</v>
      </c>
      <c r="F24" s="12">
        <v>1</v>
      </c>
      <c r="G24" s="12">
        <v>1</v>
      </c>
      <c r="H24" s="12">
        <v>1</v>
      </c>
      <c r="I24" s="12">
        <v>1</v>
      </c>
      <c r="J24" s="12">
        <v>1</v>
      </c>
      <c r="K24">
        <v>0</v>
      </c>
      <c r="L24">
        <v>0</v>
      </c>
      <c r="N24" s="17">
        <f>IF(表2_4[[#This Row],[列2]],MIN(表2_4[[#This Row],[列2]],表2_4[[#This Row],[加权成本]]),表2_4[[#This Row],[加权成本]])</f>
        <v>0</v>
      </c>
      <c r="P24">
        <f>(表2_4[[#This Row],[加权层数]]*表2_4[[#This Row],[金币需求]]*2000*表2_4[[#This Row],[K点需求]]*表2_4[[#This Row],[材料价格]]*表2_4[[#This Row],[掉落物折算价格]])/(表2_4[[#This Row],[装备折算价格]])+(E25*F25*2000*G25*H25*J25)/(I25)+(E26*F26*2000*G26*H26*J26)/(I26)</f>
        <v>0</v>
      </c>
      <c r="Q24">
        <f>MAX(表2_4[[#This Row],[列3]],表2_4[[#This Row],[列4]]*30)+MAX(K25,L25*30)+MAX(K26,L26*30)</f>
        <v>0</v>
      </c>
    </row>
    <row r="25" spans="2:17" x14ac:dyDescent="0.3">
      <c r="B25" s="3"/>
      <c r="C25" s="1"/>
      <c r="D25" t="s">
        <v>262</v>
      </c>
      <c r="E25" s="22">
        <v>0</v>
      </c>
      <c r="F25" s="12">
        <v>1</v>
      </c>
      <c r="G25" s="12">
        <v>1</v>
      </c>
      <c r="H25" s="12">
        <v>1</v>
      </c>
      <c r="I25" s="12">
        <v>1</v>
      </c>
      <c r="J25" s="12">
        <v>1</v>
      </c>
      <c r="K25">
        <v>0</v>
      </c>
      <c r="L25">
        <v>0</v>
      </c>
    </row>
    <row r="26" spans="2:17" x14ac:dyDescent="0.3">
      <c r="B26" s="3"/>
      <c r="C26" s="1"/>
      <c r="D26" t="s">
        <v>263</v>
      </c>
      <c r="E26" s="22">
        <v>0</v>
      </c>
      <c r="F26" s="12">
        <v>1</v>
      </c>
      <c r="G26" s="12">
        <v>1</v>
      </c>
      <c r="H26" s="12">
        <v>1</v>
      </c>
      <c r="I26" s="12">
        <v>1</v>
      </c>
      <c r="J26" s="12">
        <v>1</v>
      </c>
      <c r="K26">
        <v>0</v>
      </c>
      <c r="L26">
        <v>0</v>
      </c>
    </row>
    <row r="27" spans="2:17" x14ac:dyDescent="0.3">
      <c r="B27" s="3"/>
      <c r="C27" s="24" t="s">
        <v>242</v>
      </c>
      <c r="D27" s="2" t="s">
        <v>259</v>
      </c>
      <c r="F27" s="21"/>
      <c r="G27" s="21"/>
      <c r="H27" s="21"/>
      <c r="I27" s="21"/>
      <c r="J27" s="21"/>
      <c r="N27" s="3" t="s">
        <v>269</v>
      </c>
    </row>
    <row r="28" spans="2:17" x14ac:dyDescent="0.3">
      <c r="B28" s="3"/>
      <c r="C28" s="24"/>
      <c r="D28" s="2" t="s">
        <v>256</v>
      </c>
      <c r="F28" s="21"/>
      <c r="G28" s="21"/>
      <c r="H28" s="21"/>
      <c r="I28" s="21"/>
      <c r="J28" s="21"/>
    </row>
    <row r="29" spans="2:17" x14ac:dyDescent="0.3">
      <c r="B29" s="3"/>
      <c r="D29" s="2" t="s">
        <v>258</v>
      </c>
    </row>
    <row r="30" spans="2:17" x14ac:dyDescent="0.3">
      <c r="B30" s="4" t="s">
        <v>40</v>
      </c>
      <c r="C30" s="2" t="s">
        <v>212</v>
      </c>
    </row>
    <row r="31" spans="2:17" x14ac:dyDescent="0.3">
      <c r="B31" s="3"/>
      <c r="C31" t="s">
        <v>215</v>
      </c>
    </row>
    <row r="32" spans="2:17" x14ac:dyDescent="0.3">
      <c r="B32" s="3"/>
    </row>
    <row r="33" spans="2:3" x14ac:dyDescent="0.3">
      <c r="B33" s="4" t="s">
        <v>41</v>
      </c>
      <c r="C33" t="s">
        <v>254</v>
      </c>
    </row>
  </sheetData>
  <phoneticPr fontId="1" type="noConversion"/>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K21" sqref="K21"/>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102</v>
      </c>
    </row>
    <row r="6" spans="1:15" x14ac:dyDescent="0.3">
      <c r="J6" t="s">
        <v>100</v>
      </c>
    </row>
    <row r="7" spans="1:15" x14ac:dyDescent="0.3">
      <c r="B7" t="s">
        <v>90</v>
      </c>
      <c r="C7" t="s">
        <v>91</v>
      </c>
      <c r="D7" t="s">
        <v>92</v>
      </c>
      <c r="E7" t="s">
        <v>93</v>
      </c>
      <c r="F7" t="s">
        <v>94</v>
      </c>
      <c r="K7" t="s">
        <v>90</v>
      </c>
      <c r="L7" t="s">
        <v>91</v>
      </c>
      <c r="M7" t="s">
        <v>92</v>
      </c>
      <c r="N7" t="s">
        <v>93</v>
      </c>
      <c r="O7" t="s">
        <v>94</v>
      </c>
    </row>
    <row r="8" spans="1:15" x14ac:dyDescent="0.3">
      <c r="A8" t="s">
        <v>96</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97</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98</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95</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95</v>
      </c>
    </row>
    <row r="68" spans="8:9" x14ac:dyDescent="0.3">
      <c r="H68">
        <f>SUM(F20:F128)</f>
        <v>278227.11864406784</v>
      </c>
      <c r="I68" t="s">
        <v>99</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workbookViewId="0">
      <selection activeCell="C106" sqref="C106"/>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106</v>
      </c>
    </row>
    <row r="3" spans="2:34" x14ac:dyDescent="0.3">
      <c r="B3" t="s">
        <v>103</v>
      </c>
    </row>
    <row r="6" spans="2:34" x14ac:dyDescent="0.3">
      <c r="B6" t="s">
        <v>90</v>
      </c>
      <c r="C6" t="s">
        <v>104</v>
      </c>
      <c r="D6" t="s">
        <v>105</v>
      </c>
      <c r="E6" t="s">
        <v>93</v>
      </c>
      <c r="F6" t="s">
        <v>107</v>
      </c>
      <c r="H6" t="s">
        <v>90</v>
      </c>
      <c r="I6" t="s">
        <v>104</v>
      </c>
      <c r="J6" t="s">
        <v>105</v>
      </c>
      <c r="K6" t="s">
        <v>93</v>
      </c>
      <c r="L6" t="s">
        <v>107</v>
      </c>
      <c r="N6" t="s">
        <v>90</v>
      </c>
      <c r="O6" t="s">
        <v>91</v>
      </c>
      <c r="P6" t="s">
        <v>92</v>
      </c>
      <c r="Q6" t="s">
        <v>93</v>
      </c>
      <c r="R6" t="s">
        <v>108</v>
      </c>
      <c r="S6" t="s">
        <v>94</v>
      </c>
      <c r="U6" t="s">
        <v>120</v>
      </c>
      <c r="Y6" t="s">
        <v>90</v>
      </c>
      <c r="Z6" t="s">
        <v>91</v>
      </c>
      <c r="AA6" t="s">
        <v>92</v>
      </c>
      <c r="AB6" t="s">
        <v>93</v>
      </c>
      <c r="AC6" t="s">
        <v>108</v>
      </c>
      <c r="AD6" t="s">
        <v>94</v>
      </c>
      <c r="AF6" t="s">
        <v>120</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109</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122</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121</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109</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45</v>
      </c>
      <c r="C107">
        <v>20000</v>
      </c>
      <c r="D107">
        <v>65000</v>
      </c>
      <c r="E107">
        <v>60</v>
      </c>
      <c r="F107">
        <f t="shared" si="12"/>
        <v>54322.033898305082</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100</v>
      </c>
      <c r="C108">
        <v>-200000</v>
      </c>
      <c r="D108">
        <v>130000</v>
      </c>
      <c r="E108">
        <v>60</v>
      </c>
      <c r="F108">
        <f t="shared" si="12"/>
        <v>359322.03389830515</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100</v>
      </c>
      <c r="C109">
        <v>-200000</v>
      </c>
      <c r="D109">
        <v>130000</v>
      </c>
      <c r="E109">
        <v>60</v>
      </c>
      <c r="F109">
        <f t="shared" si="12"/>
        <v>359322.03389830515</v>
      </c>
      <c r="H109">
        <v>100</v>
      </c>
      <c r="I109">
        <v>2000</v>
      </c>
      <c r="J109">
        <v>4000</v>
      </c>
      <c r="K109">
        <v>60</v>
      </c>
      <c r="L109">
        <f t="shared" ref="L109" si="25">(I109+(J109-I109)/(K109-1)*H109)</f>
        <v>5389.8305084745771</v>
      </c>
      <c r="M109">
        <f>L106*3</f>
        <v>4016.9491525423728</v>
      </c>
    </row>
    <row r="110" spans="2:32" x14ac:dyDescent="0.3">
      <c r="M110">
        <f>L106/L109</f>
        <v>0.24842767295597482</v>
      </c>
    </row>
    <row r="111" spans="2:32" x14ac:dyDescent="0.3">
      <c r="M111">
        <f>L109/L106</f>
        <v>4.0253164556962027</v>
      </c>
    </row>
    <row r="114" spans="6:7" x14ac:dyDescent="0.3">
      <c r="F114" t="s">
        <v>268</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枪械</vt:lpstr>
      <vt:lpstr>防具</vt:lpstr>
      <vt:lpstr>刀</vt:lpstr>
      <vt:lpstr>爆炸类</vt:lpstr>
      <vt:lpstr>技能</vt:lpstr>
      <vt:lpstr>装备价格</vt:lpstr>
      <vt:lpstr>合成表成本计算</vt:lpstr>
      <vt:lpstr>敌方或战宠经验计算</vt:lpstr>
      <vt:lpstr>根据等级计算怪物属性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2024-06-28T19:14:34Z</dcterms:modified>
</cp:coreProperties>
</file>