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040" windowHeight="8955"/>
  </bookViews>
  <sheets>
    <sheet name="Sheet1" sheetId="1" r:id="rId1"/>
    <sheet name="Sheet2" sheetId="2" r:id="rId2"/>
    <sheet name="Sheet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/>
  <c r="E17" s="1"/>
  <c r="D42"/>
  <c r="D24"/>
  <c r="E16"/>
  <c r="C19" s="1"/>
  <c r="C16"/>
  <c r="G31" i="3" l="1"/>
  <c r="C31"/>
  <c r="D31" s="1"/>
  <c r="F31" s="1"/>
  <c r="H31" s="1"/>
  <c r="G30"/>
  <c r="C30"/>
  <c r="D30" s="1"/>
  <c r="F30" s="1"/>
  <c r="H30" s="1"/>
  <c r="AB29"/>
  <c r="W29"/>
  <c r="V29"/>
  <c r="AC29" s="1"/>
  <c r="T29"/>
  <c r="X29" s="1"/>
  <c r="Y29" s="1"/>
  <c r="S29"/>
  <c r="U29" s="1"/>
  <c r="G29"/>
  <c r="D29"/>
  <c r="F29" s="1"/>
  <c r="H29" s="1"/>
  <c r="J29" s="1"/>
  <c r="C29"/>
  <c r="G27"/>
  <c r="B27"/>
  <c r="C27" s="1"/>
  <c r="D27" s="1"/>
  <c r="F27" s="1"/>
  <c r="H27" s="1"/>
  <c r="G26"/>
  <c r="C26"/>
  <c r="D26" s="1"/>
  <c r="F26" s="1"/>
  <c r="H26" s="1"/>
  <c r="B26"/>
  <c r="AB25"/>
  <c r="W25"/>
  <c r="S25"/>
  <c r="V25" s="1"/>
  <c r="AC25" s="1"/>
  <c r="G25"/>
  <c r="C25"/>
  <c r="D25" s="1"/>
  <c r="F25" s="1"/>
  <c r="H25" s="1"/>
  <c r="J25" s="1"/>
  <c r="B25"/>
  <c r="T25" s="1"/>
  <c r="G23"/>
  <c r="B23"/>
  <c r="C23" s="1"/>
  <c r="D23" s="1"/>
  <c r="F23" s="1"/>
  <c r="H23" s="1"/>
  <c r="G22"/>
  <c r="C22"/>
  <c r="D22" s="1"/>
  <c r="F22" s="1"/>
  <c r="H22" s="1"/>
  <c r="B22"/>
  <c r="G21"/>
  <c r="D21"/>
  <c r="F21" s="1"/>
  <c r="H21" s="1"/>
  <c r="B21"/>
  <c r="C21" s="1"/>
  <c r="AB20"/>
  <c r="V20"/>
  <c r="AC20" s="1"/>
  <c r="T20"/>
  <c r="X20" s="1"/>
  <c r="Y20" s="1"/>
  <c r="S20"/>
  <c r="U20" s="1"/>
  <c r="G20"/>
  <c r="F20"/>
  <c r="H20" s="1"/>
  <c r="J20" s="1"/>
  <c r="C20"/>
  <c r="D20" s="1"/>
  <c r="B20"/>
  <c r="W20" s="1"/>
  <c r="Q34" i="2"/>
  <c r="R34" s="1"/>
  <c r="T34" s="1"/>
  <c r="U34" s="1"/>
  <c r="Q33"/>
  <c r="R33" s="1"/>
  <c r="T33" s="1"/>
  <c r="U33" s="1"/>
  <c r="Q32"/>
  <c r="R32" s="1"/>
  <c r="T32" s="1"/>
  <c r="U32" s="1"/>
  <c r="Q31"/>
  <c r="R31" s="1"/>
  <c r="T31" s="1"/>
  <c r="U31" s="1"/>
  <c r="Q30"/>
  <c r="R30" s="1"/>
  <c r="T30" s="1"/>
  <c r="U30" s="1"/>
  <c r="Q29"/>
  <c r="R29" s="1"/>
  <c r="T29" s="1"/>
  <c r="U29" s="1"/>
  <c r="Q28"/>
  <c r="R28" s="1"/>
  <c r="T28" s="1"/>
  <c r="U28" s="1"/>
  <c r="Q27"/>
  <c r="R27" s="1"/>
  <c r="T27" s="1"/>
  <c r="U27" s="1"/>
  <c r="Q26"/>
  <c r="R26" s="1"/>
  <c r="T26" s="1"/>
  <c r="U26" s="1"/>
  <c r="Q25"/>
  <c r="R25" s="1"/>
  <c r="T25" s="1"/>
  <c r="U25" s="1"/>
  <c r="Q24"/>
  <c r="R24" s="1"/>
  <c r="T24" s="1"/>
  <c r="U24" s="1"/>
  <c r="Q23"/>
  <c r="R23" s="1"/>
  <c r="T23" s="1"/>
  <c r="U23" s="1"/>
  <c r="K23"/>
  <c r="L23" s="1"/>
  <c r="Q22"/>
  <c r="R22" s="1"/>
  <c r="T22" s="1"/>
  <c r="U22" s="1"/>
  <c r="K22"/>
  <c r="L22" s="1"/>
  <c r="E22"/>
  <c r="R20"/>
  <c r="T20" s="1"/>
  <c r="U20" s="1"/>
  <c r="Q20"/>
  <c r="L20"/>
  <c r="K20"/>
  <c r="R19"/>
  <c r="T19" s="1"/>
  <c r="U19" s="1"/>
  <c r="Q19"/>
  <c r="L19"/>
  <c r="K19"/>
  <c r="E19"/>
  <c r="Q18"/>
  <c r="R18" s="1"/>
  <c r="T18" s="1"/>
  <c r="U18" s="1"/>
  <c r="Q17"/>
  <c r="R17" s="1"/>
  <c r="T17" s="1"/>
  <c r="U17" s="1"/>
  <c r="K17"/>
  <c r="L17" s="1"/>
  <c r="Q16"/>
  <c r="R16" s="1"/>
  <c r="T16" s="1"/>
  <c r="U16" s="1"/>
  <c r="K16"/>
  <c r="L16" s="1"/>
  <c r="E16"/>
  <c r="R15"/>
  <c r="T15" s="1"/>
  <c r="U15" s="1"/>
  <c r="Q15"/>
  <c r="R14"/>
  <c r="T14" s="1"/>
  <c r="U14" s="1"/>
  <c r="Q14"/>
  <c r="L14"/>
  <c r="K14"/>
  <c r="R13"/>
  <c r="T13" s="1"/>
  <c r="U13" s="1"/>
  <c r="Q13"/>
  <c r="L13"/>
  <c r="K13"/>
  <c r="E13"/>
  <c r="Q12"/>
  <c r="R12" s="1"/>
  <c r="T12" s="1"/>
  <c r="U12" s="1"/>
  <c r="Q11"/>
  <c r="R11" s="1"/>
  <c r="T11" s="1"/>
  <c r="U11" s="1"/>
  <c r="K11"/>
  <c r="L11" s="1"/>
  <c r="Q10"/>
  <c r="R10" s="1"/>
  <c r="T10" s="1"/>
  <c r="U10" s="1"/>
  <c r="K10"/>
  <c r="L10" s="1"/>
  <c r="E10"/>
  <c r="Q9"/>
  <c r="O9"/>
  <c r="R9" s="1"/>
  <c r="T9" s="1"/>
  <c r="U9" s="1"/>
  <c r="P20" i="3" l="1"/>
  <c r="L20"/>
  <c r="J21"/>
  <c r="J26"/>
  <c r="L25"/>
  <c r="X25"/>
  <c r="Y25" s="1"/>
  <c r="J30"/>
  <c r="L29"/>
  <c r="U25"/>
  <c r="N29" l="1"/>
  <c r="O29" s="1"/>
  <c r="M29"/>
  <c r="J27"/>
  <c r="L27" s="1"/>
  <c r="L26"/>
  <c r="M20"/>
  <c r="N20"/>
  <c r="O20" s="1"/>
  <c r="J31"/>
  <c r="L31" s="1"/>
  <c r="L30"/>
  <c r="M25"/>
  <c r="N25"/>
  <c r="O25" s="1"/>
  <c r="J22"/>
  <c r="L21"/>
  <c r="J23" l="1"/>
  <c r="L23" s="1"/>
  <c r="L22"/>
  <c r="M31"/>
  <c r="N31"/>
  <c r="O31" s="1"/>
  <c r="N27"/>
  <c r="O27" s="1"/>
  <c r="M27"/>
  <c r="N21"/>
  <c r="O21" s="1"/>
  <c r="M21"/>
  <c r="M30"/>
  <c r="N30"/>
  <c r="O30" s="1"/>
  <c r="M26"/>
  <c r="N26"/>
  <c r="O26" s="1"/>
  <c r="M22" l="1"/>
  <c r="N22"/>
  <c r="O22" s="1"/>
  <c r="N23"/>
  <c r="O23" s="1"/>
  <c r="M23"/>
</calcChain>
</file>

<file path=xl/sharedStrings.xml><?xml version="1.0" encoding="utf-8"?>
<sst xmlns="http://schemas.openxmlformats.org/spreadsheetml/2006/main" count="153" uniqueCount="132">
  <si>
    <t>Michelson's Interferometer</t>
  </si>
  <si>
    <t>To find wavelength of source.</t>
  </si>
  <si>
    <t>To find refractive index of thin film</t>
  </si>
  <si>
    <t xml:space="preserve"> </t>
  </si>
  <si>
    <t>LC of the instrument is 0.001 mm</t>
  </si>
  <si>
    <t>Equations used.</t>
  </si>
  <si>
    <t>λ=2*Δd/N</t>
  </si>
  <si>
    <r>
      <t>2*(n-1)*t=N'</t>
    </r>
    <r>
      <rPr>
        <b/>
        <u/>
        <sz val="11"/>
        <color theme="1"/>
        <rFont val="Calibri"/>
        <family val="2"/>
      </rPr>
      <t>λ</t>
    </r>
  </si>
  <si>
    <t>Laser used</t>
  </si>
  <si>
    <t xml:space="preserve">Colour of laser </t>
  </si>
  <si>
    <r>
      <t xml:space="preserve">Wavelength of laser source, </t>
    </r>
    <r>
      <rPr>
        <sz val="11"/>
        <color theme="1"/>
        <rFont val="Calibri"/>
        <family val="2"/>
      </rPr>
      <t>λ</t>
    </r>
  </si>
  <si>
    <t>No.of fringes, N</t>
  </si>
  <si>
    <r>
      <t xml:space="preserve">Distance moved using micrometer, </t>
    </r>
    <r>
      <rPr>
        <sz val="11"/>
        <color rgb="FFFF0000"/>
        <rFont val="Calibri"/>
        <family val="2"/>
      </rPr>
      <t>Δ</t>
    </r>
    <r>
      <rPr>
        <sz val="11"/>
        <color rgb="FFFF0000"/>
        <rFont val="Calibri"/>
        <family val="2"/>
        <scheme val="minor"/>
      </rPr>
      <t>d (mm) = N</t>
    </r>
    <r>
      <rPr>
        <sz val="11"/>
        <color rgb="FFFF0000"/>
        <rFont val="Calibri"/>
        <family val="2"/>
      </rPr>
      <t>λ/2</t>
    </r>
  </si>
  <si>
    <t>material of thin film.</t>
  </si>
  <si>
    <t>refractive index of the material of thin film, n</t>
  </si>
  <si>
    <t xml:space="preserve">thickness of the thin film, t (m) </t>
  </si>
  <si>
    <r>
      <t>Number of fringes moved between two central spots, N'= 2t(n-1)/</t>
    </r>
    <r>
      <rPr>
        <sz val="11"/>
        <color theme="1"/>
        <rFont val="Calibri"/>
        <family val="2"/>
      </rPr>
      <t>λ</t>
    </r>
  </si>
  <si>
    <r>
      <t>Distance moved, d'= N'</t>
    </r>
    <r>
      <rPr>
        <sz val="11"/>
        <color theme="1"/>
        <rFont val="Calibri"/>
        <family val="2"/>
      </rPr>
      <t>λ/2</t>
    </r>
  </si>
  <si>
    <t>wl/2</t>
  </si>
  <si>
    <t>d1</t>
  </si>
  <si>
    <t>d</t>
  </si>
  <si>
    <t>n</t>
  </si>
  <si>
    <t>d2</t>
  </si>
  <si>
    <t>Ruby</t>
  </si>
  <si>
    <t>red+black</t>
  </si>
  <si>
    <t>glass paper</t>
  </si>
  <si>
    <t>He-Ne</t>
  </si>
  <si>
    <t>green</t>
  </si>
  <si>
    <t>Nd-YAG</t>
  </si>
  <si>
    <t>dark red</t>
  </si>
  <si>
    <t>Argon</t>
  </si>
  <si>
    <t>light blue</t>
  </si>
  <si>
    <t>Krypton</t>
  </si>
  <si>
    <t>yellow+green</t>
  </si>
  <si>
    <t>N can range from 5 to 30</t>
  </si>
  <si>
    <r>
      <t xml:space="preserve">A new ring  appears in the centre each time the micrometer is moved by </t>
    </r>
    <r>
      <rPr>
        <sz val="11"/>
        <color rgb="FFFF0000"/>
        <rFont val="Calibri"/>
        <family val="2"/>
      </rPr>
      <t>λ/2.</t>
    </r>
  </si>
  <si>
    <t>In this the fringe pattern for Newton's rings can be used. The only difference is that the fringes are more thin.</t>
  </si>
  <si>
    <t>Sliders:</t>
  </si>
  <si>
    <t>Laser source.</t>
  </si>
  <si>
    <t>N</t>
  </si>
  <si>
    <t>Thickness of film.</t>
  </si>
  <si>
    <t>Michelson Interferometer</t>
  </si>
  <si>
    <t>Aim:</t>
  </si>
  <si>
    <t>1. To find the wavelength of laser source used.</t>
  </si>
  <si>
    <t>2. To find the thickness of a thin film.</t>
  </si>
  <si>
    <t>Equations used:</t>
  </si>
  <si>
    <t>λ=(2d/N)*Δ</t>
  </si>
  <si>
    <r>
      <t>n=(2t-Nλ)*(1-Cos</t>
    </r>
    <r>
      <rPr>
        <b/>
        <sz val="11"/>
        <color rgb="FF00B050"/>
        <rFont val="Calibri"/>
        <family val="2"/>
      </rPr>
      <t>θ)/(2t*(1-Cosθ)-Nλ)</t>
    </r>
  </si>
  <si>
    <t>θ=1-((nNλ)/(2tn-2t+Nλ))</t>
  </si>
  <si>
    <t>Least Count =</t>
  </si>
  <si>
    <t>0.01 mm</t>
  </si>
  <si>
    <t>To find the wavelength of the laser</t>
  </si>
  <si>
    <t>To find the refractive index of the glass plate</t>
  </si>
  <si>
    <r>
      <t>Wavelength of laser used,</t>
    </r>
    <r>
      <rPr>
        <b/>
        <sz val="11"/>
        <color theme="1"/>
        <rFont val="Calibri"/>
        <family val="2"/>
      </rPr>
      <t>λ (m)</t>
    </r>
  </si>
  <si>
    <t>λ/2 (m)</t>
  </si>
  <si>
    <t>λ/2 in mm</t>
  </si>
  <si>
    <t>N, fringe interval</t>
  </si>
  <si>
    <t>D=N*λ/2,theoretical  distance travelled for moving N fringes</t>
  </si>
  <si>
    <t>Δ, calibration constant</t>
  </si>
  <si>
    <t>d'=D*10, experimental distance for N fringes</t>
  </si>
  <si>
    <t>d0 in mm, default distance where we get the dark spot.</t>
  </si>
  <si>
    <t>d in mm, final reading of the micrometer</t>
  </si>
  <si>
    <t>Least Count (mm)</t>
  </si>
  <si>
    <r>
      <t>y=d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/LC</t>
    </r>
  </si>
  <si>
    <t>PSR (mm)</t>
  </si>
  <si>
    <t>HSR</t>
  </si>
  <si>
    <t>final HSR</t>
  </si>
  <si>
    <t>n, refractive index of the thin film</t>
  </si>
  <si>
    <t>N, no:of fringes displaced</t>
  </si>
  <si>
    <t>t, thickness of the thin film in meter</t>
  </si>
  <si>
    <r>
      <t>nN</t>
    </r>
    <r>
      <rPr>
        <b/>
        <sz val="11"/>
        <color theme="1"/>
        <rFont val="Calibri"/>
        <family val="2"/>
      </rPr>
      <t>λ</t>
    </r>
  </si>
  <si>
    <t>2tn</t>
  </si>
  <si>
    <t>2t</t>
  </si>
  <si>
    <r>
      <t>N</t>
    </r>
    <r>
      <rPr>
        <b/>
        <sz val="11"/>
        <color theme="1"/>
        <rFont val="Calibri"/>
        <family val="2"/>
      </rPr>
      <t>λ</t>
    </r>
  </si>
  <si>
    <r>
      <t>Cos</t>
    </r>
    <r>
      <rPr>
        <sz val="11"/>
        <color theme="1"/>
        <rFont val="Calibri"/>
        <family val="2"/>
      </rPr>
      <t>θ</t>
    </r>
  </si>
  <si>
    <t>θ in degrees</t>
  </si>
  <si>
    <r>
      <t xml:space="preserve">Cos </t>
    </r>
    <r>
      <rPr>
        <b/>
        <sz val="11"/>
        <color theme="1"/>
        <rFont val="Calibri"/>
        <family val="2"/>
      </rPr>
      <t>θ</t>
    </r>
  </si>
  <si>
    <t>N, no: of fringes displaced</t>
  </si>
  <si>
    <t>Krypto ( green)</t>
  </si>
  <si>
    <t>He-Ne(red colour)</t>
  </si>
  <si>
    <t>Argon(blue-green colour)</t>
  </si>
  <si>
    <t>Combo box:</t>
  </si>
  <si>
    <t>Laser used.</t>
  </si>
  <si>
    <t>Slider:</t>
  </si>
  <si>
    <t xml:space="preserve">Micrometer distance. </t>
  </si>
  <si>
    <t>Angle of rotation. It can vary from 10- 30 degrees . Take interval as 5 degree.</t>
  </si>
  <si>
    <t xml:space="preserve">      </t>
  </si>
  <si>
    <t>Thickness of the thin film. It can vary from 1 mm to 3 mm. take interval as 0.5 mm</t>
  </si>
  <si>
    <t>Show measurement:</t>
  </si>
  <si>
    <t>Zoom the micrometer.</t>
  </si>
  <si>
    <t>Show results:</t>
  </si>
  <si>
    <t>Wavelength of the source</t>
  </si>
  <si>
    <t>Thickness of the glass plate</t>
  </si>
  <si>
    <t>Choose Laser</t>
  </si>
  <si>
    <t>Thickness of glass plate</t>
  </si>
  <si>
    <t>mm</t>
  </si>
  <si>
    <t>1 - 3 mm (0.5)</t>
  </si>
  <si>
    <t>Angle of rotation</t>
  </si>
  <si>
    <t>Degrees</t>
  </si>
  <si>
    <r>
      <t>0 - 30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(0.01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</si>
  <si>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Range(interval)</t>
  </si>
  <si>
    <t>He-Ne Laser</t>
  </si>
  <si>
    <t>Argon Laser</t>
  </si>
  <si>
    <r>
      <t>A</t>
    </r>
    <r>
      <rPr>
        <vertAlign val="superscript"/>
        <sz val="11"/>
        <color theme="1"/>
        <rFont val="Calibri"/>
        <family val="2"/>
        <scheme val="minor"/>
      </rPr>
      <t>0</t>
    </r>
  </si>
  <si>
    <t>l</t>
  </si>
  <si>
    <t>Yellow+green</t>
  </si>
  <si>
    <t>Red</t>
  </si>
  <si>
    <t>Light blue</t>
  </si>
  <si>
    <t>Color:</t>
  </si>
  <si>
    <t>Ruby Laser</t>
  </si>
  <si>
    <t>Red+black</t>
  </si>
  <si>
    <t>t</t>
  </si>
  <si>
    <t>q</t>
  </si>
  <si>
    <t xml:space="preserve">Krypton Laser </t>
  </si>
  <si>
    <r>
      <t>d=N</t>
    </r>
    <r>
      <rPr>
        <sz val="11"/>
        <color theme="1"/>
        <rFont val="Symbol"/>
        <family val="1"/>
        <charset val="2"/>
      </rPr>
      <t>l</t>
    </r>
    <r>
      <rPr>
        <sz val="12.65"/>
        <color theme="1"/>
        <rFont val="Calibri"/>
        <family val="2"/>
      </rPr>
      <t>/2</t>
    </r>
  </si>
  <si>
    <t>Distance moved to appear or disappear N fringes</t>
  </si>
  <si>
    <t>For 1 fringes</t>
  </si>
  <si>
    <t>d=</t>
  </si>
  <si>
    <t>m =</t>
  </si>
  <si>
    <t>Adjust micrometer</t>
  </si>
  <si>
    <t>0 - 25(0.0001)</t>
  </si>
  <si>
    <t>Refractive index of glass</t>
  </si>
  <si>
    <t>Calibaraion constant</t>
  </si>
  <si>
    <t>D</t>
  </si>
  <si>
    <r>
      <t>D*</t>
    </r>
    <r>
      <rPr>
        <sz val="11"/>
        <color theme="1"/>
        <rFont val="Times New Roman"/>
        <family val="1"/>
      </rPr>
      <t>d=</t>
    </r>
  </si>
  <si>
    <t>One fring should appear/disappear corresponds to this micrometer</t>
  </si>
  <si>
    <t>Refractive index of the glass plate</t>
  </si>
  <si>
    <t>N=</t>
  </si>
  <si>
    <r>
      <rPr>
        <sz val="11"/>
        <color theme="1"/>
        <rFont val="Symbol"/>
        <family val="1"/>
        <charset val="2"/>
      </rPr>
      <t>q</t>
    </r>
    <r>
      <rPr>
        <sz val="12.65"/>
        <color theme="1"/>
        <rFont val="Calibri"/>
        <family val="2"/>
      </rPr>
      <t xml:space="preserve"> =</t>
    </r>
  </si>
  <si>
    <t>This will change with respect to angel</t>
  </si>
  <si>
    <t>Modified: 18/02/2017</t>
  </si>
  <si>
    <t>For 2 fringes</t>
  </si>
</sst>
</file>

<file path=xl/styles.xml><?xml version="1.0" encoding="utf-8"?>
<styleSheet xmlns="http://schemas.openxmlformats.org/spreadsheetml/2006/main">
  <numFmts count="2">
    <numFmt numFmtId="164" formatCode="0_);\(0\)"/>
    <numFmt numFmtId="165" formatCode="0.00000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u/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8"/>
      <color rgb="FFFF0000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00B05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2.65"/>
      <color theme="1"/>
      <name val="Calibri"/>
      <family val="2"/>
    </font>
    <font>
      <b/>
      <u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1" fontId="1" fillId="0" borderId="0" xfId="0" applyNumberFormat="1" applyFont="1"/>
    <xf numFmtId="11" fontId="0" fillId="0" borderId="0" xfId="0" applyNumberFormat="1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3" borderId="0" xfId="0" applyFont="1" applyFill="1"/>
    <xf numFmtId="11" fontId="19" fillId="0" borderId="0" xfId="0" applyNumberFormat="1" applyFont="1"/>
    <xf numFmtId="11" fontId="19" fillId="4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NumberFormat="1" applyFont="1"/>
    <xf numFmtId="164" fontId="1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1" fillId="4" borderId="0" xfId="0" applyNumberFormat="1" applyFont="1" applyFill="1"/>
    <xf numFmtId="0" fontId="0" fillId="4" borderId="0" xfId="0" applyNumberFormat="1" applyFill="1"/>
    <xf numFmtId="1" fontId="0" fillId="4" borderId="0" xfId="0" applyNumberFormat="1" applyFill="1"/>
    <xf numFmtId="11" fontId="2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165" fontId="6" fillId="0" borderId="0" xfId="0" applyNumberFormat="1" applyFont="1"/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0</xdr:row>
      <xdr:rowOff>38100</xdr:rowOff>
    </xdr:from>
    <xdr:to>
      <xdr:col>14</xdr:col>
      <xdr:colOff>396241</xdr:colOff>
      <xdr:row>9</xdr:row>
      <xdr:rowOff>118774</xdr:rowOff>
    </xdr:to>
    <xdr:pic>
      <xdr:nvPicPr>
        <xdr:cNvPr id="3" name="Picture 2" descr="Image result for krypton laser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85960" y="403860"/>
          <a:ext cx="2392680" cy="1787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289623</xdr:colOff>
      <xdr:row>12</xdr:row>
      <xdr:rowOff>8945</xdr:rowOff>
    </xdr:from>
    <xdr:to>
      <xdr:col>20</xdr:col>
      <xdr:colOff>346212</xdr:colOff>
      <xdr:row>19</xdr:row>
      <xdr:rowOff>12920</xdr:rowOff>
    </xdr:to>
    <xdr:pic>
      <xdr:nvPicPr>
        <xdr:cNvPr id="4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54858" y="2679258"/>
          <a:ext cx="6152589" cy="132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68580</xdr:colOff>
      <xdr:row>25</xdr:row>
      <xdr:rowOff>61646</xdr:rowOff>
    </xdr:from>
    <xdr:to>
      <xdr:col>16</xdr:col>
      <xdr:colOff>342901</xdr:colOff>
      <xdr:row>40</xdr:row>
      <xdr:rowOff>60960</xdr:rowOff>
    </xdr:to>
    <xdr:pic>
      <xdr:nvPicPr>
        <xdr:cNvPr id="5" name="Picture 4" descr="Image result for Argon laser color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12580" y="4717466"/>
          <a:ext cx="3931920" cy="274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5301</xdr:colOff>
      <xdr:row>42</xdr:row>
      <xdr:rowOff>119268</xdr:rowOff>
    </xdr:from>
    <xdr:to>
      <xdr:col>15</xdr:col>
      <xdr:colOff>344938</xdr:colOff>
      <xdr:row>56</xdr:row>
      <xdr:rowOff>99390</xdr:rowOff>
    </xdr:to>
    <xdr:pic>
      <xdr:nvPicPr>
        <xdr:cNvPr id="6" name="Picture 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9301" y="7984433"/>
          <a:ext cx="3387636" cy="257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zoomScale="115" zoomScaleNormal="115" workbookViewId="0">
      <selection activeCell="F31" sqref="F31"/>
    </sheetView>
  </sheetViews>
  <sheetFormatPr defaultRowHeight="15"/>
  <cols>
    <col min="1" max="1" width="15.28515625" customWidth="1"/>
    <col min="2" max="2" width="15" customWidth="1"/>
    <col min="3" max="3" width="13.5703125" bestFit="1" customWidth="1"/>
  </cols>
  <sheetData>
    <row r="1" spans="1:10" ht="18.75">
      <c r="A1" t="s">
        <v>130</v>
      </c>
      <c r="C1" s="46" t="s">
        <v>0</v>
      </c>
      <c r="J1" t="s">
        <v>113</v>
      </c>
    </row>
    <row r="2" spans="1:10">
      <c r="C2" s="38" t="s">
        <v>2</v>
      </c>
    </row>
    <row r="4" spans="1:10">
      <c r="D4" t="s">
        <v>108</v>
      </c>
      <c r="E4" s="40" t="s">
        <v>105</v>
      </c>
      <c r="F4" s="6" t="s">
        <v>106</v>
      </c>
      <c r="G4" s="41" t="s">
        <v>107</v>
      </c>
      <c r="H4" s="42" t="s">
        <v>110</v>
      </c>
    </row>
    <row r="5" spans="1:10">
      <c r="E5" t="s">
        <v>113</v>
      </c>
      <c r="F5" t="s">
        <v>101</v>
      </c>
      <c r="G5" t="s">
        <v>102</v>
      </c>
      <c r="H5" t="s">
        <v>109</v>
      </c>
    </row>
    <row r="6" spans="1:10" ht="17.25">
      <c r="A6" s="39" t="s">
        <v>104</v>
      </c>
      <c r="B6" t="s">
        <v>93</v>
      </c>
      <c r="C6">
        <v>5680</v>
      </c>
      <c r="D6" t="s">
        <v>103</v>
      </c>
      <c r="E6">
        <v>5680</v>
      </c>
      <c r="F6">
        <v>5430</v>
      </c>
      <c r="G6">
        <v>4880</v>
      </c>
      <c r="H6">
        <v>6940</v>
      </c>
      <c r="I6" t="s">
        <v>103</v>
      </c>
    </row>
    <row r="7" spans="1:10">
      <c r="E7" t="s">
        <v>100</v>
      </c>
    </row>
    <row r="8" spans="1:10">
      <c r="B8" t="s">
        <v>119</v>
      </c>
      <c r="C8">
        <v>0</v>
      </c>
      <c r="D8" t="s">
        <v>95</v>
      </c>
      <c r="E8" t="s">
        <v>120</v>
      </c>
    </row>
    <row r="9" spans="1:10">
      <c r="A9" t="s">
        <v>111</v>
      </c>
      <c r="B9" t="s">
        <v>94</v>
      </c>
      <c r="C9">
        <v>1</v>
      </c>
      <c r="D9" t="s">
        <v>95</v>
      </c>
      <c r="E9" t="s">
        <v>96</v>
      </c>
    </row>
    <row r="10" spans="1:10" ht="17.25">
      <c r="A10" s="39" t="s">
        <v>112</v>
      </c>
      <c r="B10" t="s">
        <v>97</v>
      </c>
      <c r="C10">
        <v>1</v>
      </c>
      <c r="D10" t="s">
        <v>98</v>
      </c>
      <c r="E10" t="s">
        <v>99</v>
      </c>
    </row>
    <row r="12" spans="1:10">
      <c r="A12" t="s">
        <v>21</v>
      </c>
      <c r="B12" t="s">
        <v>121</v>
      </c>
      <c r="C12">
        <v>1.5</v>
      </c>
      <c r="J12" t="s">
        <v>101</v>
      </c>
    </row>
    <row r="13" spans="1:10" ht="17.25">
      <c r="A13" t="s">
        <v>114</v>
      </c>
      <c r="B13" t="s">
        <v>115</v>
      </c>
    </row>
    <row r="14" spans="1:10">
      <c r="A14" s="39" t="s">
        <v>123</v>
      </c>
      <c r="B14" t="s">
        <v>122</v>
      </c>
      <c r="C14">
        <v>10</v>
      </c>
    </row>
    <row r="16" spans="1:10">
      <c r="A16" t="s">
        <v>116</v>
      </c>
      <c r="B16" s="43" t="s">
        <v>117</v>
      </c>
      <c r="C16">
        <f>C6*10^-10/2</f>
        <v>2.84E-7</v>
      </c>
      <c r="D16" t="s">
        <v>118</v>
      </c>
      <c r="E16">
        <f>C16*1000</f>
        <v>2.8400000000000002E-4</v>
      </c>
      <c r="F16" t="s">
        <v>95</v>
      </c>
    </row>
    <row r="17" spans="1:10">
      <c r="A17" t="s">
        <v>131</v>
      </c>
      <c r="B17" s="43" t="s">
        <v>117</v>
      </c>
      <c r="C17">
        <f>2*C6*10^-10/2</f>
        <v>5.68E-7</v>
      </c>
      <c r="D17" t="s">
        <v>118</v>
      </c>
      <c r="E17">
        <f>C17*1000</f>
        <v>5.6800000000000004E-4</v>
      </c>
      <c r="F17" t="s">
        <v>95</v>
      </c>
    </row>
    <row r="19" spans="1:10">
      <c r="B19" s="39" t="s">
        <v>124</v>
      </c>
      <c r="C19" s="44">
        <f>E16*C14</f>
        <v>2.8400000000000001E-3</v>
      </c>
      <c r="D19" t="s">
        <v>95</v>
      </c>
      <c r="E19" s="6" t="s">
        <v>125</v>
      </c>
    </row>
    <row r="21" spans="1:10">
      <c r="A21" s="2"/>
      <c r="B21" s="2" t="s">
        <v>126</v>
      </c>
      <c r="C21" s="2"/>
      <c r="D21" s="2"/>
      <c r="E21" s="2"/>
      <c r="F21" s="2"/>
      <c r="G21" s="2"/>
      <c r="H21" s="2"/>
    </row>
    <row r="22" spans="1:10">
      <c r="B22" s="6" t="s">
        <v>129</v>
      </c>
    </row>
    <row r="24" spans="1:10">
      <c r="C24" t="s">
        <v>127</v>
      </c>
      <c r="D24">
        <f>(2*C9*10^-3*(1-COS(C10*3.14/180))*(C12-1))/(C6*10^-10*(C12-(1-COS(C10*3.14/180))))</f>
        <v>0.17859847098397943</v>
      </c>
    </row>
    <row r="25" spans="1:10">
      <c r="J25" t="s">
        <v>102</v>
      </c>
    </row>
    <row r="42" spans="3:10" ht="17.25">
      <c r="C42" s="45" t="s">
        <v>128</v>
      </c>
      <c r="D42">
        <f>ACOS(((0.5*(2*C9*10^-3-C6*10^-10))/(2*C9*10^-3*0.5-C6*10^-10))*3.17/180)</f>
        <v>1.5531793000308822</v>
      </c>
      <c r="J42" t="s">
        <v>109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oleObject progId="Equation.3" shapeId="1032" r:id="rId4"/>
    <oleObject progId="Equation.3" shapeId="1033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V34"/>
  <sheetViews>
    <sheetView topLeftCell="A7" workbookViewId="0">
      <selection activeCell="H10" sqref="H10"/>
    </sheetView>
  </sheetViews>
  <sheetFormatPr defaultRowHeight="15"/>
  <cols>
    <col min="1" max="1" width="8" customWidth="1"/>
    <col min="2" max="2" width="7.28515625" customWidth="1"/>
    <col min="3" max="3" width="8" customWidth="1"/>
    <col min="4" max="4" width="6.42578125" customWidth="1"/>
    <col min="5" max="5" width="8.7109375" customWidth="1"/>
    <col min="6" max="6" width="0.85546875" style="2" customWidth="1"/>
    <col min="7" max="7" width="11.85546875" customWidth="1"/>
    <col min="9" max="9" width="3.85546875" customWidth="1"/>
    <col min="10" max="10" width="19.140625" customWidth="1"/>
    <col min="13" max="13" width="1.28515625" style="2" customWidth="1"/>
    <col min="17" max="17" width="11" bestFit="1" customWidth="1"/>
  </cols>
  <sheetData>
    <row r="1" spans="1:22">
      <c r="A1" s="1" t="s">
        <v>0</v>
      </c>
    </row>
    <row r="2" spans="1:22">
      <c r="A2" s="1" t="s">
        <v>1</v>
      </c>
      <c r="H2" s="3" t="s">
        <v>2</v>
      </c>
    </row>
    <row r="3" spans="1:22">
      <c r="B3" t="s">
        <v>3</v>
      </c>
      <c r="D3" t="s">
        <v>4</v>
      </c>
    </row>
    <row r="4" spans="1:22">
      <c r="A4" s="1" t="s">
        <v>5</v>
      </c>
    </row>
    <row r="5" spans="1:22">
      <c r="A5" s="4" t="s">
        <v>6</v>
      </c>
    </row>
    <row r="6" spans="1:22">
      <c r="A6" s="1" t="s">
        <v>7</v>
      </c>
      <c r="G6" s="5"/>
    </row>
    <row r="8" spans="1:22">
      <c r="A8" t="s">
        <v>8</v>
      </c>
      <c r="B8" t="s">
        <v>9</v>
      </c>
      <c r="C8" t="s">
        <v>10</v>
      </c>
      <c r="D8" t="s">
        <v>11</v>
      </c>
      <c r="E8" s="6" t="s">
        <v>12</v>
      </c>
      <c r="G8" t="s">
        <v>13</v>
      </c>
      <c r="H8" t="s">
        <v>14</v>
      </c>
      <c r="J8" t="s">
        <v>15</v>
      </c>
      <c r="K8" t="s">
        <v>16</v>
      </c>
      <c r="L8" t="s">
        <v>17</v>
      </c>
      <c r="O8" t="s">
        <v>18</v>
      </c>
      <c r="P8" t="s">
        <v>19</v>
      </c>
      <c r="Q8" t="s">
        <v>20</v>
      </c>
      <c r="R8" t="s">
        <v>21</v>
      </c>
      <c r="T8" t="s">
        <v>22</v>
      </c>
      <c r="U8" t="s">
        <v>20</v>
      </c>
    </row>
    <row r="9" spans="1:22">
      <c r="E9" s="6"/>
      <c r="H9" s="5"/>
      <c r="O9" s="5">
        <f>C10/2</f>
        <v>3.4700000000000002E-7</v>
      </c>
      <c r="P9" s="7">
        <v>2.0040000000000001E-3</v>
      </c>
      <c r="Q9" s="5">
        <f>0</f>
        <v>0</v>
      </c>
      <c r="R9">
        <f t="shared" ref="R9:R20" si="0">QUOTIENT(Q9,O9)</f>
        <v>0</v>
      </c>
      <c r="T9" s="5">
        <f t="shared" ref="T9:T20" si="1">R9*O9</f>
        <v>0</v>
      </c>
      <c r="U9" s="5">
        <f t="shared" ref="U9:U20" si="2">T9-P9</f>
        <v>-2.0040000000000001E-3</v>
      </c>
    </row>
    <row r="10" spans="1:22">
      <c r="A10" t="s">
        <v>23</v>
      </c>
      <c r="B10" t="s">
        <v>24</v>
      </c>
      <c r="C10" s="5">
        <v>6.9400000000000005E-7</v>
      </c>
      <c r="D10">
        <v>5</v>
      </c>
      <c r="E10" s="8">
        <f>D10*C10/2</f>
        <v>1.7350000000000001E-6</v>
      </c>
      <c r="G10" t="s">
        <v>25</v>
      </c>
      <c r="H10" s="5">
        <v>1.5</v>
      </c>
      <c r="J10" s="8">
        <v>1.5E-5</v>
      </c>
      <c r="K10" s="9">
        <f>(2*J10*(H10-1))/C10</f>
        <v>21.613832853025936</v>
      </c>
      <c r="L10" s="5">
        <f>K10*C10/2</f>
        <v>7.5000000000000002E-6</v>
      </c>
      <c r="N10" s="5"/>
      <c r="O10" s="5">
        <v>3.4700000000000002E-7</v>
      </c>
      <c r="P10" s="7">
        <v>2.0040000000000001E-3</v>
      </c>
      <c r="Q10" s="5">
        <f>0.000001</f>
        <v>9.9999999999999995E-7</v>
      </c>
      <c r="R10">
        <f t="shared" si="0"/>
        <v>2</v>
      </c>
      <c r="T10" s="5">
        <f t="shared" si="1"/>
        <v>6.9400000000000005E-7</v>
      </c>
      <c r="U10" s="5">
        <f t="shared" si="2"/>
        <v>-2.0033060000000003E-3</v>
      </c>
    </row>
    <row r="11" spans="1:22">
      <c r="C11" s="5"/>
      <c r="E11" s="8"/>
      <c r="H11" s="5">
        <v>1.5</v>
      </c>
      <c r="J11" s="8">
        <v>2.5000000000000001E-5</v>
      </c>
      <c r="K11" s="9">
        <f>(2*J11*(H11-1))/C10</f>
        <v>36.023054755043226</v>
      </c>
      <c r="L11" s="5">
        <f>K11*C10/2</f>
        <v>1.2500000000000001E-5</v>
      </c>
      <c r="O11" s="5">
        <v>3.4700000000000002E-7</v>
      </c>
      <c r="P11" s="7">
        <v>2.0040000000000001E-3</v>
      </c>
      <c r="Q11" s="5">
        <f>0.000002</f>
        <v>1.9999999999999999E-6</v>
      </c>
      <c r="R11">
        <f t="shared" si="0"/>
        <v>5</v>
      </c>
      <c r="T11" s="5">
        <f t="shared" si="1"/>
        <v>1.7350000000000001E-6</v>
      </c>
      <c r="U11" s="5">
        <f t="shared" si="2"/>
        <v>-2.002265E-3</v>
      </c>
    </row>
    <row r="12" spans="1:22">
      <c r="E12" s="8"/>
      <c r="H12" s="5"/>
      <c r="J12" s="6"/>
      <c r="K12" s="10"/>
      <c r="O12" s="5">
        <v>3.4700000000000002E-7</v>
      </c>
      <c r="P12" s="7">
        <v>2.0040000000000001E-3</v>
      </c>
      <c r="Q12" s="5">
        <f>0.000003</f>
        <v>3.0000000000000001E-6</v>
      </c>
      <c r="R12">
        <f t="shared" si="0"/>
        <v>8</v>
      </c>
      <c r="T12" s="5">
        <f t="shared" si="1"/>
        <v>2.7760000000000002E-6</v>
      </c>
      <c r="U12" s="5">
        <f t="shared" si="2"/>
        <v>-2.0012240000000002E-3</v>
      </c>
      <c r="V12" s="5"/>
    </row>
    <row r="13" spans="1:22">
      <c r="A13" t="s">
        <v>26</v>
      </c>
      <c r="B13" t="s">
        <v>27</v>
      </c>
      <c r="C13" s="5">
        <v>5.4300000000000003E-7</v>
      </c>
      <c r="D13">
        <v>5</v>
      </c>
      <c r="E13" s="8">
        <f>D13*C13/2</f>
        <v>1.3575000000000001E-6</v>
      </c>
      <c r="G13" t="s">
        <v>25</v>
      </c>
      <c r="H13" s="5">
        <v>1.5</v>
      </c>
      <c r="J13" s="8">
        <v>1.5E-5</v>
      </c>
      <c r="K13" s="9">
        <f>2*J13*(H13-1)/C13</f>
        <v>27.624309392265193</v>
      </c>
      <c r="L13" s="5">
        <f>K13*C13/2</f>
        <v>7.5000000000000002E-6</v>
      </c>
      <c r="N13" s="5"/>
      <c r="O13" s="5">
        <v>3.4700000000000002E-7</v>
      </c>
      <c r="P13" s="7">
        <v>2.0040000000000001E-3</v>
      </c>
      <c r="Q13" s="5">
        <f>0.000004</f>
        <v>3.9999999999999998E-6</v>
      </c>
      <c r="R13">
        <f t="shared" si="0"/>
        <v>11</v>
      </c>
      <c r="T13" s="5">
        <f t="shared" si="1"/>
        <v>3.817E-6</v>
      </c>
      <c r="U13" s="5">
        <f t="shared" si="2"/>
        <v>-2.000183E-3</v>
      </c>
    </row>
    <row r="14" spans="1:22">
      <c r="C14" s="5"/>
      <c r="E14" s="8"/>
      <c r="H14" s="5">
        <v>1.5</v>
      </c>
      <c r="J14" s="8">
        <v>2.5000000000000001E-5</v>
      </c>
      <c r="K14" s="9">
        <f>2*J14*(H14-1)/C13</f>
        <v>46.040515653775323</v>
      </c>
      <c r="L14" s="5">
        <f>K14*C13/2</f>
        <v>1.2500000000000001E-5</v>
      </c>
      <c r="O14" s="5">
        <v>3.4700000000000002E-7</v>
      </c>
      <c r="P14" s="7">
        <v>2.0040000000000001E-3</v>
      </c>
      <c r="Q14" s="5">
        <f>0.000005</f>
        <v>5.0000000000000004E-6</v>
      </c>
      <c r="R14">
        <f t="shared" si="0"/>
        <v>14</v>
      </c>
      <c r="T14" s="5">
        <f t="shared" si="1"/>
        <v>4.8579999999999999E-6</v>
      </c>
      <c r="U14" s="5">
        <f t="shared" si="2"/>
        <v>-1.9991420000000002E-3</v>
      </c>
    </row>
    <row r="15" spans="1:22">
      <c r="E15" s="8"/>
      <c r="H15" s="5"/>
      <c r="J15" s="6"/>
      <c r="K15" s="10"/>
      <c r="O15" s="5">
        <v>3.4700000000000002E-7</v>
      </c>
      <c r="P15" s="7">
        <v>2.0040000000000001E-3</v>
      </c>
      <c r="Q15" s="5">
        <f>0.000006</f>
        <v>6.0000000000000002E-6</v>
      </c>
      <c r="R15">
        <f t="shared" si="0"/>
        <v>17</v>
      </c>
      <c r="T15" s="5">
        <f t="shared" si="1"/>
        <v>5.8990000000000006E-6</v>
      </c>
      <c r="U15" s="5">
        <f t="shared" si="2"/>
        <v>-1.998101E-3</v>
      </c>
    </row>
    <row r="16" spans="1:22">
      <c r="A16" t="s">
        <v>28</v>
      </c>
      <c r="B16" t="s">
        <v>29</v>
      </c>
      <c r="C16" s="5">
        <v>1.0640000000000001E-6</v>
      </c>
      <c r="D16">
        <v>5</v>
      </c>
      <c r="E16" s="8">
        <f>D16*C16/2</f>
        <v>2.6600000000000004E-6</v>
      </c>
      <c r="G16" t="s">
        <v>25</v>
      </c>
      <c r="H16" s="5">
        <v>1.5</v>
      </c>
      <c r="J16" s="8">
        <v>1.5E-5</v>
      </c>
      <c r="K16" s="9">
        <f>2*J16*(H16-1)/C16</f>
        <v>14.097744360902254</v>
      </c>
      <c r="L16" s="5">
        <f>K16*C16/2</f>
        <v>7.5000000000000002E-6</v>
      </c>
      <c r="N16" s="5"/>
      <c r="O16" s="5">
        <v>3.4700000000000002E-7</v>
      </c>
      <c r="P16" s="7">
        <v>2.0040000000000001E-3</v>
      </c>
      <c r="Q16" s="5">
        <f>0.000007</f>
        <v>6.9999999999999999E-6</v>
      </c>
      <c r="R16">
        <f t="shared" si="0"/>
        <v>20</v>
      </c>
      <c r="T16" s="5">
        <f t="shared" si="1"/>
        <v>6.9400000000000005E-6</v>
      </c>
      <c r="U16" s="5">
        <f t="shared" si="2"/>
        <v>-1.9970600000000002E-3</v>
      </c>
    </row>
    <row r="17" spans="1:48">
      <c r="C17" s="5"/>
      <c r="E17" s="8"/>
      <c r="H17" s="5">
        <v>1.5</v>
      </c>
      <c r="J17" s="8">
        <v>2.5000000000000001E-5</v>
      </c>
      <c r="K17" s="9">
        <f>2*J17*(H17-1)/C16</f>
        <v>23.496240601503757</v>
      </c>
      <c r="L17" s="5">
        <f>K17*C16/2</f>
        <v>1.2500000000000001E-5</v>
      </c>
      <c r="O17" s="5">
        <v>3.4700000000000002E-7</v>
      </c>
      <c r="P17" s="7">
        <v>2.0040000000000001E-3</v>
      </c>
      <c r="Q17" s="5">
        <f>0.000008</f>
        <v>7.9999999999999996E-6</v>
      </c>
      <c r="R17">
        <f t="shared" si="0"/>
        <v>23</v>
      </c>
      <c r="T17" s="5">
        <f t="shared" si="1"/>
        <v>7.9810000000000003E-6</v>
      </c>
      <c r="U17" s="5">
        <f t="shared" si="2"/>
        <v>-1.9960190000000004E-3</v>
      </c>
    </row>
    <row r="18" spans="1:48">
      <c r="E18" s="8"/>
      <c r="J18" s="6"/>
      <c r="K18" s="10"/>
      <c r="O18" s="5">
        <v>3.4700000000000002E-7</v>
      </c>
      <c r="P18" s="7">
        <v>2.0040000000000001E-3</v>
      </c>
      <c r="Q18" s="5">
        <f>0.000009</f>
        <v>9.0000000000000002E-6</v>
      </c>
      <c r="R18">
        <f t="shared" si="0"/>
        <v>25</v>
      </c>
      <c r="T18" s="5">
        <f t="shared" si="1"/>
        <v>8.6750000000000008E-6</v>
      </c>
      <c r="U18" s="5">
        <f t="shared" si="2"/>
        <v>-1.995325E-3</v>
      </c>
      <c r="V18" s="5"/>
    </row>
    <row r="19" spans="1:48">
      <c r="A19" t="s">
        <v>30</v>
      </c>
      <c r="B19" t="s">
        <v>31</v>
      </c>
      <c r="C19" s="5">
        <v>4.8800000000000003E-7</v>
      </c>
      <c r="D19">
        <v>5</v>
      </c>
      <c r="E19" s="8">
        <f>D19*C19/2</f>
        <v>1.2200000000000002E-6</v>
      </c>
      <c r="G19" t="s">
        <v>25</v>
      </c>
      <c r="H19" s="5">
        <v>1.5</v>
      </c>
      <c r="J19" s="8">
        <v>1.5E-5</v>
      </c>
      <c r="K19" s="9">
        <f>2*J19*(H19-1)/C19</f>
        <v>30.737704918032787</v>
      </c>
      <c r="L19" s="5">
        <f>K19*C19/2</f>
        <v>7.5000000000000002E-6</v>
      </c>
      <c r="N19" s="5"/>
      <c r="O19" s="5">
        <v>3.4700000000000002E-7</v>
      </c>
      <c r="P19" s="7">
        <v>2.0040000000000001E-3</v>
      </c>
      <c r="Q19" s="5">
        <f>0.00001</f>
        <v>1.0000000000000001E-5</v>
      </c>
      <c r="R19">
        <f t="shared" si="0"/>
        <v>28</v>
      </c>
      <c r="T19" s="5">
        <f t="shared" si="1"/>
        <v>9.7159999999999998E-6</v>
      </c>
      <c r="U19" s="5">
        <f t="shared" si="2"/>
        <v>-1.9942840000000002E-3</v>
      </c>
    </row>
    <row r="20" spans="1:48">
      <c r="C20" s="5"/>
      <c r="E20" s="8"/>
      <c r="H20" s="5">
        <v>1.5</v>
      </c>
      <c r="J20" s="8">
        <v>2.5000000000000001E-5</v>
      </c>
      <c r="K20" s="9">
        <f>2*J20*(H20-1)/C19</f>
        <v>51.229508196721312</v>
      </c>
      <c r="L20" s="5">
        <f>K20*C19/2</f>
        <v>1.2500000000000001E-5</v>
      </c>
      <c r="O20" s="5">
        <v>3.4700000000000002E-7</v>
      </c>
      <c r="P20" s="7">
        <v>2.0040000000000001E-3</v>
      </c>
      <c r="Q20" s="5">
        <f>0.000011</f>
        <v>1.1E-5</v>
      </c>
      <c r="R20">
        <f t="shared" si="0"/>
        <v>31</v>
      </c>
      <c r="T20" s="5">
        <f t="shared" si="1"/>
        <v>1.0757000000000001E-5</v>
      </c>
      <c r="U20" s="5">
        <f t="shared" si="2"/>
        <v>-1.993243E-3</v>
      </c>
    </row>
    <row r="21" spans="1:48">
      <c r="E21" s="8"/>
      <c r="J21" s="6"/>
      <c r="K21" s="10"/>
      <c r="L21" s="10"/>
      <c r="N21" s="10"/>
      <c r="O21" s="5"/>
      <c r="P21" s="7"/>
      <c r="Q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>
      <c r="A22" t="s">
        <v>32</v>
      </c>
      <c r="B22" t="s">
        <v>33</v>
      </c>
      <c r="C22" s="5">
        <v>5.6820000000000002E-7</v>
      </c>
      <c r="D22">
        <v>5</v>
      </c>
      <c r="E22" s="8">
        <f>D22*C22/2</f>
        <v>1.4205E-6</v>
      </c>
      <c r="G22" t="s">
        <v>25</v>
      </c>
      <c r="H22" s="5">
        <v>1.5</v>
      </c>
      <c r="J22" s="8">
        <v>1.5E-5</v>
      </c>
      <c r="K22" s="9">
        <f>2*J22*(H22-1)/C22</f>
        <v>26.399155227032736</v>
      </c>
      <c r="L22" s="5">
        <f>K22*C22/2</f>
        <v>7.5000000000000002E-6</v>
      </c>
      <c r="N22" s="5"/>
      <c r="O22" s="5">
        <v>3.4700000000000002E-7</v>
      </c>
      <c r="P22" s="7">
        <v>2.0040000000000001E-3</v>
      </c>
      <c r="Q22" s="5">
        <f>0.000013</f>
        <v>1.2999999999999999E-5</v>
      </c>
      <c r="R22">
        <f t="shared" ref="R22:R34" si="3">QUOTIENT(Q22,O22)</f>
        <v>37</v>
      </c>
      <c r="T22" s="5">
        <f t="shared" ref="T22:T34" si="4">R22*O22</f>
        <v>1.2839E-5</v>
      </c>
      <c r="U22" s="5">
        <f t="shared" ref="U22:U34" si="5">T22-P22</f>
        <v>-1.991161E-3</v>
      </c>
    </row>
    <row r="23" spans="1:48">
      <c r="C23" s="5"/>
      <c r="E23" s="5"/>
      <c r="H23" s="5">
        <v>1.5</v>
      </c>
      <c r="J23" s="8">
        <v>2.5000000000000001E-5</v>
      </c>
      <c r="K23" s="9">
        <f>2*J23*(H23-1)/C22</f>
        <v>43.998592045054558</v>
      </c>
      <c r="L23" s="5">
        <f>K23*C22/2</f>
        <v>1.2500000000000001E-5</v>
      </c>
      <c r="O23" s="5">
        <v>3.4700000000000002E-7</v>
      </c>
      <c r="P23" s="7">
        <v>2.0040000000000001E-3</v>
      </c>
      <c r="Q23" s="5">
        <f>0.000014</f>
        <v>1.4E-5</v>
      </c>
      <c r="R23">
        <f t="shared" si="3"/>
        <v>40</v>
      </c>
      <c r="T23" s="5">
        <f t="shared" si="4"/>
        <v>1.3880000000000001E-5</v>
      </c>
      <c r="U23" s="5">
        <f t="shared" si="5"/>
        <v>-1.9901200000000002E-3</v>
      </c>
    </row>
    <row r="24" spans="1:48">
      <c r="A24" s="6" t="s">
        <v>34</v>
      </c>
      <c r="K24" s="6"/>
      <c r="O24" s="5">
        <v>3.4700000000000002E-7</v>
      </c>
      <c r="P24" s="7">
        <v>2.0040000000000001E-3</v>
      </c>
      <c r="Q24" s="5">
        <f>0.000015</f>
        <v>1.5E-5</v>
      </c>
      <c r="R24">
        <f t="shared" si="3"/>
        <v>43</v>
      </c>
      <c r="T24" s="5">
        <f t="shared" si="4"/>
        <v>1.4921000000000002E-5</v>
      </c>
      <c r="U24" s="5">
        <f t="shared" si="5"/>
        <v>-1.9890789999999999E-3</v>
      </c>
    </row>
    <row r="25" spans="1:48">
      <c r="A25" s="6"/>
      <c r="O25" s="5">
        <v>3.4700000000000002E-7</v>
      </c>
      <c r="P25" s="7">
        <v>2.0040000000000001E-3</v>
      </c>
      <c r="Q25" s="5">
        <f>0.000016</f>
        <v>1.5999999999999999E-5</v>
      </c>
      <c r="R25">
        <f t="shared" si="3"/>
        <v>46</v>
      </c>
      <c r="T25" s="5">
        <f t="shared" si="4"/>
        <v>1.5962000000000001E-5</v>
      </c>
      <c r="U25" s="5">
        <f t="shared" si="5"/>
        <v>-1.9880380000000001E-3</v>
      </c>
    </row>
    <row r="26" spans="1:48">
      <c r="A26" s="6" t="s">
        <v>35</v>
      </c>
      <c r="O26" s="5">
        <v>3.4700000000000002E-7</v>
      </c>
      <c r="P26" s="7">
        <v>2.0040000000000001E-3</v>
      </c>
      <c r="Q26" s="5">
        <f>0.000017</f>
        <v>1.7E-5</v>
      </c>
      <c r="R26">
        <f t="shared" si="3"/>
        <v>48</v>
      </c>
      <c r="T26" s="5">
        <f t="shared" si="4"/>
        <v>1.6656000000000001E-5</v>
      </c>
      <c r="U26" s="5">
        <f t="shared" si="5"/>
        <v>-1.9873440000000003E-3</v>
      </c>
    </row>
    <row r="27" spans="1:48">
      <c r="A27" s="6" t="s">
        <v>36</v>
      </c>
      <c r="O27" s="5">
        <v>3.4700000000000002E-7</v>
      </c>
      <c r="P27" s="7">
        <v>2.0040000000000001E-3</v>
      </c>
      <c r="Q27" s="5">
        <f>0.000018</f>
        <v>1.8E-5</v>
      </c>
      <c r="R27">
        <f t="shared" si="3"/>
        <v>51</v>
      </c>
      <c r="T27" s="5">
        <f t="shared" si="4"/>
        <v>1.7697E-5</v>
      </c>
      <c r="U27" s="5">
        <f t="shared" si="5"/>
        <v>-1.986303E-3</v>
      </c>
    </row>
    <row r="28" spans="1:48">
      <c r="O28" s="5">
        <v>3.4700000000000002E-7</v>
      </c>
      <c r="P28" s="7">
        <v>2.0040000000000001E-3</v>
      </c>
      <c r="Q28" s="5">
        <f>0.000019</f>
        <v>1.9000000000000001E-5</v>
      </c>
      <c r="R28">
        <f t="shared" si="3"/>
        <v>54</v>
      </c>
      <c r="T28" s="5">
        <f t="shared" si="4"/>
        <v>1.8738000000000003E-5</v>
      </c>
      <c r="U28" s="5">
        <f t="shared" si="5"/>
        <v>-1.9852620000000002E-3</v>
      </c>
    </row>
    <row r="29" spans="1:48">
      <c r="A29" s="4" t="s">
        <v>37</v>
      </c>
      <c r="O29" s="5">
        <v>3.4700000000000002E-7</v>
      </c>
      <c r="P29" s="7">
        <v>2.0040000000000001E-3</v>
      </c>
      <c r="Q29" s="5">
        <f>0.00002</f>
        <v>2.0000000000000002E-5</v>
      </c>
      <c r="R29">
        <f t="shared" si="3"/>
        <v>57</v>
      </c>
      <c r="T29" s="5">
        <f t="shared" si="4"/>
        <v>1.9779000000000002E-5</v>
      </c>
      <c r="U29" s="5">
        <f t="shared" si="5"/>
        <v>-1.984221E-3</v>
      </c>
    </row>
    <row r="30" spans="1:48">
      <c r="A30" s="6" t="s">
        <v>38</v>
      </c>
      <c r="O30" s="5">
        <v>3.4700000000000002E-7</v>
      </c>
      <c r="P30" s="7">
        <v>2.0040000000000001E-3</v>
      </c>
      <c r="Q30" s="5">
        <f>0.000021</f>
        <v>2.0999999999999999E-5</v>
      </c>
      <c r="R30">
        <f t="shared" si="3"/>
        <v>60</v>
      </c>
      <c r="T30" s="5">
        <f t="shared" si="4"/>
        <v>2.0820000000000001E-5</v>
      </c>
      <c r="U30" s="5">
        <f t="shared" si="5"/>
        <v>-1.9831800000000002E-3</v>
      </c>
    </row>
    <row r="31" spans="1:48">
      <c r="A31" s="6" t="s">
        <v>39</v>
      </c>
      <c r="O31" s="5">
        <v>3.4700000000000002E-7</v>
      </c>
      <c r="P31" s="7">
        <v>2.0040000000000001E-3</v>
      </c>
      <c r="Q31" s="5">
        <f>0.000022</f>
        <v>2.1999999999999999E-5</v>
      </c>
      <c r="R31">
        <f t="shared" si="3"/>
        <v>63</v>
      </c>
      <c r="T31" s="5">
        <f t="shared" si="4"/>
        <v>2.1861000000000003E-5</v>
      </c>
      <c r="U31" s="5">
        <f t="shared" si="5"/>
        <v>-1.9821389999999999E-3</v>
      </c>
    </row>
    <row r="32" spans="1:48">
      <c r="A32" s="6" t="s">
        <v>40</v>
      </c>
      <c r="O32" s="5">
        <v>3.4700000000000002E-7</v>
      </c>
      <c r="P32" s="7">
        <v>2.0040000000000001E-3</v>
      </c>
      <c r="Q32" s="5">
        <f>0.000023</f>
        <v>2.3E-5</v>
      </c>
      <c r="R32">
        <f t="shared" si="3"/>
        <v>66</v>
      </c>
      <c r="T32" s="5">
        <f t="shared" si="4"/>
        <v>2.2902000000000002E-5</v>
      </c>
      <c r="U32" s="5">
        <f t="shared" si="5"/>
        <v>-1.9810980000000001E-3</v>
      </c>
    </row>
    <row r="33" spans="15:21">
      <c r="O33" s="5">
        <v>3.4700000000000002E-7</v>
      </c>
      <c r="P33" s="7">
        <v>2.0040000000000001E-3</v>
      </c>
      <c r="Q33" s="5">
        <f>0.000024</f>
        <v>2.4000000000000001E-5</v>
      </c>
      <c r="R33">
        <f t="shared" si="3"/>
        <v>69</v>
      </c>
      <c r="T33" s="5">
        <f t="shared" si="4"/>
        <v>2.3943000000000001E-5</v>
      </c>
      <c r="U33" s="5">
        <f t="shared" si="5"/>
        <v>-1.9800570000000003E-3</v>
      </c>
    </row>
    <row r="34" spans="15:21">
      <c r="O34" s="5">
        <v>3.4700000000000002E-7</v>
      </c>
      <c r="P34" s="7">
        <v>2.0040000000000001E-3</v>
      </c>
      <c r="Q34" s="5">
        <f>0.000025</f>
        <v>2.5000000000000001E-5</v>
      </c>
      <c r="R34">
        <f t="shared" si="3"/>
        <v>72</v>
      </c>
      <c r="T34" s="5">
        <f t="shared" si="4"/>
        <v>2.4984000000000003E-5</v>
      </c>
      <c r="U34" s="5">
        <f t="shared" si="5"/>
        <v>-1.9790160000000001E-3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A25" workbookViewId="0">
      <selection activeCell="J34" sqref="J34"/>
    </sheetView>
  </sheetViews>
  <sheetFormatPr defaultRowHeight="15"/>
  <cols>
    <col min="1" max="1" width="12.42578125" customWidth="1"/>
    <col min="2" max="2" width="10.85546875" customWidth="1"/>
    <col min="3" max="3" width="10" customWidth="1"/>
    <col min="4" max="4" width="9.7109375" customWidth="1"/>
    <col min="5" max="7" width="6.7109375" customWidth="1"/>
    <col min="8" max="9" width="7.42578125" customWidth="1"/>
    <col min="10" max="14" width="17.85546875" customWidth="1"/>
    <col min="15" max="15" width="17.85546875" style="6" customWidth="1"/>
    <col min="16" max="16" width="0.28515625" style="14" customWidth="1"/>
    <col min="17" max="17" width="10.85546875" customWidth="1"/>
    <col min="18" max="18" width="10.140625" style="6" bestFit="1" customWidth="1"/>
    <col min="19" max="21" width="11" bestFit="1" customWidth="1"/>
    <col min="22" max="22" width="9.28515625" bestFit="1" customWidth="1"/>
    <col min="23" max="23" width="11" bestFit="1" customWidth="1"/>
    <col min="24" max="24" width="14.28515625" style="10" customWidth="1"/>
    <col min="25" max="25" width="12.140625" customWidth="1"/>
    <col min="26" max="27" width="14.7109375" customWidth="1"/>
    <col min="29" max="29" width="12.5703125" bestFit="1" customWidth="1"/>
    <col min="30" max="30" width="12.140625" customWidth="1"/>
  </cols>
  <sheetData>
    <row r="1" spans="1:18" ht="26.25">
      <c r="J1" s="11" t="s">
        <v>41</v>
      </c>
      <c r="K1" s="12"/>
      <c r="L1" s="12"/>
      <c r="M1" s="12"/>
      <c r="N1" s="12"/>
      <c r="O1" s="13"/>
    </row>
    <row r="2" spans="1:18" ht="19.5" customHeight="1">
      <c r="J2" s="11"/>
      <c r="K2" s="12"/>
      <c r="L2" s="12"/>
      <c r="M2" s="12"/>
      <c r="N2" s="12"/>
      <c r="O2" s="13"/>
    </row>
    <row r="3" spans="1:18" ht="18.75" customHeight="1">
      <c r="A3" s="1" t="s">
        <v>42</v>
      </c>
      <c r="B3" t="s">
        <v>43</v>
      </c>
      <c r="J3" s="11"/>
      <c r="K3" s="12"/>
      <c r="L3" s="12"/>
      <c r="M3" s="12"/>
      <c r="N3" s="12"/>
      <c r="O3" s="13"/>
    </row>
    <row r="4" spans="1:18" ht="16.5" customHeight="1">
      <c r="B4" t="s">
        <v>44</v>
      </c>
      <c r="J4" s="11"/>
      <c r="K4" s="12"/>
      <c r="L4" s="12"/>
      <c r="M4" s="12"/>
      <c r="N4" s="12"/>
      <c r="O4" s="13"/>
    </row>
    <row r="5" spans="1:18" ht="16.5" customHeight="1">
      <c r="J5" s="11"/>
      <c r="K5" s="12"/>
      <c r="L5" s="12"/>
      <c r="M5" s="12"/>
      <c r="N5" s="12"/>
      <c r="O5" s="13"/>
    </row>
    <row r="6" spans="1:18" ht="16.5" customHeight="1">
      <c r="A6" s="1" t="s">
        <v>45</v>
      </c>
      <c r="J6" s="11"/>
      <c r="K6" s="12"/>
      <c r="L6" s="12"/>
      <c r="M6" s="12"/>
      <c r="N6" s="12"/>
      <c r="O6" s="13"/>
    </row>
    <row r="7" spans="1:18" ht="16.5" customHeight="1">
      <c r="A7" s="1"/>
      <c r="J7" s="11"/>
      <c r="K7" s="12"/>
      <c r="L7" s="12"/>
      <c r="M7" s="12"/>
      <c r="N7" s="12"/>
      <c r="O7" s="13"/>
    </row>
    <row r="8" spans="1:18" ht="16.5" customHeight="1">
      <c r="A8" s="15" t="s">
        <v>46</v>
      </c>
      <c r="J8" s="11"/>
      <c r="K8" s="12"/>
      <c r="L8" s="12"/>
      <c r="M8" s="12"/>
      <c r="N8" s="12"/>
      <c r="O8" s="13"/>
    </row>
    <row r="9" spans="1:18" ht="16.5" customHeight="1">
      <c r="A9" s="16" t="s">
        <v>47</v>
      </c>
      <c r="J9" s="11"/>
      <c r="K9" s="12"/>
      <c r="L9" s="12"/>
      <c r="M9" s="12"/>
      <c r="N9" s="12"/>
      <c r="O9" s="13"/>
    </row>
    <row r="10" spans="1:18">
      <c r="A10" s="15" t="s">
        <v>48</v>
      </c>
      <c r="J10" s="3"/>
      <c r="K10" s="3"/>
      <c r="L10" s="3"/>
      <c r="M10" s="3"/>
      <c r="N10" s="3"/>
      <c r="O10" s="17"/>
    </row>
    <row r="11" spans="1:18">
      <c r="A11" s="18"/>
      <c r="J11" s="3"/>
      <c r="K11" s="3"/>
      <c r="L11" s="3"/>
      <c r="M11" s="3"/>
      <c r="N11" s="3"/>
      <c r="O11" s="17"/>
    </row>
    <row r="12" spans="1:18">
      <c r="A12" t="s">
        <v>49</v>
      </c>
      <c r="B12" t="s">
        <v>50</v>
      </c>
      <c r="J12" s="3"/>
      <c r="K12" s="3"/>
      <c r="L12" s="3"/>
      <c r="M12" s="3"/>
      <c r="N12" s="3"/>
      <c r="O12" s="17"/>
    </row>
    <row r="13" spans="1:18" s="10" customFormat="1">
      <c r="O13" s="6"/>
      <c r="P13" s="14"/>
      <c r="R13" s="6"/>
    </row>
    <row r="14" spans="1:18">
      <c r="J14" s="3"/>
      <c r="K14" s="9"/>
      <c r="L14" s="10"/>
      <c r="M14" s="3"/>
      <c r="N14" s="3"/>
      <c r="O14" s="17"/>
    </row>
    <row r="15" spans="1:18" ht="18.75">
      <c r="A15" s="19" t="s">
        <v>51</v>
      </c>
      <c r="K15" s="5"/>
      <c r="Q15" s="19" t="s">
        <v>52</v>
      </c>
      <c r="R15" s="20"/>
    </row>
    <row r="17" spans="1:35" s="4" customFormat="1" ht="18">
      <c r="A17" s="4" t="s">
        <v>8</v>
      </c>
      <c r="B17" s="4" t="s">
        <v>53</v>
      </c>
      <c r="C17" s="4" t="s">
        <v>54</v>
      </c>
      <c r="D17" s="4" t="s">
        <v>55</v>
      </c>
      <c r="E17" s="18" t="s">
        <v>56</v>
      </c>
      <c r="F17" s="18" t="s">
        <v>57</v>
      </c>
      <c r="G17" s="18" t="s">
        <v>58</v>
      </c>
      <c r="H17" s="4" t="s">
        <v>59</v>
      </c>
      <c r="I17" s="4" t="s">
        <v>60</v>
      </c>
      <c r="J17" s="21" t="s">
        <v>61</v>
      </c>
      <c r="K17" s="4" t="s">
        <v>62</v>
      </c>
      <c r="L17" s="4" t="s">
        <v>63</v>
      </c>
      <c r="M17" s="21" t="s">
        <v>64</v>
      </c>
      <c r="N17" s="4" t="s">
        <v>65</v>
      </c>
      <c r="O17" s="21" t="s">
        <v>66</v>
      </c>
      <c r="P17" s="22"/>
      <c r="Q17" s="4" t="s">
        <v>67</v>
      </c>
      <c r="R17" s="21" t="s">
        <v>68</v>
      </c>
      <c r="S17" s="4" t="s">
        <v>69</v>
      </c>
      <c r="T17" s="4" t="s">
        <v>70</v>
      </c>
      <c r="U17" s="4" t="s">
        <v>71</v>
      </c>
      <c r="V17" s="4" t="s">
        <v>72</v>
      </c>
      <c r="W17" s="4" t="s">
        <v>73</v>
      </c>
      <c r="X17" s="4" t="s">
        <v>74</v>
      </c>
      <c r="Y17" s="23" t="s">
        <v>75</v>
      </c>
      <c r="Z17" s="23"/>
      <c r="AA17" s="24" t="s">
        <v>75</v>
      </c>
      <c r="AB17" s="25" t="s">
        <v>76</v>
      </c>
      <c r="AC17" s="25" t="s">
        <v>77</v>
      </c>
      <c r="AD17" s="25"/>
      <c r="AF17"/>
      <c r="AG17"/>
      <c r="AH17"/>
      <c r="AI17"/>
    </row>
    <row r="18" spans="1:35">
      <c r="J18" s="6"/>
      <c r="K18" s="6"/>
      <c r="L18" s="6"/>
      <c r="M18" s="6"/>
      <c r="N18" s="6"/>
      <c r="Y18" s="6"/>
      <c r="Z18" s="6"/>
      <c r="AA18" s="26"/>
      <c r="AB18" s="27"/>
      <c r="AC18" s="27"/>
      <c r="AD18" s="27"/>
    </row>
    <row r="19" spans="1:35">
      <c r="J19" s="6"/>
      <c r="M19" s="6"/>
      <c r="Y19" s="6"/>
      <c r="Z19" s="6"/>
      <c r="AA19" s="26"/>
      <c r="AB19" s="27"/>
      <c r="AC19" s="27"/>
      <c r="AD19" s="27"/>
    </row>
    <row r="20" spans="1:35" s="7" customFormat="1">
      <c r="A20" s="7" t="s">
        <v>78</v>
      </c>
      <c r="B20" s="7">
        <f>0.00000053</f>
        <v>5.3000000000000001E-7</v>
      </c>
      <c r="C20" s="7">
        <f>B20/2</f>
        <v>2.65E-7</v>
      </c>
      <c r="D20" s="7">
        <f>C20*1000</f>
        <v>2.6499999999999999E-4</v>
      </c>
      <c r="E20" s="7">
        <v>10</v>
      </c>
      <c r="F20" s="7">
        <f>E20*D20</f>
        <v>2.65E-3</v>
      </c>
      <c r="G20" s="7">
        <f>1/10</f>
        <v>0.1</v>
      </c>
      <c r="H20" s="7">
        <f>F20/G20</f>
        <v>2.6499999999999999E-2</v>
      </c>
      <c r="I20" s="7">
        <v>20</v>
      </c>
      <c r="J20" s="28">
        <f>I20+H20</f>
        <v>20.026499999999999</v>
      </c>
      <c r="K20" s="7">
        <v>0.01</v>
      </c>
      <c r="L20" s="7">
        <f>J20/K20</f>
        <v>2002.6499999999999</v>
      </c>
      <c r="M20" s="28">
        <f>(QUOTIENT(L20,50)*0.5)</f>
        <v>20</v>
      </c>
      <c r="N20" s="7">
        <f>MOD(L20,50)</f>
        <v>2.6499999999998636</v>
      </c>
      <c r="O20" s="29">
        <f>IF(N20-INT(N20)&lt;0.5,INT(N20),INT(N20)+1)</f>
        <v>3</v>
      </c>
      <c r="P20" s="30" t="e">
        <f>J20+(#REF!*#REF!)</f>
        <v>#REF!</v>
      </c>
      <c r="Q20" s="7">
        <v>1.5</v>
      </c>
      <c r="R20" s="28">
        <v>1</v>
      </c>
      <c r="S20" s="7">
        <f>0.005</f>
        <v>5.0000000000000001E-3</v>
      </c>
      <c r="T20" s="7">
        <f>Q20*R20*B20</f>
        <v>7.9500000000000001E-7</v>
      </c>
      <c r="U20" s="7">
        <f>2*S20*Q20</f>
        <v>1.4999999999999999E-2</v>
      </c>
      <c r="V20" s="7">
        <f>2*S20</f>
        <v>0.01</v>
      </c>
      <c r="W20" s="7">
        <f>R20*B20</f>
        <v>5.3000000000000001E-7</v>
      </c>
      <c r="X20" s="31">
        <f>1-(T20/(U20-V20+W20))</f>
        <v>0.99984101685221372</v>
      </c>
      <c r="Y20" s="28">
        <f>DEGREES(ACOS(X20))</f>
        <v>1.0216894996588803</v>
      </c>
      <c r="Z20" s="28"/>
      <c r="AA20" s="32">
        <v>1.0216894999999999</v>
      </c>
      <c r="AB20" s="33">
        <f>COS(AA20*3.14/180)</f>
        <v>0.99984117800234318</v>
      </c>
      <c r="AC20" s="34">
        <f>(V20*(1-AB20)*(Q20-1))/(B20*(Q20-(1-AB20)))</f>
        <v>0.99898626240356814</v>
      </c>
      <c r="AD20" s="33"/>
    </row>
    <row r="21" spans="1:35" s="7" customFormat="1">
      <c r="B21" s="7">
        <f t="shared" ref="B21:B23" si="0">0.00000053</f>
        <v>5.3000000000000001E-7</v>
      </c>
      <c r="C21" s="7">
        <f>B21/2</f>
        <v>2.65E-7</v>
      </c>
      <c r="D21" s="7">
        <f>C21*1000</f>
        <v>2.6499999999999999E-4</v>
      </c>
      <c r="E21" s="7">
        <v>10</v>
      </c>
      <c r="F21" s="7">
        <f t="shared" ref="F21:F23" si="1">E21*D21</f>
        <v>2.65E-3</v>
      </c>
      <c r="G21" s="7">
        <f t="shared" ref="G21:G31" si="2">1/10</f>
        <v>0.1</v>
      </c>
      <c r="H21" s="7">
        <f t="shared" ref="H21:H31" si="3">F21/G21</f>
        <v>2.6499999999999999E-2</v>
      </c>
      <c r="I21" s="7">
        <v>20</v>
      </c>
      <c r="J21" s="28">
        <f>J20+H20</f>
        <v>20.052999999999997</v>
      </c>
      <c r="K21" s="7">
        <v>0.01</v>
      </c>
      <c r="L21" s="7">
        <f t="shared" ref="L21:L23" si="4">J21/K21</f>
        <v>2005.2999999999997</v>
      </c>
      <c r="M21" s="28">
        <f>(QUOTIENT(L21,50)*0.5)</f>
        <v>20</v>
      </c>
      <c r="N21" s="7">
        <f>MOD(L21,50)</f>
        <v>5.2999999999997272</v>
      </c>
      <c r="O21" s="29">
        <f t="shared" ref="O21:O31" si="5">IF(N21-INT(N21)&lt;0.5,INT(N21),INT(N21)+1)</f>
        <v>5</v>
      </c>
      <c r="P21" s="30"/>
      <c r="R21" s="28"/>
      <c r="X21" s="31"/>
      <c r="Y21" s="28"/>
      <c r="Z21" s="28"/>
      <c r="AA21" s="32"/>
      <c r="AB21" s="33"/>
      <c r="AC21" s="33"/>
      <c r="AD21" s="33"/>
    </row>
    <row r="22" spans="1:35" s="7" customFormat="1">
      <c r="B22" s="7">
        <f t="shared" si="0"/>
        <v>5.3000000000000001E-7</v>
      </c>
      <c r="C22" s="7">
        <f t="shared" ref="C22:C23" si="6">B22/2</f>
        <v>2.65E-7</v>
      </c>
      <c r="D22" s="7">
        <f t="shared" ref="D22:D23" si="7">C22*1000</f>
        <v>2.6499999999999999E-4</v>
      </c>
      <c r="E22" s="7">
        <v>10</v>
      </c>
      <c r="F22" s="7">
        <f t="shared" si="1"/>
        <v>2.65E-3</v>
      </c>
      <c r="G22" s="7">
        <f t="shared" si="2"/>
        <v>0.1</v>
      </c>
      <c r="H22" s="7">
        <f t="shared" si="3"/>
        <v>2.6499999999999999E-2</v>
      </c>
      <c r="I22" s="7">
        <v>20</v>
      </c>
      <c r="J22" s="28">
        <f>J21+H20</f>
        <v>20.079499999999996</v>
      </c>
      <c r="K22" s="7">
        <v>0.01</v>
      </c>
      <c r="L22" s="7">
        <f t="shared" si="4"/>
        <v>2007.9499999999996</v>
      </c>
      <c r="M22" s="28">
        <f t="shared" ref="M22:M23" si="8">(QUOTIENT(L22,50)*0.5)</f>
        <v>20</v>
      </c>
      <c r="N22" s="7">
        <f t="shared" ref="N22:N23" si="9">MOD(L22,50)</f>
        <v>7.9499999999995907</v>
      </c>
      <c r="O22" s="29">
        <f t="shared" si="5"/>
        <v>8</v>
      </c>
      <c r="P22" s="30"/>
      <c r="R22" s="28"/>
      <c r="Y22" s="28"/>
      <c r="Z22" s="28"/>
      <c r="AA22" s="32"/>
      <c r="AB22" s="33"/>
      <c r="AC22" s="33"/>
      <c r="AD22" s="33"/>
    </row>
    <row r="23" spans="1:35" s="7" customFormat="1">
      <c r="B23" s="7">
        <f t="shared" si="0"/>
        <v>5.3000000000000001E-7</v>
      </c>
      <c r="C23" s="7">
        <f t="shared" si="6"/>
        <v>2.65E-7</v>
      </c>
      <c r="D23" s="7">
        <f t="shared" si="7"/>
        <v>2.6499999999999999E-4</v>
      </c>
      <c r="E23" s="7">
        <v>10</v>
      </c>
      <c r="F23" s="7">
        <f t="shared" si="1"/>
        <v>2.65E-3</v>
      </c>
      <c r="G23" s="7">
        <f t="shared" si="2"/>
        <v>0.1</v>
      </c>
      <c r="H23" s="7">
        <f t="shared" si="3"/>
        <v>2.6499999999999999E-2</v>
      </c>
      <c r="I23" s="7">
        <v>20</v>
      </c>
      <c r="J23" s="28">
        <f>J22+H20</f>
        <v>20.105999999999995</v>
      </c>
      <c r="K23" s="7">
        <v>0.01</v>
      </c>
      <c r="L23" s="7">
        <f t="shared" si="4"/>
        <v>2010.5999999999995</v>
      </c>
      <c r="M23" s="28">
        <f t="shared" si="8"/>
        <v>20</v>
      </c>
      <c r="N23" s="7">
        <f t="shared" si="9"/>
        <v>10.599999999999454</v>
      </c>
      <c r="O23" s="29">
        <f t="shared" si="5"/>
        <v>11</v>
      </c>
      <c r="P23" s="30"/>
      <c r="R23" s="28"/>
      <c r="X23" s="31"/>
      <c r="Y23" s="28"/>
      <c r="Z23" s="28"/>
      <c r="AA23" s="32"/>
      <c r="AB23" s="33"/>
      <c r="AC23" s="33"/>
      <c r="AD23" s="33"/>
    </row>
    <row r="24" spans="1:35" s="7" customFormat="1">
      <c r="J24" s="28"/>
      <c r="M24" s="28"/>
      <c r="O24" s="29"/>
      <c r="P24" s="30"/>
      <c r="R24" s="28"/>
      <c r="X24" s="31"/>
      <c r="Y24" s="28"/>
      <c r="Z24" s="28"/>
      <c r="AA24" s="32"/>
      <c r="AB24" s="33"/>
      <c r="AC24" s="33"/>
      <c r="AD24" s="33"/>
    </row>
    <row r="25" spans="1:35" s="7" customFormat="1">
      <c r="A25" s="7" t="s">
        <v>79</v>
      </c>
      <c r="B25" s="7">
        <f>0.000000632</f>
        <v>6.3200000000000005E-7</v>
      </c>
      <c r="C25" s="7">
        <f t="shared" ref="C25:C31" si="10">B25/2</f>
        <v>3.1600000000000002E-7</v>
      </c>
      <c r="D25" s="7">
        <f t="shared" ref="D25:D31" si="11">C25*1000</f>
        <v>3.1600000000000004E-4</v>
      </c>
      <c r="E25" s="7">
        <v>10</v>
      </c>
      <c r="F25" s="7">
        <f t="shared" ref="F25:F31" si="12">E25*D25</f>
        <v>3.1600000000000005E-3</v>
      </c>
      <c r="G25" s="7">
        <f t="shared" si="2"/>
        <v>0.1</v>
      </c>
      <c r="H25" s="7">
        <f t="shared" si="3"/>
        <v>3.1600000000000003E-2</v>
      </c>
      <c r="I25" s="7">
        <v>20</v>
      </c>
      <c r="J25" s="28">
        <f>I25+H25</f>
        <v>20.031600000000001</v>
      </c>
      <c r="K25" s="7">
        <v>0.01</v>
      </c>
      <c r="L25" s="7">
        <f t="shared" ref="L25:L31" si="13">J25/K25</f>
        <v>2003.16</v>
      </c>
      <c r="M25" s="28">
        <f t="shared" ref="M25:M31" si="14">(QUOTIENT(L25,50)*0.5)</f>
        <v>20</v>
      </c>
      <c r="N25" s="7">
        <f t="shared" ref="N25:N31" si="15">MOD(L25,50)</f>
        <v>3.1600000000000819</v>
      </c>
      <c r="O25" s="29">
        <f t="shared" si="5"/>
        <v>3</v>
      </c>
      <c r="P25" s="30"/>
      <c r="Q25" s="7">
        <v>1.5</v>
      </c>
      <c r="R25" s="28">
        <v>1</v>
      </c>
      <c r="S25" s="7">
        <f t="shared" ref="S25:S29" si="16">0.005</f>
        <v>5.0000000000000001E-3</v>
      </c>
      <c r="T25" s="7">
        <f>Q25*R25*B25</f>
        <v>9.4800000000000007E-7</v>
      </c>
      <c r="U25" s="7">
        <f t="shared" ref="U25:U29" si="17">2*S25*Q25</f>
        <v>1.4999999999999999E-2</v>
      </c>
      <c r="V25" s="7">
        <f t="shared" ref="V25:V29" si="18">2*S25</f>
        <v>0.01</v>
      </c>
      <c r="W25" s="7">
        <f>R25*B25</f>
        <v>6.3200000000000005E-7</v>
      </c>
      <c r="X25" s="31">
        <f t="shared" ref="X25:X29" si="19">1-(T25/(U25-V25+W25))</f>
        <v>0.99981042396241115</v>
      </c>
      <c r="Y25" s="28">
        <f t="shared" ref="Y25:Y29" si="20">DEGREES(ACOS(X25))</f>
        <v>1.1156711742303413</v>
      </c>
      <c r="Z25" s="28"/>
      <c r="AA25" s="32">
        <v>1.115671174</v>
      </c>
      <c r="AB25" s="33">
        <f t="shared" ref="AB25:AB29" si="21">COS(AA25*3.14/180)</f>
        <v>0.99981061612164523</v>
      </c>
      <c r="AC25" s="34">
        <f t="shared" ref="AC25:AC29" si="22">(V25*(1-AB25)*(Q25-1))/(B25*(Q25-(1-AB25)))</f>
        <v>0.99898624583131879</v>
      </c>
      <c r="AD25" s="33"/>
    </row>
    <row r="26" spans="1:35" s="7" customFormat="1">
      <c r="B26" s="7">
        <f t="shared" ref="B26:B27" si="23">0.000000632</f>
        <v>6.3200000000000005E-7</v>
      </c>
      <c r="C26" s="7">
        <f t="shared" si="10"/>
        <v>3.1600000000000002E-7</v>
      </c>
      <c r="D26" s="7">
        <f t="shared" si="11"/>
        <v>3.1600000000000004E-4</v>
      </c>
      <c r="E26" s="7">
        <v>10</v>
      </c>
      <c r="F26" s="7">
        <f t="shared" si="12"/>
        <v>3.1600000000000005E-3</v>
      </c>
      <c r="G26" s="7">
        <f t="shared" si="2"/>
        <v>0.1</v>
      </c>
      <c r="H26" s="7">
        <f t="shared" si="3"/>
        <v>3.1600000000000003E-2</v>
      </c>
      <c r="I26" s="7">
        <v>20</v>
      </c>
      <c r="J26" s="28">
        <f>J25+H25</f>
        <v>20.063200000000002</v>
      </c>
      <c r="K26" s="7">
        <v>0.01</v>
      </c>
      <c r="L26" s="7">
        <f t="shared" si="13"/>
        <v>2006.3200000000002</v>
      </c>
      <c r="M26" s="28">
        <f t="shared" si="14"/>
        <v>20</v>
      </c>
      <c r="N26" s="7">
        <f t="shared" si="15"/>
        <v>6.3200000000001637</v>
      </c>
      <c r="O26" s="29">
        <f t="shared" si="5"/>
        <v>6</v>
      </c>
      <c r="P26" s="30"/>
      <c r="R26" s="28"/>
      <c r="X26" s="31"/>
      <c r="Y26" s="28"/>
      <c r="Z26" s="28"/>
      <c r="AA26" s="32"/>
      <c r="AB26" s="33"/>
      <c r="AC26" s="33"/>
      <c r="AD26" s="33"/>
    </row>
    <row r="27" spans="1:35" s="7" customFormat="1">
      <c r="B27" s="7">
        <f t="shared" si="23"/>
        <v>6.3200000000000005E-7</v>
      </c>
      <c r="C27" s="7">
        <f t="shared" si="10"/>
        <v>3.1600000000000002E-7</v>
      </c>
      <c r="D27" s="7">
        <f t="shared" si="11"/>
        <v>3.1600000000000004E-4</v>
      </c>
      <c r="E27" s="7">
        <v>10</v>
      </c>
      <c r="F27" s="7">
        <f t="shared" si="12"/>
        <v>3.1600000000000005E-3</v>
      </c>
      <c r="G27" s="7">
        <f t="shared" si="2"/>
        <v>0.1</v>
      </c>
      <c r="H27" s="7">
        <f t="shared" si="3"/>
        <v>3.1600000000000003E-2</v>
      </c>
      <c r="I27" s="7">
        <v>20</v>
      </c>
      <c r="J27" s="28">
        <f>J26+H25</f>
        <v>20.094800000000003</v>
      </c>
      <c r="K27" s="7">
        <v>0.01</v>
      </c>
      <c r="L27" s="7">
        <f t="shared" si="13"/>
        <v>2009.4800000000002</v>
      </c>
      <c r="M27" s="28">
        <f t="shared" si="14"/>
        <v>20</v>
      </c>
      <c r="N27" s="7">
        <f t="shared" si="15"/>
        <v>9.4800000000002456</v>
      </c>
      <c r="O27" s="29">
        <f t="shared" si="5"/>
        <v>9</v>
      </c>
      <c r="P27" s="30"/>
      <c r="R27" s="28"/>
      <c r="X27" s="31"/>
      <c r="Y27" s="28"/>
      <c r="Z27" s="28"/>
      <c r="AA27" s="32"/>
      <c r="AB27" s="33"/>
      <c r="AC27" s="33"/>
      <c r="AD27" s="33"/>
    </row>
    <row r="28" spans="1:35" s="7" customFormat="1">
      <c r="J28" s="28"/>
      <c r="M28" s="28"/>
      <c r="O28" s="29"/>
      <c r="P28" s="30"/>
      <c r="R28" s="28"/>
      <c r="X28" s="31"/>
      <c r="Y28" s="28"/>
      <c r="Z28" s="28"/>
      <c r="AA28" s="32"/>
      <c r="AB28" s="33"/>
      <c r="AC28" s="33"/>
      <c r="AD28" s="33"/>
    </row>
    <row r="29" spans="1:35" s="7" customFormat="1">
      <c r="A29" s="7" t="s">
        <v>80</v>
      </c>
      <c r="B29" s="7">
        <v>4.8800000000000003E-7</v>
      </c>
      <c r="C29" s="7">
        <f t="shared" si="10"/>
        <v>2.4400000000000001E-7</v>
      </c>
      <c r="D29" s="7">
        <f t="shared" si="11"/>
        <v>2.4400000000000002E-4</v>
      </c>
      <c r="E29" s="7">
        <v>10</v>
      </c>
      <c r="F29" s="7">
        <f t="shared" si="12"/>
        <v>2.4400000000000003E-3</v>
      </c>
      <c r="G29" s="7">
        <f t="shared" si="2"/>
        <v>0.1</v>
      </c>
      <c r="H29" s="7">
        <f t="shared" si="3"/>
        <v>2.4400000000000002E-2</v>
      </c>
      <c r="I29" s="7">
        <v>20</v>
      </c>
      <c r="J29" s="28">
        <f>I29+H29</f>
        <v>20.0244</v>
      </c>
      <c r="K29" s="7">
        <v>0.01</v>
      </c>
      <c r="L29" s="7">
        <f t="shared" si="13"/>
        <v>2002.44</v>
      </c>
      <c r="M29" s="28">
        <f t="shared" si="14"/>
        <v>20</v>
      </c>
      <c r="N29" s="7">
        <f t="shared" si="15"/>
        <v>2.4400000000000546</v>
      </c>
      <c r="O29" s="29">
        <f t="shared" si="5"/>
        <v>2</v>
      </c>
      <c r="P29" s="30"/>
      <c r="Q29" s="7">
        <v>1.5</v>
      </c>
      <c r="R29" s="28">
        <v>1</v>
      </c>
      <c r="S29" s="7">
        <f t="shared" si="16"/>
        <v>5.0000000000000001E-3</v>
      </c>
      <c r="T29" s="7">
        <f>Q29*R29*B29</f>
        <v>7.3200000000000004E-7</v>
      </c>
      <c r="U29" s="7">
        <f t="shared" si="17"/>
        <v>1.4999999999999999E-2</v>
      </c>
      <c r="V29" s="7">
        <f t="shared" si="18"/>
        <v>0.01</v>
      </c>
      <c r="W29" s="7">
        <f>R29*B29</f>
        <v>4.8800000000000003E-7</v>
      </c>
      <c r="X29" s="31">
        <f t="shared" si="19"/>
        <v>0.99985361428724562</v>
      </c>
      <c r="Y29" s="28">
        <f t="shared" si="20"/>
        <v>0.98037510398785055</v>
      </c>
      <c r="Z29" s="28"/>
      <c r="AA29" s="32">
        <v>0.98037510400000005</v>
      </c>
      <c r="AB29" s="33">
        <f t="shared" si="21"/>
        <v>0.99985376266863901</v>
      </c>
      <c r="AC29" s="34">
        <f t="shared" si="22"/>
        <v>0.99898626814052882</v>
      </c>
      <c r="AD29" s="33"/>
    </row>
    <row r="30" spans="1:35" s="7" customFormat="1">
      <c r="B30" s="7">
        <v>4.8800000000000003E-7</v>
      </c>
      <c r="C30" s="7">
        <f t="shared" si="10"/>
        <v>2.4400000000000001E-7</v>
      </c>
      <c r="D30" s="7">
        <f t="shared" si="11"/>
        <v>2.4400000000000002E-4</v>
      </c>
      <c r="E30" s="7">
        <v>10</v>
      </c>
      <c r="F30" s="7">
        <f t="shared" si="12"/>
        <v>2.4400000000000003E-3</v>
      </c>
      <c r="G30" s="7">
        <f t="shared" si="2"/>
        <v>0.1</v>
      </c>
      <c r="H30" s="7">
        <f t="shared" si="3"/>
        <v>2.4400000000000002E-2</v>
      </c>
      <c r="I30" s="7">
        <v>20</v>
      </c>
      <c r="J30" s="28">
        <f>J29+H29</f>
        <v>20.0488</v>
      </c>
      <c r="K30" s="7">
        <v>0.01</v>
      </c>
      <c r="L30" s="7">
        <f t="shared" si="13"/>
        <v>2004.8799999999999</v>
      </c>
      <c r="M30" s="28">
        <f t="shared" si="14"/>
        <v>20</v>
      </c>
      <c r="N30" s="7">
        <f t="shared" si="15"/>
        <v>4.8799999999998818</v>
      </c>
      <c r="O30" s="29">
        <f t="shared" si="5"/>
        <v>5</v>
      </c>
      <c r="P30" s="30"/>
      <c r="R30" s="28"/>
      <c r="X30" s="31"/>
      <c r="Y30" s="28"/>
      <c r="Z30" s="28"/>
      <c r="AA30" s="32"/>
      <c r="AB30" s="33"/>
      <c r="AC30" s="33"/>
      <c r="AD30" s="33"/>
    </row>
    <row r="31" spans="1:35" s="7" customFormat="1">
      <c r="B31" s="7">
        <v>4.8800000000000003E-7</v>
      </c>
      <c r="C31" s="7">
        <f t="shared" si="10"/>
        <v>2.4400000000000001E-7</v>
      </c>
      <c r="D31" s="7">
        <f t="shared" si="11"/>
        <v>2.4400000000000002E-4</v>
      </c>
      <c r="E31" s="7">
        <v>10</v>
      </c>
      <c r="F31" s="7">
        <f t="shared" si="12"/>
        <v>2.4400000000000003E-3</v>
      </c>
      <c r="G31" s="7">
        <f t="shared" si="2"/>
        <v>0.1</v>
      </c>
      <c r="H31" s="7">
        <f t="shared" si="3"/>
        <v>2.4400000000000002E-2</v>
      </c>
      <c r="I31" s="7">
        <v>20</v>
      </c>
      <c r="J31" s="28">
        <f>J30+H29</f>
        <v>20.0732</v>
      </c>
      <c r="K31" s="7">
        <v>0.01</v>
      </c>
      <c r="L31" s="7">
        <f t="shared" si="13"/>
        <v>2007.32</v>
      </c>
      <c r="M31" s="28">
        <f t="shared" si="14"/>
        <v>20</v>
      </c>
      <c r="N31" s="7">
        <f t="shared" si="15"/>
        <v>7.3199999999999363</v>
      </c>
      <c r="O31" s="29">
        <f t="shared" si="5"/>
        <v>7</v>
      </c>
      <c r="P31" s="30"/>
      <c r="R31" s="28"/>
      <c r="X31" s="31"/>
      <c r="Y31" s="28"/>
      <c r="Z31" s="28"/>
      <c r="AA31" s="28"/>
    </row>
    <row r="32" spans="1:35" s="7" customFormat="1">
      <c r="J32" s="28"/>
      <c r="M32" s="28"/>
      <c r="O32" s="29"/>
      <c r="P32" s="30"/>
      <c r="R32" s="28"/>
      <c r="X32" s="31"/>
      <c r="Y32" s="28"/>
      <c r="Z32" s="28"/>
      <c r="AA32" s="28"/>
    </row>
    <row r="33" spans="1:24">
      <c r="A33" s="1"/>
      <c r="J33" s="5"/>
      <c r="K33" s="5"/>
      <c r="L33" s="5"/>
      <c r="M33" s="5"/>
      <c r="N33" s="5"/>
      <c r="O33" s="8"/>
      <c r="Q33" s="5"/>
      <c r="R33" s="8"/>
    </row>
    <row r="34" spans="1:24">
      <c r="A34" s="1" t="s">
        <v>81</v>
      </c>
      <c r="L34" s="5"/>
      <c r="M34" s="5"/>
      <c r="Q34" s="5"/>
    </row>
    <row r="35" spans="1:24">
      <c r="A35" t="s">
        <v>82</v>
      </c>
      <c r="L35" s="5"/>
    </row>
    <row r="36" spans="1:24">
      <c r="A36" s="4"/>
      <c r="Q36" s="4"/>
      <c r="R36" s="21"/>
      <c r="S36" s="4"/>
      <c r="T36" s="4"/>
      <c r="U36" s="4"/>
      <c r="V36" s="4"/>
      <c r="W36" s="35"/>
      <c r="X36" s="4"/>
    </row>
    <row r="38" spans="1:24">
      <c r="A38" s="1" t="s">
        <v>83</v>
      </c>
    </row>
    <row r="39" spans="1:24">
      <c r="A39" t="s">
        <v>84</v>
      </c>
    </row>
    <row r="40" spans="1:24">
      <c r="A40" t="s">
        <v>85</v>
      </c>
      <c r="J40" t="s">
        <v>86</v>
      </c>
    </row>
    <row r="41" spans="1:24">
      <c r="A41" t="s">
        <v>87</v>
      </c>
      <c r="Q41" s="5"/>
      <c r="S41" s="5"/>
      <c r="T41" s="5"/>
      <c r="U41" s="5"/>
      <c r="V41" s="36"/>
      <c r="W41" s="5"/>
      <c r="X41" s="37"/>
    </row>
    <row r="42" spans="1:24">
      <c r="Q42" s="5"/>
      <c r="S42" s="5"/>
      <c r="T42" s="5"/>
      <c r="U42" s="5"/>
      <c r="V42" s="36"/>
      <c r="W42" s="5"/>
      <c r="X42" s="37"/>
    </row>
    <row r="43" spans="1:24">
      <c r="A43" s="1" t="s">
        <v>88</v>
      </c>
      <c r="Q43" s="5"/>
      <c r="S43" s="5"/>
      <c r="T43" s="5"/>
      <c r="U43" s="5"/>
      <c r="V43" s="36"/>
      <c r="W43" s="5"/>
      <c r="X43" s="37"/>
    </row>
    <row r="44" spans="1:24">
      <c r="A44" t="s">
        <v>89</v>
      </c>
      <c r="Q44" s="5"/>
      <c r="S44" s="5"/>
      <c r="T44" s="5"/>
      <c r="U44" s="5"/>
      <c r="V44" s="36"/>
      <c r="W44" s="5"/>
      <c r="X44" s="37"/>
    </row>
    <row r="45" spans="1:24">
      <c r="Q45" s="5"/>
      <c r="S45" s="5"/>
      <c r="T45" s="5"/>
      <c r="U45" s="5"/>
      <c r="V45" s="36"/>
      <c r="W45" s="5"/>
      <c r="X45" s="37"/>
    </row>
    <row r="46" spans="1:24">
      <c r="A46" s="1" t="s">
        <v>90</v>
      </c>
      <c r="Q46" s="5"/>
      <c r="S46" s="5"/>
      <c r="T46" s="5"/>
      <c r="U46" s="5"/>
      <c r="V46" s="36"/>
      <c r="W46" s="5"/>
      <c r="X46" s="37"/>
    </row>
    <row r="47" spans="1:24">
      <c r="A47" t="s">
        <v>91</v>
      </c>
      <c r="X47" s="37"/>
    </row>
    <row r="48" spans="1:24">
      <c r="A48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Saneesh P F</dc:creator>
  <cp:lastModifiedBy>anithab</cp:lastModifiedBy>
  <dcterms:created xsi:type="dcterms:W3CDTF">2017-02-18T04:52:15Z</dcterms:created>
  <dcterms:modified xsi:type="dcterms:W3CDTF">2017-03-28T05:43:14Z</dcterms:modified>
</cp:coreProperties>
</file>