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b2354c89e6104/Escritorio/BD2Obligatorio/"/>
    </mc:Choice>
  </mc:AlternateContent>
  <xr:revisionPtr revIDLastSave="761" documentId="8_{2A245B25-6852-4185-9E39-006DC45A0CC1}" xr6:coauthVersionLast="47" xr6:coauthVersionMax="47" xr10:uidLastSave="{5188B78B-626E-49E1-8FF5-DF97CBD60A4C}"/>
  <bookViews>
    <workbookView xWindow="-120" yWindow="-120" windowWidth="29040" windowHeight="15720" activeTab="3" xr2:uid="{00920737-040F-45E5-AEE3-74C577A7479C}"/>
  </bookViews>
  <sheets>
    <sheet name="Hoja1" sheetId="1" r:id="rId1"/>
    <sheet name="Hoja2" sheetId="8" r:id="rId2"/>
    <sheet name="Propietarios" sheetId="2" r:id="rId3"/>
    <sheet name="Datos" sheetId="9" r:id="rId4"/>
    <sheet name="Gatos" sheetId="3" r:id="rId5"/>
    <sheet name="Habitaciones" sheetId="4" r:id="rId6"/>
    <sheet name="Servicios" sheetId="5" r:id="rId7"/>
    <sheet name="Reservas" sheetId="6" r:id="rId8"/>
    <sheet name="ReservaServicio" sheetId="7" r:id="rId9"/>
  </sheets>
  <definedNames>
    <definedName name="_xlnm._FilterDatabase" localSheetId="3" hidden="1">Datos!$AA$1:$AC$1</definedName>
    <definedName name="_xlnm._FilterDatabase" localSheetId="0" hidden="1">Hoja1!$N$1:$N$30</definedName>
    <definedName name="_xlnm._FilterDatabase" localSheetId="1" hidden="1">Hoja2!$A$20:$L$79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6" l="1"/>
  <c r="A4" i="6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W93" i="6"/>
  <c r="U93" i="6"/>
  <c r="S93" i="6"/>
  <c r="Q93" i="6"/>
  <c r="O93" i="6"/>
  <c r="Y93" i="6" s="1"/>
  <c r="W92" i="6"/>
  <c r="U92" i="6"/>
  <c r="S92" i="6"/>
  <c r="Q92" i="6"/>
  <c r="O92" i="6"/>
  <c r="Y92" i="6" s="1"/>
  <c r="W91" i="6"/>
  <c r="U91" i="6"/>
  <c r="S91" i="6"/>
  <c r="Q91" i="6"/>
  <c r="O91" i="6"/>
  <c r="W90" i="6"/>
  <c r="U90" i="6"/>
  <c r="S90" i="6"/>
  <c r="Q90" i="6"/>
  <c r="O90" i="6"/>
  <c r="W89" i="6"/>
  <c r="U89" i="6"/>
  <c r="S89" i="6"/>
  <c r="Q89" i="6"/>
  <c r="O89" i="6"/>
  <c r="Y89" i="6" s="1"/>
  <c r="W88" i="6"/>
  <c r="U88" i="6"/>
  <c r="S88" i="6"/>
  <c r="Q88" i="6"/>
  <c r="O88" i="6"/>
  <c r="W87" i="6"/>
  <c r="U87" i="6"/>
  <c r="S87" i="6"/>
  <c r="Q87" i="6"/>
  <c r="O87" i="6"/>
  <c r="W86" i="6"/>
  <c r="U86" i="6"/>
  <c r="S86" i="6"/>
  <c r="Q86" i="6"/>
  <c r="O86" i="6"/>
  <c r="W85" i="6"/>
  <c r="U85" i="6"/>
  <c r="S85" i="6"/>
  <c r="Q85" i="6"/>
  <c r="O85" i="6"/>
  <c r="W84" i="6"/>
  <c r="U84" i="6"/>
  <c r="S84" i="6"/>
  <c r="Q84" i="6"/>
  <c r="O84" i="6"/>
  <c r="W83" i="6"/>
  <c r="U83" i="6"/>
  <c r="S83" i="6"/>
  <c r="Q83" i="6"/>
  <c r="O83" i="6"/>
  <c r="W82" i="6"/>
  <c r="U82" i="6"/>
  <c r="S82" i="6"/>
  <c r="Q82" i="6"/>
  <c r="O82" i="6"/>
  <c r="W81" i="6"/>
  <c r="U81" i="6"/>
  <c r="S81" i="6"/>
  <c r="Q81" i="6"/>
  <c r="O81" i="6"/>
  <c r="W80" i="6"/>
  <c r="U80" i="6"/>
  <c r="S80" i="6"/>
  <c r="Q80" i="6"/>
  <c r="O80" i="6"/>
  <c r="W79" i="6"/>
  <c r="U79" i="6"/>
  <c r="S79" i="6"/>
  <c r="Q79" i="6"/>
  <c r="O79" i="6"/>
  <c r="W78" i="6"/>
  <c r="U78" i="6"/>
  <c r="S78" i="6"/>
  <c r="Q78" i="6"/>
  <c r="O78" i="6"/>
  <c r="W77" i="6"/>
  <c r="U77" i="6"/>
  <c r="S77" i="6"/>
  <c r="Q77" i="6"/>
  <c r="O77" i="6"/>
  <c r="W76" i="6"/>
  <c r="U76" i="6"/>
  <c r="S76" i="6"/>
  <c r="Q76" i="6"/>
  <c r="O76" i="6"/>
  <c r="W75" i="6"/>
  <c r="U75" i="6"/>
  <c r="S75" i="6"/>
  <c r="Q75" i="6"/>
  <c r="O75" i="6"/>
  <c r="W74" i="6"/>
  <c r="U74" i="6"/>
  <c r="S74" i="6"/>
  <c r="Q74" i="6"/>
  <c r="O74" i="6"/>
  <c r="W73" i="6"/>
  <c r="U73" i="6"/>
  <c r="S73" i="6"/>
  <c r="Q73" i="6"/>
  <c r="O73" i="6"/>
  <c r="W72" i="6"/>
  <c r="U72" i="6"/>
  <c r="S72" i="6"/>
  <c r="Q72" i="6"/>
  <c r="O72" i="6"/>
  <c r="W71" i="6"/>
  <c r="U71" i="6"/>
  <c r="S71" i="6"/>
  <c r="Q71" i="6"/>
  <c r="O71" i="6"/>
  <c r="W70" i="6"/>
  <c r="U70" i="6"/>
  <c r="S70" i="6"/>
  <c r="Q70" i="6"/>
  <c r="O70" i="6"/>
  <c r="Y70" i="6" s="1"/>
  <c r="W69" i="6"/>
  <c r="U69" i="6"/>
  <c r="S69" i="6"/>
  <c r="Q69" i="6"/>
  <c r="O69" i="6"/>
  <c r="W68" i="6"/>
  <c r="U68" i="6"/>
  <c r="S68" i="6"/>
  <c r="Q68" i="6"/>
  <c r="O68" i="6"/>
  <c r="W67" i="6"/>
  <c r="U67" i="6"/>
  <c r="S67" i="6"/>
  <c r="Q67" i="6"/>
  <c r="O67" i="6"/>
  <c r="W66" i="6"/>
  <c r="U66" i="6"/>
  <c r="S66" i="6"/>
  <c r="Q66" i="6"/>
  <c r="O66" i="6"/>
  <c r="Y66" i="6" s="1"/>
  <c r="W65" i="6"/>
  <c r="U65" i="6"/>
  <c r="S65" i="6"/>
  <c r="Q65" i="6"/>
  <c r="O65" i="6"/>
  <c r="W64" i="6"/>
  <c r="U64" i="6"/>
  <c r="S64" i="6"/>
  <c r="Q64" i="6"/>
  <c r="O64" i="6"/>
  <c r="W63" i="6"/>
  <c r="U63" i="6"/>
  <c r="S63" i="6"/>
  <c r="Q63" i="6"/>
  <c r="O63" i="6"/>
  <c r="W62" i="6"/>
  <c r="U62" i="6"/>
  <c r="S62" i="6"/>
  <c r="Q62" i="6"/>
  <c r="O62" i="6"/>
  <c r="W61" i="6"/>
  <c r="U61" i="6"/>
  <c r="S61" i="6"/>
  <c r="Q61" i="6"/>
  <c r="O61" i="6"/>
  <c r="Y61" i="6" s="1"/>
  <c r="W60" i="6"/>
  <c r="U60" i="6"/>
  <c r="S60" i="6"/>
  <c r="Q60" i="6"/>
  <c r="O60" i="6"/>
  <c r="W59" i="6"/>
  <c r="U59" i="6"/>
  <c r="S59" i="6"/>
  <c r="Q59" i="6"/>
  <c r="O59" i="6"/>
  <c r="W58" i="6"/>
  <c r="U58" i="6"/>
  <c r="S58" i="6"/>
  <c r="Q58" i="6"/>
  <c r="O58" i="6"/>
  <c r="W57" i="6"/>
  <c r="U57" i="6"/>
  <c r="S57" i="6"/>
  <c r="Q57" i="6"/>
  <c r="O57" i="6"/>
  <c r="W56" i="6"/>
  <c r="U56" i="6"/>
  <c r="S56" i="6"/>
  <c r="Q56" i="6"/>
  <c r="O56" i="6"/>
  <c r="W55" i="6"/>
  <c r="U55" i="6"/>
  <c r="S55" i="6"/>
  <c r="Q55" i="6"/>
  <c r="O55" i="6"/>
  <c r="W54" i="6"/>
  <c r="U54" i="6"/>
  <c r="S54" i="6"/>
  <c r="Q54" i="6"/>
  <c r="O54" i="6"/>
  <c r="W53" i="6"/>
  <c r="U53" i="6"/>
  <c r="S53" i="6"/>
  <c r="Q53" i="6"/>
  <c r="O53" i="6"/>
  <c r="W52" i="6"/>
  <c r="U52" i="6"/>
  <c r="S52" i="6"/>
  <c r="Q52" i="6"/>
  <c r="O52" i="6"/>
  <c r="W51" i="6"/>
  <c r="U51" i="6"/>
  <c r="S51" i="6"/>
  <c r="Q51" i="6"/>
  <c r="O51" i="6"/>
  <c r="W50" i="6"/>
  <c r="U50" i="6"/>
  <c r="S50" i="6"/>
  <c r="Q50" i="6"/>
  <c r="O50" i="6"/>
  <c r="W49" i="6"/>
  <c r="U49" i="6"/>
  <c r="S49" i="6"/>
  <c r="Q49" i="6"/>
  <c r="O49" i="6"/>
  <c r="W48" i="6"/>
  <c r="U48" i="6"/>
  <c r="S48" i="6"/>
  <c r="Q48" i="6"/>
  <c r="O48" i="6"/>
  <c r="W47" i="6"/>
  <c r="U47" i="6"/>
  <c r="S47" i="6"/>
  <c r="Q47" i="6"/>
  <c r="O47" i="6"/>
  <c r="Y47" i="6" s="1"/>
  <c r="W46" i="6"/>
  <c r="U46" i="6"/>
  <c r="S46" i="6"/>
  <c r="Q46" i="6"/>
  <c r="O46" i="6"/>
  <c r="W45" i="6"/>
  <c r="U45" i="6"/>
  <c r="S45" i="6"/>
  <c r="Q45" i="6"/>
  <c r="O45" i="6"/>
  <c r="W44" i="6"/>
  <c r="U44" i="6"/>
  <c r="S44" i="6"/>
  <c r="Q44" i="6"/>
  <c r="O44" i="6"/>
  <c r="Y44" i="6" s="1"/>
  <c r="W43" i="6"/>
  <c r="U43" i="6"/>
  <c r="S43" i="6"/>
  <c r="Q43" i="6"/>
  <c r="O43" i="6"/>
  <c r="W42" i="6"/>
  <c r="U42" i="6"/>
  <c r="S42" i="6"/>
  <c r="Q42" i="6"/>
  <c r="O42" i="6"/>
  <c r="W41" i="6"/>
  <c r="U41" i="6"/>
  <c r="S41" i="6"/>
  <c r="Q41" i="6"/>
  <c r="O41" i="6"/>
  <c r="Y41" i="6" s="1"/>
  <c r="W40" i="6"/>
  <c r="U40" i="6"/>
  <c r="S40" i="6"/>
  <c r="Q40" i="6"/>
  <c r="O40" i="6"/>
  <c r="W39" i="6"/>
  <c r="U39" i="6"/>
  <c r="S39" i="6"/>
  <c r="Q39" i="6"/>
  <c r="O39" i="6"/>
  <c r="W38" i="6"/>
  <c r="U38" i="6"/>
  <c r="S38" i="6"/>
  <c r="Q38" i="6"/>
  <c r="O38" i="6"/>
  <c r="W37" i="6"/>
  <c r="U37" i="6"/>
  <c r="S37" i="6"/>
  <c r="Q37" i="6"/>
  <c r="O37" i="6"/>
  <c r="W36" i="6"/>
  <c r="U36" i="6"/>
  <c r="S36" i="6"/>
  <c r="Q36" i="6"/>
  <c r="O36" i="6"/>
  <c r="W35" i="6"/>
  <c r="U35" i="6"/>
  <c r="S35" i="6"/>
  <c r="Q35" i="6"/>
  <c r="O35" i="6"/>
  <c r="W34" i="6"/>
  <c r="U34" i="6"/>
  <c r="S34" i="6"/>
  <c r="Q34" i="6"/>
  <c r="O34" i="6"/>
  <c r="Y34" i="6" s="1"/>
  <c r="W33" i="6"/>
  <c r="U33" i="6"/>
  <c r="S33" i="6"/>
  <c r="Q33" i="6"/>
  <c r="O33" i="6"/>
  <c r="W32" i="6"/>
  <c r="U32" i="6"/>
  <c r="S32" i="6"/>
  <c r="Q32" i="6"/>
  <c r="O32" i="6"/>
  <c r="W31" i="6"/>
  <c r="U31" i="6"/>
  <c r="S31" i="6"/>
  <c r="Q31" i="6"/>
  <c r="O31" i="6"/>
  <c r="Y31" i="6" s="1"/>
  <c r="W30" i="6"/>
  <c r="U30" i="6"/>
  <c r="S30" i="6"/>
  <c r="Q30" i="6"/>
  <c r="O30" i="6"/>
  <c r="W29" i="6"/>
  <c r="U29" i="6"/>
  <c r="S29" i="6"/>
  <c r="Q29" i="6"/>
  <c r="O29" i="6"/>
  <c r="W28" i="6"/>
  <c r="U28" i="6"/>
  <c r="S28" i="6"/>
  <c r="Q28" i="6"/>
  <c r="O28" i="6"/>
  <c r="Y28" i="6" s="1"/>
  <c r="W27" i="6"/>
  <c r="U27" i="6"/>
  <c r="S27" i="6"/>
  <c r="Q27" i="6"/>
  <c r="O27" i="6"/>
  <c r="W26" i="6"/>
  <c r="U26" i="6"/>
  <c r="S26" i="6"/>
  <c r="Q26" i="6"/>
  <c r="O26" i="6"/>
  <c r="W25" i="6"/>
  <c r="U25" i="6"/>
  <c r="S25" i="6"/>
  <c r="Q25" i="6"/>
  <c r="O25" i="6"/>
  <c r="W24" i="6"/>
  <c r="U24" i="6"/>
  <c r="S24" i="6"/>
  <c r="Q24" i="6"/>
  <c r="O24" i="6"/>
  <c r="W23" i="6"/>
  <c r="U23" i="6"/>
  <c r="S23" i="6"/>
  <c r="Q23" i="6"/>
  <c r="O23" i="6"/>
  <c r="W22" i="6"/>
  <c r="U22" i="6"/>
  <c r="S22" i="6"/>
  <c r="Q22" i="6"/>
  <c r="O22" i="6"/>
  <c r="Y22" i="6" s="1"/>
  <c r="W21" i="6"/>
  <c r="U21" i="6"/>
  <c r="S21" i="6"/>
  <c r="Q21" i="6"/>
  <c r="O21" i="6"/>
  <c r="W20" i="6"/>
  <c r="U20" i="6"/>
  <c r="S20" i="6"/>
  <c r="Q20" i="6"/>
  <c r="O20" i="6"/>
  <c r="W19" i="6"/>
  <c r="U19" i="6"/>
  <c r="S19" i="6"/>
  <c r="Q19" i="6"/>
  <c r="O19" i="6"/>
  <c r="W18" i="6"/>
  <c r="U18" i="6"/>
  <c r="S18" i="6"/>
  <c r="Q18" i="6"/>
  <c r="O18" i="6"/>
  <c r="Y18" i="6" s="1"/>
  <c r="W17" i="6"/>
  <c r="U17" i="6"/>
  <c r="S17" i="6"/>
  <c r="Q17" i="6"/>
  <c r="O17" i="6"/>
  <c r="W16" i="6"/>
  <c r="U16" i="6"/>
  <c r="S16" i="6"/>
  <c r="Q16" i="6"/>
  <c r="O16" i="6"/>
  <c r="W15" i="6"/>
  <c r="U15" i="6"/>
  <c r="S15" i="6"/>
  <c r="Q15" i="6"/>
  <c r="O15" i="6"/>
  <c r="Y15" i="6" s="1"/>
  <c r="W14" i="6"/>
  <c r="U14" i="6"/>
  <c r="S14" i="6"/>
  <c r="Q14" i="6"/>
  <c r="O14" i="6"/>
  <c r="W13" i="6"/>
  <c r="U13" i="6"/>
  <c r="S13" i="6"/>
  <c r="Q13" i="6"/>
  <c r="O13" i="6"/>
  <c r="Y13" i="6" s="1"/>
  <c r="W12" i="6"/>
  <c r="U12" i="6"/>
  <c r="S12" i="6"/>
  <c r="Q12" i="6"/>
  <c r="O12" i="6"/>
  <c r="Y12" i="6" s="1"/>
  <c r="W11" i="6"/>
  <c r="U11" i="6"/>
  <c r="S11" i="6"/>
  <c r="Q11" i="6"/>
  <c r="O11" i="6"/>
  <c r="W10" i="6"/>
  <c r="U10" i="6"/>
  <c r="S10" i="6"/>
  <c r="Q10" i="6"/>
  <c r="O10" i="6"/>
  <c r="W9" i="6"/>
  <c r="U9" i="6"/>
  <c r="S9" i="6"/>
  <c r="Q9" i="6"/>
  <c r="O9" i="6"/>
  <c r="Y9" i="6" s="1"/>
  <c r="W8" i="6"/>
  <c r="U8" i="6"/>
  <c r="S8" i="6"/>
  <c r="Q8" i="6"/>
  <c r="O8" i="6"/>
  <c r="W7" i="6"/>
  <c r="U7" i="6"/>
  <c r="S7" i="6"/>
  <c r="Q7" i="6"/>
  <c r="O7" i="6"/>
  <c r="W6" i="6"/>
  <c r="U6" i="6"/>
  <c r="S6" i="6"/>
  <c r="Q6" i="6"/>
  <c r="O6" i="6"/>
  <c r="Y6" i="6" s="1"/>
  <c r="W5" i="6"/>
  <c r="U5" i="6"/>
  <c r="S5" i="6"/>
  <c r="Q5" i="6"/>
  <c r="O5" i="6"/>
  <c r="W4" i="6"/>
  <c r="U4" i="6"/>
  <c r="S4" i="6"/>
  <c r="Q4" i="6"/>
  <c r="O4" i="6"/>
  <c r="W3" i="6"/>
  <c r="U3" i="6"/>
  <c r="S3" i="6"/>
  <c r="Q3" i="6"/>
  <c r="O3" i="6"/>
  <c r="G60" i="6"/>
  <c r="G58" i="6"/>
  <c r="G54" i="6"/>
  <c r="G51" i="6"/>
  <c r="G49" i="6"/>
  <c r="G44" i="6"/>
  <c r="G42" i="6"/>
  <c r="G38" i="6"/>
  <c r="G93" i="6"/>
  <c r="G91" i="6"/>
  <c r="G89" i="6"/>
  <c r="G86" i="6"/>
  <c r="G85" i="6"/>
  <c r="G83" i="6"/>
  <c r="G80" i="6"/>
  <c r="G78" i="6"/>
  <c r="G77" i="6"/>
  <c r="G75" i="6"/>
  <c r="G73" i="6"/>
  <c r="G71" i="6"/>
  <c r="G69" i="6"/>
  <c r="G66" i="6"/>
  <c r="G65" i="6"/>
  <c r="G62" i="6"/>
  <c r="G61" i="6"/>
  <c r="G57" i="6"/>
  <c r="G53" i="6"/>
  <c r="G50" i="6"/>
  <c r="G48" i="6"/>
  <c r="G45" i="6"/>
  <c r="G43" i="6"/>
  <c r="G40" i="6"/>
  <c r="G92" i="6"/>
  <c r="G90" i="6"/>
  <c r="G88" i="6"/>
  <c r="G87" i="6"/>
  <c r="G84" i="6"/>
  <c r="G82" i="6"/>
  <c r="G81" i="6"/>
  <c r="G79" i="6"/>
  <c r="G76" i="6"/>
  <c r="G74" i="6"/>
  <c r="G72" i="6"/>
  <c r="G70" i="6"/>
  <c r="G68" i="6"/>
  <c r="G67" i="6"/>
  <c r="G64" i="6"/>
  <c r="G63" i="6"/>
  <c r="G59" i="6"/>
  <c r="G56" i="6"/>
  <c r="G55" i="6"/>
  <c r="G52" i="6"/>
  <c r="G47" i="6"/>
  <c r="G46" i="6"/>
  <c r="G41" i="6"/>
  <c r="G39" i="6"/>
  <c r="J93" i="6"/>
  <c r="I93" i="6"/>
  <c r="J92" i="6"/>
  <c r="I92" i="6"/>
  <c r="J91" i="6"/>
  <c r="I91" i="6"/>
  <c r="J90" i="6"/>
  <c r="I90" i="6"/>
  <c r="J89" i="6"/>
  <c r="I89" i="6"/>
  <c r="J88" i="6"/>
  <c r="I88" i="6"/>
  <c r="J87" i="6"/>
  <c r="I87" i="6"/>
  <c r="J86" i="6"/>
  <c r="I86" i="6"/>
  <c r="J85" i="6"/>
  <c r="I85" i="6"/>
  <c r="J84" i="6"/>
  <c r="I84" i="6"/>
  <c r="J83" i="6"/>
  <c r="I83" i="6"/>
  <c r="J82" i="6"/>
  <c r="I82" i="6"/>
  <c r="J81" i="6"/>
  <c r="I81" i="6"/>
  <c r="J80" i="6"/>
  <c r="I80" i="6"/>
  <c r="J79" i="6"/>
  <c r="I79" i="6"/>
  <c r="J78" i="6"/>
  <c r="I78" i="6"/>
  <c r="J77" i="6"/>
  <c r="I77" i="6"/>
  <c r="J76" i="6"/>
  <c r="I76" i="6"/>
  <c r="J75" i="6"/>
  <c r="I75" i="6"/>
  <c r="J74" i="6"/>
  <c r="I74" i="6"/>
  <c r="J73" i="6"/>
  <c r="I73" i="6"/>
  <c r="J72" i="6"/>
  <c r="I72" i="6"/>
  <c r="J71" i="6"/>
  <c r="I71" i="6"/>
  <c r="J70" i="6"/>
  <c r="I70" i="6"/>
  <c r="J69" i="6"/>
  <c r="I69" i="6"/>
  <c r="J68" i="6"/>
  <c r="I68" i="6"/>
  <c r="J67" i="6"/>
  <c r="I67" i="6"/>
  <c r="J66" i="6"/>
  <c r="I66" i="6"/>
  <c r="J65" i="6"/>
  <c r="I65" i="6"/>
  <c r="J64" i="6"/>
  <c r="I64" i="6"/>
  <c r="J63" i="6"/>
  <c r="I63" i="6"/>
  <c r="J62" i="6"/>
  <c r="I62" i="6"/>
  <c r="J61" i="6"/>
  <c r="I61" i="6"/>
  <c r="J60" i="6"/>
  <c r="I60" i="6"/>
  <c r="J59" i="6"/>
  <c r="I59" i="6"/>
  <c r="J58" i="6"/>
  <c r="I58" i="6"/>
  <c r="J57" i="6"/>
  <c r="I57" i="6"/>
  <c r="J56" i="6"/>
  <c r="I56" i="6"/>
  <c r="J55" i="6"/>
  <c r="I55" i="6"/>
  <c r="J54" i="6"/>
  <c r="I54" i="6"/>
  <c r="J53" i="6"/>
  <c r="I53" i="6"/>
  <c r="J52" i="6"/>
  <c r="I52" i="6"/>
  <c r="J51" i="6"/>
  <c r="I51" i="6"/>
  <c r="J50" i="6"/>
  <c r="I50" i="6"/>
  <c r="J49" i="6"/>
  <c r="I49" i="6"/>
  <c r="J48" i="6"/>
  <c r="I48" i="6"/>
  <c r="J47" i="6"/>
  <c r="I47" i="6"/>
  <c r="J46" i="6"/>
  <c r="I46" i="6"/>
  <c r="J45" i="6"/>
  <c r="I45" i="6"/>
  <c r="J44" i="6"/>
  <c r="I44" i="6"/>
  <c r="J43" i="6"/>
  <c r="I43" i="6"/>
  <c r="J42" i="6"/>
  <c r="I42" i="6"/>
  <c r="J41" i="6"/>
  <c r="I41" i="6"/>
  <c r="J40" i="6"/>
  <c r="I40" i="6"/>
  <c r="J39" i="6"/>
  <c r="I39" i="6"/>
  <c r="D84" i="8" s="1"/>
  <c r="I38" i="6"/>
  <c r="I37" i="6"/>
  <c r="K37" i="6" s="1"/>
  <c r="I36" i="6"/>
  <c r="K36" i="6" s="1"/>
  <c r="J38" i="6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39" i="1"/>
  <c r="I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39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G11" i="4"/>
  <c r="G10" i="4"/>
  <c r="G9" i="4"/>
  <c r="G8" i="4"/>
  <c r="G7" i="4"/>
  <c r="G6" i="4"/>
  <c r="G5" i="4"/>
  <c r="G4" i="4"/>
  <c r="G3" i="4"/>
  <c r="J37" i="6"/>
  <c r="J36" i="6"/>
  <c r="M37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G36" i="6"/>
  <c r="G37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I35" i="6"/>
  <c r="K35" i="6" s="1"/>
  <c r="I34" i="6"/>
  <c r="K34" i="6" s="1"/>
  <c r="I33" i="6"/>
  <c r="K33" i="6" s="1"/>
  <c r="I32" i="6"/>
  <c r="K32" i="6" s="1"/>
  <c r="I31" i="6"/>
  <c r="K31" i="6" s="1"/>
  <c r="I30" i="6"/>
  <c r="K30" i="6" s="1"/>
  <c r="I29" i="6"/>
  <c r="K29" i="6" s="1"/>
  <c r="I28" i="6"/>
  <c r="K28" i="6" s="1"/>
  <c r="I27" i="6"/>
  <c r="K27" i="6" s="1"/>
  <c r="I26" i="6"/>
  <c r="K26" i="6" s="1"/>
  <c r="I25" i="6"/>
  <c r="K25" i="6" s="1"/>
  <c r="I24" i="6"/>
  <c r="K24" i="6" s="1"/>
  <c r="I23" i="6"/>
  <c r="K23" i="6" s="1"/>
  <c r="I22" i="6"/>
  <c r="K22" i="6" s="1"/>
  <c r="I21" i="6"/>
  <c r="K21" i="6" s="1"/>
  <c r="I20" i="6"/>
  <c r="K20" i="6" s="1"/>
  <c r="I19" i="6"/>
  <c r="K19" i="6" s="1"/>
  <c r="I18" i="6"/>
  <c r="K18" i="6" s="1"/>
  <c r="I17" i="6"/>
  <c r="K17" i="6" s="1"/>
  <c r="I16" i="6"/>
  <c r="K16" i="6" s="1"/>
  <c r="I15" i="6"/>
  <c r="K15" i="6" s="1"/>
  <c r="I14" i="6"/>
  <c r="K14" i="6" s="1"/>
  <c r="I13" i="6"/>
  <c r="K13" i="6" s="1"/>
  <c r="I12" i="6"/>
  <c r="K12" i="6" s="1"/>
  <c r="I11" i="6"/>
  <c r="K11" i="6" s="1"/>
  <c r="I10" i="6"/>
  <c r="K10" i="6" s="1"/>
  <c r="I9" i="6"/>
  <c r="K9" i="6" s="1"/>
  <c r="I8" i="6"/>
  <c r="K8" i="6" s="1"/>
  <c r="I7" i="6"/>
  <c r="K7" i="6" s="1"/>
  <c r="I6" i="6"/>
  <c r="K6" i="6" s="1"/>
  <c r="I5" i="6"/>
  <c r="K5" i="6" s="1"/>
  <c r="I4" i="6"/>
  <c r="K4" i="6" s="1"/>
  <c r="I3" i="6"/>
  <c r="K3" i="6" s="1"/>
  <c r="G16" i="6"/>
  <c r="G12" i="6"/>
  <c r="G6" i="6"/>
  <c r="G30" i="6"/>
  <c r="G26" i="6"/>
  <c r="G13" i="6"/>
  <c r="G34" i="6"/>
  <c r="G31" i="6"/>
  <c r="G7" i="6"/>
  <c r="G25" i="6"/>
  <c r="G8" i="6"/>
  <c r="G3" i="6"/>
  <c r="G23" i="6"/>
  <c r="G5" i="6"/>
  <c r="G20" i="6"/>
  <c r="G24" i="6"/>
  <c r="G4" i="6"/>
  <c r="G29" i="6"/>
  <c r="G32" i="6"/>
  <c r="G17" i="6"/>
  <c r="G35" i="6"/>
  <c r="G14" i="6"/>
  <c r="G15" i="6"/>
  <c r="G9" i="6"/>
  <c r="G18" i="6"/>
  <c r="G21" i="6"/>
  <c r="G10" i="6"/>
  <c r="G11" i="6"/>
  <c r="G19" i="6"/>
  <c r="G28" i="6"/>
  <c r="G33" i="6"/>
  <c r="G27" i="6"/>
  <c r="G22" i="6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K78" i="8"/>
  <c r="J78" i="8"/>
  <c r="I78" i="8"/>
  <c r="H78" i="8"/>
  <c r="G78" i="8"/>
  <c r="F78" i="8"/>
  <c r="E78" i="8"/>
  <c r="K77" i="8"/>
  <c r="J77" i="8"/>
  <c r="I77" i="8"/>
  <c r="H77" i="8"/>
  <c r="G77" i="8"/>
  <c r="F77" i="8"/>
  <c r="E77" i="8"/>
  <c r="K76" i="8"/>
  <c r="J76" i="8"/>
  <c r="I76" i="8"/>
  <c r="H76" i="8"/>
  <c r="G76" i="8"/>
  <c r="F76" i="8"/>
  <c r="E76" i="8"/>
  <c r="K75" i="8"/>
  <c r="J75" i="8"/>
  <c r="I75" i="8"/>
  <c r="H75" i="8"/>
  <c r="G75" i="8"/>
  <c r="F75" i="8"/>
  <c r="E75" i="8"/>
  <c r="K74" i="8"/>
  <c r="J74" i="8"/>
  <c r="I74" i="8"/>
  <c r="H74" i="8"/>
  <c r="G74" i="8"/>
  <c r="F74" i="8"/>
  <c r="E74" i="8"/>
  <c r="K73" i="8"/>
  <c r="J73" i="8"/>
  <c r="I73" i="8"/>
  <c r="H73" i="8"/>
  <c r="G73" i="8"/>
  <c r="F73" i="8"/>
  <c r="E73" i="8"/>
  <c r="K72" i="8"/>
  <c r="J72" i="8"/>
  <c r="I72" i="8"/>
  <c r="H72" i="8"/>
  <c r="G72" i="8"/>
  <c r="F72" i="8"/>
  <c r="E72" i="8"/>
  <c r="K71" i="8"/>
  <c r="J71" i="8"/>
  <c r="I71" i="8"/>
  <c r="H71" i="8"/>
  <c r="G71" i="8"/>
  <c r="F71" i="8"/>
  <c r="E71" i="8"/>
  <c r="K70" i="8"/>
  <c r="J70" i="8"/>
  <c r="I70" i="8"/>
  <c r="H70" i="8"/>
  <c r="G70" i="8"/>
  <c r="F70" i="8"/>
  <c r="E70" i="8"/>
  <c r="K69" i="8"/>
  <c r="J69" i="8"/>
  <c r="I69" i="8"/>
  <c r="H69" i="8"/>
  <c r="G69" i="8"/>
  <c r="F69" i="8"/>
  <c r="E69" i="8"/>
  <c r="K68" i="8"/>
  <c r="J68" i="8"/>
  <c r="I68" i="8"/>
  <c r="H68" i="8"/>
  <c r="G68" i="8"/>
  <c r="F68" i="8"/>
  <c r="E68" i="8"/>
  <c r="K67" i="8"/>
  <c r="J67" i="8"/>
  <c r="I67" i="8"/>
  <c r="H67" i="8"/>
  <c r="G67" i="8"/>
  <c r="F67" i="8"/>
  <c r="E67" i="8"/>
  <c r="K66" i="8"/>
  <c r="J66" i="8"/>
  <c r="I66" i="8"/>
  <c r="H66" i="8"/>
  <c r="G66" i="8"/>
  <c r="F66" i="8"/>
  <c r="E66" i="8"/>
  <c r="K65" i="8"/>
  <c r="J65" i="8"/>
  <c r="I65" i="8"/>
  <c r="H65" i="8"/>
  <c r="G65" i="8"/>
  <c r="F65" i="8"/>
  <c r="E65" i="8"/>
  <c r="K64" i="8"/>
  <c r="J64" i="8"/>
  <c r="I64" i="8"/>
  <c r="H64" i="8"/>
  <c r="G64" i="8"/>
  <c r="F64" i="8"/>
  <c r="E64" i="8"/>
  <c r="K63" i="8"/>
  <c r="J63" i="8"/>
  <c r="I63" i="8"/>
  <c r="H63" i="8"/>
  <c r="G63" i="8"/>
  <c r="F63" i="8"/>
  <c r="E63" i="8"/>
  <c r="K62" i="8"/>
  <c r="J62" i="8"/>
  <c r="I62" i="8"/>
  <c r="H62" i="8"/>
  <c r="G62" i="8"/>
  <c r="F62" i="8"/>
  <c r="E62" i="8"/>
  <c r="K61" i="8"/>
  <c r="J61" i="8"/>
  <c r="I61" i="8"/>
  <c r="H61" i="8"/>
  <c r="G61" i="8"/>
  <c r="F61" i="8"/>
  <c r="E61" i="8"/>
  <c r="K60" i="8"/>
  <c r="J60" i="8"/>
  <c r="I60" i="8"/>
  <c r="H60" i="8"/>
  <c r="G60" i="8"/>
  <c r="F60" i="8"/>
  <c r="E60" i="8"/>
  <c r="K59" i="8"/>
  <c r="J59" i="8"/>
  <c r="I59" i="8"/>
  <c r="H59" i="8"/>
  <c r="G59" i="8"/>
  <c r="F59" i="8"/>
  <c r="E59" i="8"/>
  <c r="K58" i="8"/>
  <c r="J58" i="8"/>
  <c r="I58" i="8"/>
  <c r="H58" i="8"/>
  <c r="G58" i="8"/>
  <c r="F58" i="8"/>
  <c r="E58" i="8"/>
  <c r="K57" i="8"/>
  <c r="J57" i="8"/>
  <c r="I57" i="8"/>
  <c r="H57" i="8"/>
  <c r="G57" i="8"/>
  <c r="F57" i="8"/>
  <c r="E57" i="8"/>
  <c r="K56" i="8"/>
  <c r="J56" i="8"/>
  <c r="I56" i="8"/>
  <c r="H56" i="8"/>
  <c r="G56" i="8"/>
  <c r="F56" i="8"/>
  <c r="E56" i="8"/>
  <c r="K55" i="8"/>
  <c r="J55" i="8"/>
  <c r="I55" i="8"/>
  <c r="H55" i="8"/>
  <c r="G55" i="8"/>
  <c r="F55" i="8"/>
  <c r="E55" i="8"/>
  <c r="K54" i="8"/>
  <c r="J54" i="8"/>
  <c r="I54" i="8"/>
  <c r="H54" i="8"/>
  <c r="G54" i="8"/>
  <c r="F54" i="8"/>
  <c r="E54" i="8"/>
  <c r="K53" i="8"/>
  <c r="J53" i="8"/>
  <c r="I53" i="8"/>
  <c r="H53" i="8"/>
  <c r="G53" i="8"/>
  <c r="F53" i="8"/>
  <c r="E53" i="8"/>
  <c r="K52" i="8"/>
  <c r="J52" i="8"/>
  <c r="I52" i="8"/>
  <c r="H52" i="8"/>
  <c r="G52" i="8"/>
  <c r="F52" i="8"/>
  <c r="E52" i="8"/>
  <c r="K51" i="8"/>
  <c r="J51" i="8"/>
  <c r="I51" i="8"/>
  <c r="H51" i="8"/>
  <c r="G51" i="8"/>
  <c r="F51" i="8"/>
  <c r="E51" i="8"/>
  <c r="K50" i="8"/>
  <c r="J50" i="8"/>
  <c r="I50" i="8"/>
  <c r="H50" i="8"/>
  <c r="G50" i="8"/>
  <c r="F50" i="8"/>
  <c r="E50" i="8"/>
  <c r="K49" i="8"/>
  <c r="J49" i="8"/>
  <c r="I49" i="8"/>
  <c r="H49" i="8"/>
  <c r="G49" i="8"/>
  <c r="F49" i="8"/>
  <c r="E49" i="8"/>
  <c r="K48" i="8"/>
  <c r="J48" i="8"/>
  <c r="I48" i="8"/>
  <c r="H48" i="8"/>
  <c r="G48" i="8"/>
  <c r="F48" i="8"/>
  <c r="E48" i="8"/>
  <c r="K47" i="8"/>
  <c r="J47" i="8"/>
  <c r="I47" i="8"/>
  <c r="H47" i="8"/>
  <c r="G47" i="8"/>
  <c r="F47" i="8"/>
  <c r="E47" i="8"/>
  <c r="K46" i="8"/>
  <c r="J46" i="8"/>
  <c r="I46" i="8"/>
  <c r="H46" i="8"/>
  <c r="G46" i="8"/>
  <c r="F46" i="8"/>
  <c r="E46" i="8"/>
  <c r="K45" i="8"/>
  <c r="J45" i="8"/>
  <c r="I45" i="8"/>
  <c r="H45" i="8"/>
  <c r="G45" i="8"/>
  <c r="F45" i="8"/>
  <c r="E45" i="8"/>
  <c r="K44" i="8"/>
  <c r="J44" i="8"/>
  <c r="I44" i="8"/>
  <c r="H44" i="8"/>
  <c r="G44" i="8"/>
  <c r="F44" i="8"/>
  <c r="E44" i="8"/>
  <c r="K43" i="8"/>
  <c r="J43" i="8"/>
  <c r="I43" i="8"/>
  <c r="H43" i="8"/>
  <c r="G43" i="8"/>
  <c r="F43" i="8"/>
  <c r="E43" i="8"/>
  <c r="K42" i="8"/>
  <c r="J42" i="8"/>
  <c r="I42" i="8"/>
  <c r="H42" i="8"/>
  <c r="G42" i="8"/>
  <c r="F42" i="8"/>
  <c r="E42" i="8"/>
  <c r="K41" i="8"/>
  <c r="J41" i="8"/>
  <c r="I41" i="8"/>
  <c r="H41" i="8"/>
  <c r="G41" i="8"/>
  <c r="F41" i="8"/>
  <c r="E41" i="8"/>
  <c r="K40" i="8"/>
  <c r="J40" i="8"/>
  <c r="I40" i="8"/>
  <c r="H40" i="8"/>
  <c r="G40" i="8"/>
  <c r="F40" i="8"/>
  <c r="E40" i="8"/>
  <c r="K39" i="8"/>
  <c r="J39" i="8"/>
  <c r="I39" i="8"/>
  <c r="H39" i="8"/>
  <c r="G39" i="8"/>
  <c r="F39" i="8"/>
  <c r="E39" i="8"/>
  <c r="K38" i="8"/>
  <c r="J38" i="8"/>
  <c r="I38" i="8"/>
  <c r="H38" i="8"/>
  <c r="G38" i="8"/>
  <c r="F38" i="8"/>
  <c r="E38" i="8"/>
  <c r="K37" i="8"/>
  <c r="J37" i="8"/>
  <c r="I37" i="8"/>
  <c r="H37" i="8"/>
  <c r="G37" i="8"/>
  <c r="F37" i="8"/>
  <c r="E37" i="8"/>
  <c r="K36" i="8"/>
  <c r="J36" i="8"/>
  <c r="I36" i="8"/>
  <c r="H36" i="8"/>
  <c r="G36" i="8"/>
  <c r="F36" i="8"/>
  <c r="E36" i="8"/>
  <c r="K35" i="8"/>
  <c r="J35" i="8"/>
  <c r="I35" i="8"/>
  <c r="H35" i="8"/>
  <c r="G35" i="8"/>
  <c r="F35" i="8"/>
  <c r="E35" i="8"/>
  <c r="K34" i="8"/>
  <c r="J34" i="8"/>
  <c r="I34" i="8"/>
  <c r="H34" i="8"/>
  <c r="G34" i="8"/>
  <c r="F34" i="8"/>
  <c r="E34" i="8"/>
  <c r="K33" i="8"/>
  <c r="J33" i="8"/>
  <c r="I33" i="8"/>
  <c r="H33" i="8"/>
  <c r="G33" i="8"/>
  <c r="F33" i="8"/>
  <c r="E33" i="8"/>
  <c r="K32" i="8"/>
  <c r="J32" i="8"/>
  <c r="I32" i="8"/>
  <c r="H32" i="8"/>
  <c r="G32" i="8"/>
  <c r="F32" i="8"/>
  <c r="E32" i="8"/>
  <c r="K31" i="8"/>
  <c r="J31" i="8"/>
  <c r="I31" i="8"/>
  <c r="H31" i="8"/>
  <c r="G31" i="8"/>
  <c r="F31" i="8"/>
  <c r="E31" i="8"/>
  <c r="K30" i="8"/>
  <c r="J30" i="8"/>
  <c r="I30" i="8"/>
  <c r="H30" i="8"/>
  <c r="G30" i="8"/>
  <c r="F30" i="8"/>
  <c r="E30" i="8"/>
  <c r="K29" i="8"/>
  <c r="J29" i="8"/>
  <c r="I29" i="8"/>
  <c r="H29" i="8"/>
  <c r="G29" i="8"/>
  <c r="F29" i="8"/>
  <c r="E29" i="8"/>
  <c r="K28" i="8"/>
  <c r="J28" i="8"/>
  <c r="I28" i="8"/>
  <c r="H28" i="8"/>
  <c r="G28" i="8"/>
  <c r="F28" i="8"/>
  <c r="E28" i="8"/>
  <c r="K27" i="8"/>
  <c r="J27" i="8"/>
  <c r="I27" i="8"/>
  <c r="H27" i="8"/>
  <c r="G27" i="8"/>
  <c r="F27" i="8"/>
  <c r="E27" i="8"/>
  <c r="K26" i="8"/>
  <c r="J26" i="8"/>
  <c r="I26" i="8"/>
  <c r="H26" i="8"/>
  <c r="G26" i="8"/>
  <c r="F26" i="8"/>
  <c r="E26" i="8"/>
  <c r="K25" i="8"/>
  <c r="J25" i="8"/>
  <c r="I25" i="8"/>
  <c r="H25" i="8"/>
  <c r="G25" i="8"/>
  <c r="F25" i="8"/>
  <c r="E25" i="8"/>
  <c r="K24" i="8"/>
  <c r="J24" i="8"/>
  <c r="I24" i="8"/>
  <c r="H24" i="8"/>
  <c r="G24" i="8"/>
  <c r="F24" i="8"/>
  <c r="E24" i="8"/>
  <c r="K23" i="8"/>
  <c r="J23" i="8"/>
  <c r="I23" i="8"/>
  <c r="H23" i="8"/>
  <c r="G23" i="8"/>
  <c r="F23" i="8"/>
  <c r="E23" i="8"/>
  <c r="K22" i="8"/>
  <c r="J22" i="8"/>
  <c r="I22" i="8"/>
  <c r="H22" i="8"/>
  <c r="G22" i="8"/>
  <c r="F22" i="8"/>
  <c r="E22" i="8"/>
  <c r="K21" i="8"/>
  <c r="J21" i="8"/>
  <c r="I21" i="8"/>
  <c r="H21" i="8"/>
  <c r="G21" i="8"/>
  <c r="F21" i="8"/>
  <c r="E21" i="8"/>
  <c r="C21" i="8"/>
  <c r="C16" i="8"/>
  <c r="C15" i="8"/>
  <c r="C14" i="8"/>
  <c r="C13" i="8"/>
  <c r="C12" i="8"/>
  <c r="C11" i="8"/>
  <c r="C10" i="8"/>
  <c r="B16" i="8"/>
  <c r="B15" i="8"/>
  <c r="B14" i="8"/>
  <c r="B13" i="8"/>
  <c r="B12" i="8"/>
  <c r="B11" i="8"/>
  <c r="B10" i="8"/>
  <c r="D2" i="8"/>
  <c r="E2" i="8" s="1"/>
  <c r="D5" i="8"/>
  <c r="E5" i="8" s="1"/>
  <c r="D4" i="8"/>
  <c r="E4" i="8" s="1"/>
  <c r="D3" i="8"/>
  <c r="E3" i="8" s="1"/>
  <c r="D7" i="8"/>
  <c r="E7" i="8" s="1"/>
  <c r="D6" i="8"/>
  <c r="E6" i="8" s="1"/>
  <c r="C2" i="8"/>
  <c r="C5" i="8"/>
  <c r="C4" i="8"/>
  <c r="C3" i="8"/>
  <c r="C7" i="8"/>
  <c r="C6" i="8"/>
  <c r="D49" i="7"/>
  <c r="D50" i="7"/>
  <c r="D51" i="7"/>
  <c r="D52" i="7"/>
  <c r="D53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E2" i="2"/>
  <c r="E3" i="2"/>
  <c r="E4" i="2"/>
  <c r="E5" i="2"/>
  <c r="E6" i="2"/>
  <c r="E7" i="2"/>
  <c r="E8" i="2"/>
  <c r="E9" i="2"/>
  <c r="E10" i="2"/>
  <c r="E11" i="2"/>
  <c r="E12" i="2"/>
  <c r="E13" i="2"/>
  <c r="C4" i="5"/>
  <c r="C5" i="5" s="1"/>
  <c r="C6" i="5" s="1"/>
  <c r="C7" i="5" s="1"/>
  <c r="C8" i="5" s="1"/>
  <c r="C3" i="5"/>
  <c r="J31" i="1"/>
  <c r="K31" i="1" s="1"/>
  <c r="I31" i="1" s="1"/>
  <c r="A31" i="1" s="1"/>
  <c r="J32" i="1"/>
  <c r="K32" i="1" s="1"/>
  <c r="I32" i="1" s="1"/>
  <c r="A32" i="1" s="1"/>
  <c r="J4" i="1"/>
  <c r="K4" i="1" s="1"/>
  <c r="I4" i="1" s="1"/>
  <c r="A4" i="1" s="1"/>
  <c r="J3" i="1"/>
  <c r="K3" i="1" s="1"/>
  <c r="I3" i="1" s="1"/>
  <c r="A3" i="1" s="1"/>
  <c r="L24" i="8" l="1"/>
  <c r="L40" i="8"/>
  <c r="L45" i="8"/>
  <c r="L36" i="8"/>
  <c r="L68" i="8"/>
  <c r="L29" i="8"/>
  <c r="L61" i="8"/>
  <c r="L77" i="8"/>
  <c r="A6" i="6"/>
  <c r="Y36" i="6"/>
  <c r="Y68" i="6"/>
  <c r="Y84" i="6"/>
  <c r="Y42" i="6"/>
  <c r="Y45" i="6"/>
  <c r="Y90" i="6"/>
  <c r="Y39" i="6"/>
  <c r="Y71" i="6"/>
  <c r="Y77" i="6"/>
  <c r="Y87" i="6"/>
  <c r="Y29" i="6"/>
  <c r="Y17" i="6"/>
  <c r="Y65" i="6"/>
  <c r="Y5" i="6"/>
  <c r="Y14" i="6"/>
  <c r="Y46" i="6"/>
  <c r="Y62" i="6"/>
  <c r="Y51" i="6"/>
  <c r="Y21" i="6"/>
  <c r="Y27" i="6"/>
  <c r="Y37" i="6"/>
  <c r="Y53" i="6"/>
  <c r="Y69" i="6"/>
  <c r="Y32" i="6"/>
  <c r="Y86" i="6"/>
  <c r="Y33" i="6"/>
  <c r="Y58" i="6"/>
  <c r="Y67" i="6"/>
  <c r="Y11" i="6"/>
  <c r="Y30" i="6"/>
  <c r="Y48" i="6"/>
  <c r="Y52" i="6"/>
  <c r="Y55" i="6"/>
  <c r="Y49" i="6"/>
  <c r="Y74" i="6"/>
  <c r="Y83" i="6"/>
  <c r="Y24" i="6"/>
  <c r="Y81" i="6"/>
  <c r="Y25" i="6"/>
  <c r="Y50" i="6"/>
  <c r="Y59" i="6"/>
  <c r="Y78" i="6"/>
  <c r="Y19" i="6"/>
  <c r="Y38" i="6"/>
  <c r="Y56" i="6"/>
  <c r="Y60" i="6"/>
  <c r="Y63" i="6"/>
  <c r="Y4" i="6"/>
  <c r="Y7" i="6"/>
  <c r="Y57" i="6"/>
  <c r="Y82" i="6"/>
  <c r="Y91" i="6"/>
  <c r="Y80" i="6"/>
  <c r="Y3" i="6"/>
  <c r="Y75" i="6"/>
  <c r="Y85" i="6"/>
  <c r="L36" i="6"/>
  <c r="Y26" i="6"/>
  <c r="Y35" i="6"/>
  <c r="Y54" i="6"/>
  <c r="Y72" i="6"/>
  <c r="Y76" i="6"/>
  <c r="Y79" i="6"/>
  <c r="Y64" i="6"/>
  <c r="Y8" i="6"/>
  <c r="Y43" i="6"/>
  <c r="Y40" i="6"/>
  <c r="Y10" i="6"/>
  <c r="Y16" i="6"/>
  <c r="Y20" i="6"/>
  <c r="Y23" i="6"/>
  <c r="Y73" i="6"/>
  <c r="Y88" i="6"/>
  <c r="L72" i="8"/>
  <c r="L31" i="8"/>
  <c r="L47" i="8"/>
  <c r="L63" i="8"/>
  <c r="L22" i="8"/>
  <c r="L38" i="8"/>
  <c r="L70" i="8"/>
  <c r="L33" i="8"/>
  <c r="L49" i="8"/>
  <c r="L65" i="8"/>
  <c r="G79" i="8"/>
  <c r="L35" i="8"/>
  <c r="L67" i="8"/>
  <c r="L26" i="8"/>
  <c r="L42" i="8"/>
  <c r="L58" i="8"/>
  <c r="L74" i="8"/>
  <c r="E83" i="8"/>
  <c r="E84" i="8"/>
  <c r="D83" i="8"/>
  <c r="L10" i="6"/>
  <c r="L37" i="6"/>
  <c r="L4" i="6"/>
  <c r="L12" i="6"/>
  <c r="L20" i="6"/>
  <c r="L28" i="6"/>
  <c r="L13" i="6"/>
  <c r="L29" i="6"/>
  <c r="L30" i="6"/>
  <c r="L32" i="6"/>
  <c r="L15" i="6"/>
  <c r="L16" i="6"/>
  <c r="L14" i="6"/>
  <c r="L31" i="6"/>
  <c r="L17" i="6"/>
  <c r="L33" i="6"/>
  <c r="L18" i="6"/>
  <c r="L34" i="6"/>
  <c r="L3" i="6"/>
  <c r="L19" i="6"/>
  <c r="L35" i="6"/>
  <c r="L5" i="6"/>
  <c r="L21" i="6"/>
  <c r="L6" i="6"/>
  <c r="L7" i="6"/>
  <c r="L23" i="6"/>
  <c r="L26" i="6"/>
  <c r="L22" i="6"/>
  <c r="L8" i="6"/>
  <c r="L24" i="6"/>
  <c r="L9" i="6"/>
  <c r="L25" i="6"/>
  <c r="L11" i="6"/>
  <c r="L27" i="6"/>
  <c r="L56" i="8"/>
  <c r="L51" i="8"/>
  <c r="L54" i="8"/>
  <c r="L52" i="8"/>
  <c r="I79" i="8"/>
  <c r="L27" i="8"/>
  <c r="L43" i="8"/>
  <c r="L59" i="8"/>
  <c r="L75" i="8"/>
  <c r="L25" i="8"/>
  <c r="J79" i="8"/>
  <c r="L57" i="8"/>
  <c r="L73" i="8"/>
  <c r="L23" i="8"/>
  <c r="L39" i="8"/>
  <c r="L55" i="8"/>
  <c r="L71" i="8"/>
  <c r="K79" i="8"/>
  <c r="H79" i="8"/>
  <c r="E79" i="8"/>
  <c r="L30" i="8"/>
  <c r="L32" i="8"/>
  <c r="L34" i="8"/>
  <c r="L37" i="8"/>
  <c r="L46" i="8"/>
  <c r="L48" i="8"/>
  <c r="L50" i="8"/>
  <c r="L53" i="8"/>
  <c r="L62" i="8"/>
  <c r="L64" i="8"/>
  <c r="L66" i="8"/>
  <c r="L69" i="8"/>
  <c r="L78" i="8"/>
  <c r="L41" i="8"/>
  <c r="F79" i="8"/>
  <c r="L28" i="8"/>
  <c r="L44" i="8"/>
  <c r="L60" i="8"/>
  <c r="L76" i="8"/>
  <c r="L21" i="8"/>
  <c r="J22" i="1"/>
  <c r="K22" i="1" s="1"/>
  <c r="J29" i="1"/>
  <c r="K29" i="1" s="1"/>
  <c r="J20" i="1"/>
  <c r="K20" i="1" s="1"/>
  <c r="I20" i="1" s="1"/>
  <c r="A20" i="1" s="1"/>
  <c r="J27" i="1"/>
  <c r="K27" i="1" s="1"/>
  <c r="J16" i="1"/>
  <c r="K16" i="1" s="1"/>
  <c r="I16" i="1" s="1"/>
  <c r="J9" i="1"/>
  <c r="K9" i="1" s="1"/>
  <c r="A16" i="1"/>
  <c r="J13" i="1"/>
  <c r="K13" i="1" s="1"/>
  <c r="J25" i="1"/>
  <c r="K25" i="1" s="1"/>
  <c r="I25" i="1" s="1"/>
  <c r="A25" i="1" s="1"/>
  <c r="J23" i="1"/>
  <c r="K23" i="1" s="1"/>
  <c r="J7" i="1"/>
  <c r="K7" i="1" s="1"/>
  <c r="J15" i="1"/>
  <c r="K15" i="1" s="1"/>
  <c r="I15" i="1" s="1"/>
  <c r="A15" i="1" s="1"/>
  <c r="J6" i="1"/>
  <c r="K6" i="1" s="1"/>
  <c r="I6" i="1" s="1"/>
  <c r="A6" i="1" s="1"/>
  <c r="J24" i="1"/>
  <c r="K24" i="1" s="1"/>
  <c r="J8" i="1"/>
  <c r="K8" i="1" s="1"/>
  <c r="J17" i="1"/>
  <c r="K17" i="1" s="1"/>
  <c r="J26" i="1"/>
  <c r="K26" i="1" s="1"/>
  <c r="J19" i="1"/>
  <c r="K19" i="1" s="1"/>
  <c r="J10" i="1"/>
  <c r="K10" i="1" s="1"/>
  <c r="J11" i="1"/>
  <c r="K11" i="1" s="1"/>
  <c r="J18" i="1"/>
  <c r="K18" i="1" s="1"/>
  <c r="J30" i="1"/>
  <c r="K30" i="1" s="1"/>
  <c r="J28" i="1"/>
  <c r="K28" i="1" s="1"/>
  <c r="I28" i="1" s="1"/>
  <c r="A28" i="1" s="1"/>
  <c r="J14" i="1"/>
  <c r="K14" i="1" s="1"/>
  <c r="J12" i="1"/>
  <c r="K12" i="1" s="1"/>
  <c r="J21" i="1"/>
  <c r="K21" i="1" s="1"/>
  <c r="I21" i="1" s="1"/>
  <c r="A21" i="1"/>
  <c r="J5" i="1"/>
  <c r="K5" i="1" s="1"/>
  <c r="A7" i="6" l="1"/>
  <c r="F3" i="7"/>
  <c r="H3" i="7" s="1"/>
  <c r="I23" i="1"/>
  <c r="A23" i="1" s="1"/>
  <c r="I13" i="1"/>
  <c r="A13" i="1" s="1"/>
  <c r="I18" i="1"/>
  <c r="A18" i="1" s="1"/>
  <c r="I26" i="1"/>
  <c r="A26" i="1" s="1"/>
  <c r="I12" i="1"/>
  <c r="A12" i="1" s="1"/>
  <c r="I10" i="1"/>
  <c r="A10" i="1" s="1"/>
  <c r="I17" i="1"/>
  <c r="A17" i="1" s="1"/>
  <c r="I14" i="1"/>
  <c r="A14" i="1" s="1"/>
  <c r="I30" i="1"/>
  <c r="A30" i="1" s="1"/>
  <c r="I11" i="1"/>
  <c r="A11" i="1" s="1"/>
  <c r="I19" i="1"/>
  <c r="A19" i="1" s="1"/>
  <c r="I8" i="1"/>
  <c r="A8" i="1" s="1"/>
  <c r="I24" i="1"/>
  <c r="A24" i="1" s="1"/>
  <c r="I29" i="1"/>
  <c r="A29" i="1" s="1"/>
  <c r="I7" i="1"/>
  <c r="A7" i="1" s="1"/>
  <c r="I9" i="1"/>
  <c r="A9" i="1" s="1"/>
  <c r="I27" i="1"/>
  <c r="A27" i="1" s="1"/>
  <c r="I5" i="1"/>
  <c r="A5" i="1" s="1"/>
  <c r="I22" i="1"/>
  <c r="A22" i="1" s="1"/>
  <c r="A8" i="6" l="1"/>
  <c r="E3" i="7"/>
  <c r="G3" i="7" s="1"/>
  <c r="A9" i="6" l="1"/>
  <c r="F6" i="7"/>
  <c r="H6" i="7" s="1"/>
  <c r="A10" i="6" l="1"/>
  <c r="E6" i="7"/>
  <c r="G6" i="7" s="1"/>
  <c r="A11" i="6" l="1"/>
  <c r="G6" i="8"/>
  <c r="F6" i="8"/>
  <c r="E5" i="7"/>
  <c r="G5" i="7" s="1"/>
  <c r="E7" i="7"/>
  <c r="G7" i="7" s="1"/>
  <c r="E8" i="7"/>
  <c r="G8" i="7" s="1"/>
  <c r="F2" i="7"/>
  <c r="H2" i="7" s="1"/>
  <c r="F5" i="7"/>
  <c r="H5" i="7" s="1"/>
  <c r="F7" i="7"/>
  <c r="H7" i="7" s="1"/>
  <c r="E4" i="7"/>
  <c r="G4" i="7" s="1"/>
  <c r="F4" i="7"/>
  <c r="H4" i="7" s="1"/>
  <c r="F8" i="7"/>
  <c r="H8" i="7" s="1"/>
  <c r="E2" i="7"/>
  <c r="G2" i="7" s="1"/>
  <c r="H6" i="8" a="1"/>
  <c r="H6" i="8" s="1"/>
  <c r="A12" i="6" l="1"/>
  <c r="A13" i="6" l="1"/>
  <c r="E12" i="7"/>
  <c r="G12" i="7" s="1"/>
  <c r="E9" i="7"/>
  <c r="G9" i="7" s="1"/>
  <c r="F9" i="7"/>
  <c r="H9" i="7" s="1"/>
  <c r="A14" i="6" l="1"/>
  <c r="A15" i="6" l="1"/>
  <c r="A16" i="6" l="1"/>
  <c r="A17" i="6" l="1"/>
  <c r="E14" i="7"/>
  <c r="G14" i="7" s="1"/>
  <c r="F14" i="7"/>
  <c r="H14" i="7" s="1"/>
  <c r="A18" i="6" l="1"/>
  <c r="A19" i="6" l="1"/>
  <c r="A20" i="6" l="1"/>
  <c r="A21" i="6" l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E22" i="7"/>
  <c r="G22" i="7" s="1"/>
  <c r="F22" i="7"/>
  <c r="H22" i="7" s="1"/>
  <c r="A36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G7" i="8"/>
  <c r="G3" i="8"/>
  <c r="G5" i="8"/>
  <c r="G2" i="8"/>
  <c r="G4" i="8"/>
  <c r="F3" i="8"/>
  <c r="F7" i="8"/>
  <c r="F4" i="8"/>
  <c r="F2" i="8"/>
  <c r="F5" i="8"/>
  <c r="F17" i="7" l="1"/>
  <c r="H17" i="7" s="1"/>
  <c r="F10" i="7"/>
  <c r="H10" i="7" s="1"/>
  <c r="F35" i="7"/>
  <c r="H35" i="7" s="1"/>
  <c r="F34" i="7"/>
  <c r="H34" i="7" s="1"/>
  <c r="E15" i="7"/>
  <c r="G15" i="7" s="1"/>
  <c r="E31" i="7"/>
  <c r="G31" i="7" s="1"/>
  <c r="E13" i="7"/>
  <c r="G13" i="7" s="1"/>
  <c r="E30" i="7"/>
  <c r="G30" i="7" s="1"/>
  <c r="E53" i="7"/>
  <c r="G53" i="7" s="1"/>
  <c r="E18" i="7"/>
  <c r="G18" i="7" s="1"/>
  <c r="E10" i="7"/>
  <c r="G10" i="7" s="1"/>
  <c r="E33" i="7"/>
  <c r="G33" i="7" s="1"/>
  <c r="E48" i="7"/>
  <c r="G48" i="7" s="1"/>
  <c r="F29" i="7"/>
  <c r="H29" i="7" s="1"/>
  <c r="E29" i="7"/>
  <c r="G29" i="7" s="1"/>
  <c r="F13" i="7"/>
  <c r="H13" i="7" s="1"/>
  <c r="E11" i="7"/>
  <c r="G11" i="7" s="1"/>
  <c r="E37" i="7"/>
  <c r="G37" i="7" s="1"/>
  <c r="E24" i="7"/>
  <c r="G24" i="7" s="1"/>
  <c r="E34" i="7"/>
  <c r="G34" i="7" s="1"/>
  <c r="F27" i="7"/>
  <c r="H27" i="7" s="1"/>
  <c r="F12" i="7"/>
  <c r="H12" i="7" s="1"/>
  <c r="F11" i="7"/>
  <c r="H11" i="7" s="1"/>
  <c r="F37" i="7"/>
  <c r="H37" i="7" s="1"/>
  <c r="F46" i="7"/>
  <c r="H46" i="7" s="1"/>
  <c r="E21" i="7"/>
  <c r="G21" i="7" s="1"/>
  <c r="E35" i="7"/>
  <c r="G35" i="7" s="1"/>
  <c r="F31" i="7"/>
  <c r="H31" i="7" s="1"/>
  <c r="E16" i="7"/>
  <c r="G16" i="7" s="1"/>
  <c r="F44" i="7"/>
  <c r="H44" i="7" s="1"/>
  <c r="F42" i="7"/>
  <c r="H42" i="7" s="1"/>
  <c r="F43" i="7"/>
  <c r="H43" i="7" s="1"/>
  <c r="E27" i="7"/>
  <c r="G27" i="7" s="1"/>
  <c r="H4" i="8" a="1"/>
  <c r="H4" i="8" s="1"/>
  <c r="F15" i="7"/>
  <c r="H15" i="7" s="1"/>
  <c r="E28" i="7"/>
  <c r="G28" i="7" s="1"/>
  <c r="F24" i="7"/>
  <c r="H24" i="7" s="1"/>
  <c r="F16" i="7"/>
  <c r="H16" i="7" s="1"/>
  <c r="F19" i="7"/>
  <c r="H19" i="7" s="1"/>
  <c r="F28" i="7"/>
  <c r="H28" i="7" s="1"/>
  <c r="E32" i="7"/>
  <c r="G32" i="7" s="1"/>
  <c r="F32" i="7"/>
  <c r="H32" i="7" s="1"/>
  <c r="E25" i="7"/>
  <c r="G25" i="7" s="1"/>
  <c r="F30" i="7"/>
  <c r="H30" i="7" s="1"/>
  <c r="E42" i="7"/>
  <c r="G42" i="7" s="1"/>
  <c r="E43" i="7"/>
  <c r="G43" i="7" s="1"/>
  <c r="F25" i="7"/>
  <c r="H25" i="7" s="1"/>
  <c r="E20" i="7"/>
  <c r="G20" i="7" s="1"/>
  <c r="H7" i="8" a="1"/>
  <c r="H7" i="8" s="1"/>
  <c r="F21" i="7"/>
  <c r="H21" i="7" s="1"/>
  <c r="F20" i="7"/>
  <c r="H20" i="7" s="1"/>
  <c r="F23" i="7"/>
  <c r="H23" i="7" s="1"/>
  <c r="F18" i="7"/>
  <c r="H18" i="7" s="1"/>
  <c r="F33" i="7"/>
  <c r="H33" i="7" s="1"/>
  <c r="H3" i="8" a="1"/>
  <c r="H3" i="8" s="1"/>
  <c r="F53" i="7"/>
  <c r="H53" i="7" s="1"/>
  <c r="E17" i="7"/>
  <c r="G17" i="7" s="1"/>
  <c r="F45" i="7"/>
  <c r="H45" i="7" s="1"/>
  <c r="E26" i="7"/>
  <c r="G26" i="7" s="1"/>
  <c r="E46" i="7"/>
  <c r="G46" i="7" s="1"/>
  <c r="E23" i="7"/>
  <c r="G23" i="7" s="1"/>
  <c r="E41" i="7"/>
  <c r="G41" i="7" s="1"/>
  <c r="F41" i="7"/>
  <c r="H41" i="7" s="1"/>
  <c r="E44" i="7"/>
  <c r="G44" i="7" s="1"/>
  <c r="F48" i="7"/>
  <c r="H48" i="7" s="1"/>
  <c r="E45" i="7"/>
  <c r="G45" i="7" s="1"/>
  <c r="E19" i="7"/>
  <c r="G19" i="7" s="1"/>
  <c r="F26" i="7"/>
  <c r="H26" i="7" s="1"/>
  <c r="H2" i="8" a="1"/>
  <c r="H2" i="8" s="1"/>
  <c r="F36" i="7"/>
  <c r="H36" i="7" s="1"/>
  <c r="F88" i="7"/>
  <c r="H88" i="7" s="1"/>
  <c r="F61" i="7"/>
  <c r="H61" i="7" s="1"/>
  <c r="E84" i="7"/>
  <c r="G84" i="7" s="1"/>
  <c r="E54" i="7"/>
  <c r="G54" i="7" s="1"/>
  <c r="E39" i="7"/>
  <c r="G39" i="7" s="1"/>
  <c r="F92" i="7"/>
  <c r="H92" i="7" s="1"/>
  <c r="E80" i="7"/>
  <c r="G80" i="7" s="1"/>
  <c r="E79" i="7"/>
  <c r="G79" i="7" s="1"/>
  <c r="F80" i="7"/>
  <c r="H80" i="7" s="1"/>
  <c r="F55" i="7"/>
  <c r="H55" i="7" s="1"/>
  <c r="F57" i="7"/>
  <c r="H57" i="7" s="1"/>
  <c r="F75" i="7"/>
  <c r="H75" i="7" s="1"/>
  <c r="F67" i="7"/>
  <c r="H67" i="7" s="1"/>
  <c r="E58" i="7"/>
  <c r="G58" i="7" s="1"/>
  <c r="F65" i="7"/>
  <c r="H65" i="7" s="1"/>
  <c r="E77" i="7"/>
  <c r="G77" i="7" s="1"/>
  <c r="E65" i="7"/>
  <c r="G65" i="7" s="1"/>
  <c r="E82" i="7"/>
  <c r="G82" i="7" s="1"/>
  <c r="F82" i="7"/>
  <c r="H82" i="7" s="1"/>
  <c r="F59" i="7"/>
  <c r="H59" i="7" s="1"/>
  <c r="F51" i="7"/>
  <c r="H51" i="7" s="1"/>
  <c r="E78" i="7"/>
  <c r="G78" i="7" s="1"/>
  <c r="F81" i="7"/>
  <c r="H81" i="7" s="1"/>
  <c r="E87" i="7"/>
  <c r="G87" i="7" s="1"/>
  <c r="E92" i="7"/>
  <c r="G92" i="7" s="1"/>
  <c r="E93" i="7"/>
  <c r="G93" i="7" s="1"/>
  <c r="E89" i="7"/>
  <c r="G89" i="7" s="1"/>
  <c r="E72" i="7"/>
  <c r="G72" i="7" s="1"/>
  <c r="F70" i="7"/>
  <c r="H70" i="7" s="1"/>
  <c r="F77" i="7"/>
  <c r="H77" i="7" s="1"/>
  <c r="F72" i="7"/>
  <c r="H72" i="7" s="1"/>
  <c r="F39" i="7"/>
  <c r="H39" i="7" s="1"/>
  <c r="F56" i="7"/>
  <c r="H56" i="7" s="1"/>
  <c r="F93" i="7"/>
  <c r="H93" i="7" s="1"/>
  <c r="E94" i="7"/>
  <c r="G94" i="7" s="1"/>
  <c r="F52" i="7"/>
  <c r="H52" i="7" s="1"/>
  <c r="E52" i="7"/>
  <c r="G52" i="7" s="1"/>
  <c r="E63" i="7"/>
  <c r="G63" i="7" s="1"/>
  <c r="E90" i="7"/>
  <c r="G90" i="7" s="1"/>
  <c r="F62" i="7"/>
  <c r="H62" i="7" s="1"/>
  <c r="E85" i="7"/>
  <c r="G85" i="7" s="1"/>
  <c r="E88" i="7"/>
  <c r="G88" i="7" s="1"/>
  <c r="F89" i="7"/>
  <c r="H89" i="7" s="1"/>
  <c r="E86" i="7"/>
  <c r="G86" i="7" s="1"/>
  <c r="F74" i="7"/>
  <c r="H74" i="7" s="1"/>
  <c r="F38" i="7"/>
  <c r="H38" i="7" s="1"/>
  <c r="E73" i="7"/>
  <c r="G73" i="7" s="1"/>
  <c r="E55" i="7"/>
  <c r="G55" i="7" s="1"/>
  <c r="E56" i="7"/>
  <c r="G56" i="7" s="1"/>
  <c r="E83" i="7"/>
  <c r="G83" i="7" s="1"/>
  <c r="F79" i="7"/>
  <c r="H79" i="7" s="1"/>
  <c r="E71" i="7"/>
  <c r="G71" i="7" s="1"/>
  <c r="E50" i="7"/>
  <c r="G50" i="7" s="1"/>
  <c r="F68" i="7"/>
  <c r="H68" i="7" s="1"/>
  <c r="E36" i="7"/>
  <c r="G36" i="7" s="1"/>
  <c r="H5" i="8" a="1"/>
  <c r="H5" i="8" s="1"/>
  <c r="E81" i="7"/>
  <c r="G81" i="7" s="1"/>
  <c r="F69" i="7"/>
  <c r="H69" i="7" s="1"/>
  <c r="F40" i="7"/>
  <c r="H40" i="7" s="1"/>
  <c r="E69" i="7"/>
  <c r="G69" i="7" s="1"/>
  <c r="E66" i="7"/>
  <c r="G66" i="7" s="1"/>
  <c r="E68" i="7"/>
  <c r="G68" i="7" s="1"/>
  <c r="F84" i="7"/>
  <c r="H84" i="7" s="1"/>
  <c r="F78" i="7"/>
  <c r="H78" i="7" s="1"/>
  <c r="F91" i="7"/>
  <c r="H91" i="7" s="1"/>
  <c r="E40" i="7"/>
  <c r="G40" i="7" s="1"/>
  <c r="F66" i="7"/>
  <c r="H66" i="7" s="1"/>
  <c r="E67" i="7"/>
  <c r="G67" i="7" s="1"/>
  <c r="F73" i="7"/>
  <c r="H73" i="7" s="1"/>
  <c r="F63" i="7"/>
  <c r="H63" i="7" s="1"/>
  <c r="E62" i="7"/>
  <c r="G62" i="7" s="1"/>
  <c r="F49" i="7"/>
  <c r="H49" i="7" s="1"/>
  <c r="E57" i="7"/>
  <c r="G57" i="7" s="1"/>
  <c r="E91" i="7"/>
  <c r="G91" i="7" s="1"/>
  <c r="F85" i="7"/>
  <c r="H85" i="7" s="1"/>
  <c r="F64" i="7"/>
  <c r="H64" i="7" s="1"/>
  <c r="F47" i="7"/>
  <c r="H47" i="7" s="1"/>
  <c r="F50" i="7"/>
  <c r="H50" i="7" s="1"/>
  <c r="E74" i="7"/>
  <c r="G74" i="7" s="1"/>
  <c r="F87" i="7"/>
  <c r="H87" i="7" s="1"/>
  <c r="F60" i="7"/>
  <c r="H60" i="7" s="1"/>
  <c r="F90" i="7"/>
  <c r="H90" i="7" s="1"/>
  <c r="E49" i="7"/>
  <c r="G49" i="7" s="1"/>
  <c r="E76" i="7"/>
  <c r="G76" i="7" s="1"/>
  <c r="F94" i="7"/>
  <c r="H94" i="7" s="1"/>
  <c r="E38" i="7"/>
  <c r="G38" i="7" s="1"/>
  <c r="E59" i="7"/>
  <c r="G59" i="7" s="1"/>
  <c r="E51" i="7"/>
  <c r="G51" i="7" s="1"/>
  <c r="E60" i="7"/>
  <c r="G60" i="7" s="1"/>
  <c r="F76" i="7"/>
  <c r="H76" i="7" s="1"/>
  <c r="E75" i="7"/>
  <c r="G75" i="7" s="1"/>
  <c r="E61" i="7"/>
  <c r="G61" i="7" s="1"/>
  <c r="E64" i="7"/>
  <c r="G64" i="7" s="1"/>
  <c r="F71" i="7"/>
  <c r="H71" i="7" s="1"/>
  <c r="F54" i="7"/>
  <c r="H54" i="7" s="1"/>
  <c r="F86" i="7"/>
  <c r="H86" i="7" s="1"/>
  <c r="F58" i="7"/>
  <c r="H58" i="7" s="1"/>
  <c r="E47" i="7"/>
  <c r="G47" i="7" s="1"/>
  <c r="F83" i="7"/>
  <c r="H83" i="7" s="1"/>
  <c r="E70" i="7"/>
  <c r="G70" i="7" s="1"/>
  <c r="D11" i="8" l="1"/>
  <c r="D14" i="8"/>
  <c r="D12" i="8"/>
  <c r="D10" i="8"/>
  <c r="D13" i="8"/>
  <c r="D16" i="8"/>
  <c r="D1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<sst xmlns="http://schemas.openxmlformats.org/spreadsheetml/2006/main" count="1793" uniqueCount="448">
  <si>
    <t>Documento</t>
  </si>
  <si>
    <t>Verificador</t>
  </si>
  <si>
    <t>Alejandro Torres</t>
  </si>
  <si>
    <t>Beatriz Mendoza</t>
  </si>
  <si>
    <t>Camila Rodríguez</t>
  </si>
  <si>
    <t>Daniel Herrera</t>
  </si>
  <si>
    <t>Elena Jiménez</t>
  </si>
  <si>
    <t>Francisco Morales</t>
  </si>
  <si>
    <t>Gabriela Castro</t>
  </si>
  <si>
    <t>Héctor Vargas</t>
  </si>
  <si>
    <t>Inés Romero</t>
  </si>
  <si>
    <t>Jorge Salazar</t>
  </si>
  <si>
    <t>Karina Paredes</t>
  </si>
  <si>
    <t>Luis Ortega</t>
  </si>
  <si>
    <t>Nombre</t>
  </si>
  <si>
    <t>+598 91 234 567</t>
  </si>
  <si>
    <t>+598 92 345 678</t>
  </si>
  <si>
    <t>+598 93 456 789</t>
  </si>
  <si>
    <t>+598 94 567 890</t>
  </si>
  <si>
    <t>+598 96 789 012</t>
  </si>
  <si>
    <t>+598 97 890 123</t>
  </si>
  <si>
    <t>+598 98 901 234</t>
  </si>
  <si>
    <t>+598 99 012 345</t>
  </si>
  <si>
    <t>+598 2612 3456</t>
  </si>
  <si>
    <t>+598 2623 4567</t>
  </si>
  <si>
    <t>+598 2201 2345</t>
  </si>
  <si>
    <t>Telefono</t>
  </si>
  <si>
    <t>alejandro.torres@gmail.com</t>
  </si>
  <si>
    <t>beatriz.mendoza@hotmail.com</t>
  </si>
  <si>
    <t>camila.rodriguez@outlook.com</t>
  </si>
  <si>
    <t>daniel.herrera@gmail.com</t>
  </si>
  <si>
    <t>elena.jimenez@hotmail.com</t>
  </si>
  <si>
    <t>francisco.morales@outlook.com</t>
  </si>
  <si>
    <t>gabriela.castro@gmail.com</t>
  </si>
  <si>
    <t>ines.romero@outlook.com</t>
  </si>
  <si>
    <t>jorge.salazar@gmail.com</t>
  </si>
  <si>
    <t>luis.ortega@outlook.com</t>
  </si>
  <si>
    <t>Email</t>
  </si>
  <si>
    <t>Siames</t>
  </si>
  <si>
    <t>Persa</t>
  </si>
  <si>
    <t>Maine Coon</t>
  </si>
  <si>
    <t>Exótico</t>
  </si>
  <si>
    <t>Bengalí</t>
  </si>
  <si>
    <t>Mish</t>
  </si>
  <si>
    <t>Pelusa</t>
  </si>
  <si>
    <t>Luna</t>
  </si>
  <si>
    <t>Garfield</t>
  </si>
  <si>
    <t>Simba</t>
  </si>
  <si>
    <t>Raza</t>
  </si>
  <si>
    <t>Edad</t>
  </si>
  <si>
    <t>Peso</t>
  </si>
  <si>
    <t>Nala</t>
  </si>
  <si>
    <t>Oliver</t>
  </si>
  <si>
    <t>Felix</t>
  </si>
  <si>
    <t>Chloe</t>
  </si>
  <si>
    <t>Loki</t>
  </si>
  <si>
    <t>Milo</t>
  </si>
  <si>
    <t>Cleo</t>
  </si>
  <si>
    <t>Salem</t>
  </si>
  <si>
    <t>Toby</t>
  </si>
  <si>
    <t>Max</t>
  </si>
  <si>
    <t>Bella</t>
  </si>
  <si>
    <t>Oscar</t>
  </si>
  <si>
    <t>Ginger</t>
  </si>
  <si>
    <t>Maya</t>
  </si>
  <si>
    <t>Leo</t>
  </si>
  <si>
    <t>Missy</t>
  </si>
  <si>
    <t>Rocky</t>
  </si>
  <si>
    <t>Pepper</t>
  </si>
  <si>
    <t>Kitty</t>
  </si>
  <si>
    <t>Tom</t>
  </si>
  <si>
    <t>Nina</t>
  </si>
  <si>
    <t>Shadow</t>
  </si>
  <si>
    <t>Zoe</t>
  </si>
  <si>
    <t>Siberiano</t>
  </si>
  <si>
    <t>Esfinge</t>
  </si>
  <si>
    <t>Bombay</t>
  </si>
  <si>
    <t>Ragdoll</t>
  </si>
  <si>
    <t>Angora</t>
  </si>
  <si>
    <t>Birmano</t>
  </si>
  <si>
    <t>Scottish Fold</t>
  </si>
  <si>
    <t>Mestizo</t>
  </si>
  <si>
    <t>Somalí</t>
  </si>
  <si>
    <t>Abyssinian</t>
  </si>
  <si>
    <t>Cornish Rex</t>
  </si>
  <si>
    <t>Manx</t>
  </si>
  <si>
    <t>Oriental</t>
  </si>
  <si>
    <t>British Shorthair</t>
  </si>
  <si>
    <t>El Rascador</t>
  </si>
  <si>
    <t>La Almohada</t>
  </si>
  <si>
    <t>El Mirador</t>
  </si>
  <si>
    <t>La Cueva</t>
  </si>
  <si>
    <t>El Jardín</t>
  </si>
  <si>
    <t>El Solarium</t>
  </si>
  <si>
    <t>El Árbol</t>
  </si>
  <si>
    <t>La Estantería</t>
  </si>
  <si>
    <t>La Caja</t>
  </si>
  <si>
    <t>DISPONIBLE</t>
  </si>
  <si>
    <t>LLENA</t>
  </si>
  <si>
    <t>LIMPIANDO</t>
  </si>
  <si>
    <t>Capacidad</t>
  </si>
  <si>
    <t>Costo</t>
  </si>
  <si>
    <t>Estado</t>
  </si>
  <si>
    <t>CONTROL_PARASITOS</t>
  </si>
  <si>
    <t>REVISION_VETERINARIA</t>
  </si>
  <si>
    <t>PELUQUERIA</t>
  </si>
  <si>
    <t>BAÑO</t>
  </si>
  <si>
    <t>CORTE_DE_UNAS</t>
  </si>
  <si>
    <t>ALIMENTACION_ESPECIAL</t>
  </si>
  <si>
    <t>JUEGO_GUIADO</t>
  </si>
  <si>
    <t>Nombre Servicio</t>
  </si>
  <si>
    <t>Precio</t>
  </si>
  <si>
    <t>Propietario</t>
  </si>
  <si>
    <t>Columna1</t>
  </si>
  <si>
    <t>ID</t>
  </si>
  <si>
    <t>Yuna</t>
  </si>
  <si>
    <t>Alberto</t>
  </si>
  <si>
    <t>gatoID</t>
  </si>
  <si>
    <t xml:space="preserve"> habitacionNombre</t>
  </si>
  <si>
    <t xml:space="preserve"> reservaFechaInicio</t>
  </si>
  <si>
    <t xml:space="preserve"> reservaFechaFin</t>
  </si>
  <si>
    <t xml:space="preserve"> reservaMonto</t>
  </si>
  <si>
    <t>Numero</t>
  </si>
  <si>
    <t>ReservaID</t>
  </si>
  <si>
    <t>ServicioID</t>
  </si>
  <si>
    <t>Cantidad</t>
  </si>
  <si>
    <t>Días</t>
  </si>
  <si>
    <t>Rol</t>
  </si>
  <si>
    <t>Id</t>
  </si>
  <si>
    <t>Details</t>
  </si>
  <si>
    <t>Pasa</t>
  </si>
  <si>
    <t>Digitador</t>
  </si>
  <si>
    <t>No</t>
  </si>
  <si>
    <t>Admin</t>
  </si>
  <si>
    <t>GatoNombre</t>
  </si>
  <si>
    <t>DocProp</t>
  </si>
  <si>
    <t>NULL</t>
  </si>
  <si>
    <t>Darius</t>
  </si>
  <si>
    <t>Miau</t>
  </si>
  <si>
    <t xml:space="preserve">El Árbol                      </t>
  </si>
  <si>
    <t xml:space="preserve">El Jardín                     </t>
  </si>
  <si>
    <t xml:space="preserve">El Mirador                    </t>
  </si>
  <si>
    <t xml:space="preserve">El Rascador                   </t>
  </si>
  <si>
    <t xml:space="preserve">El Solarium                   </t>
  </si>
  <si>
    <t xml:space="preserve">La Almohada                   </t>
  </si>
  <si>
    <t xml:space="preserve">La Caja                       </t>
  </si>
  <si>
    <t xml:space="preserve">La Cueva                      </t>
  </si>
  <si>
    <t xml:space="preserve">La Estantería                 </t>
  </si>
  <si>
    <t>Inicio</t>
  </si>
  <si>
    <t>Fin</t>
  </si>
  <si>
    <t>PropietarioNombre</t>
  </si>
  <si>
    <t>HabitacionNombre</t>
  </si>
  <si>
    <t>ReservaMonto</t>
  </si>
  <si>
    <t>GatoID</t>
  </si>
  <si>
    <t>Servicio</t>
  </si>
  <si>
    <t>Cantidad total</t>
  </si>
  <si>
    <t>Cantidad anterior</t>
  </si>
  <si>
    <t>FCHiNICIO</t>
  </si>
  <si>
    <t>FchFin</t>
  </si>
  <si>
    <t>Columna2</t>
  </si>
  <si>
    <t>Columna3</t>
  </si>
  <si>
    <t>NomGato</t>
  </si>
  <si>
    <t>Total</t>
  </si>
  <si>
    <t>Total año</t>
  </si>
  <si>
    <t>(1</t>
  </si>
  <si>
    <t xml:space="preserve"> 'El Solarium'</t>
  </si>
  <si>
    <t xml:space="preserve"> '2023-01-15'</t>
  </si>
  <si>
    <t xml:space="preserve"> '2023-01-20')</t>
  </si>
  <si>
    <t>(2</t>
  </si>
  <si>
    <t xml:space="preserve"> 'La Almohada'</t>
  </si>
  <si>
    <t xml:space="preserve"> '2023-02-05'</t>
  </si>
  <si>
    <t xml:space="preserve"> '2023-02-10')</t>
  </si>
  <si>
    <t>(3</t>
  </si>
  <si>
    <t xml:space="preserve"> 'La Cueva'</t>
  </si>
  <si>
    <t xml:space="preserve"> '2023-03-12'</t>
  </si>
  <si>
    <t xml:space="preserve"> '2023-03-18')</t>
  </si>
  <si>
    <t>(4</t>
  </si>
  <si>
    <t xml:space="preserve"> 'El Rascador'</t>
  </si>
  <si>
    <t xml:space="preserve"> '2023-04-01'</t>
  </si>
  <si>
    <t xml:space="preserve"> '2023-04-07')</t>
  </si>
  <si>
    <t>(5</t>
  </si>
  <si>
    <t xml:space="preserve"> 'El Mirador'</t>
  </si>
  <si>
    <t xml:space="preserve"> '2023-05-10'</t>
  </si>
  <si>
    <t xml:space="preserve"> '2023-05-15')</t>
  </si>
  <si>
    <t>(6</t>
  </si>
  <si>
    <t xml:space="preserve"> 'La Caja'</t>
  </si>
  <si>
    <t xml:space="preserve"> '2023-06-20'</t>
  </si>
  <si>
    <t xml:space="preserve"> '2023-06-25')</t>
  </si>
  <si>
    <t>(7</t>
  </si>
  <si>
    <t xml:space="preserve"> 'El Árbol'</t>
  </si>
  <si>
    <t xml:space="preserve"> '2023-07-05'</t>
  </si>
  <si>
    <t xml:space="preserve"> '2023-07-12')</t>
  </si>
  <si>
    <t>(8</t>
  </si>
  <si>
    <t xml:space="preserve"> 'El Jardín'</t>
  </si>
  <si>
    <t xml:space="preserve"> '2023-08-01'</t>
  </si>
  <si>
    <t xml:space="preserve"> '2023-08-08')</t>
  </si>
  <si>
    <t>(9</t>
  </si>
  <si>
    <t xml:space="preserve"> 'La Estantería'</t>
  </si>
  <si>
    <t xml:space="preserve"> '2023-09-15'</t>
  </si>
  <si>
    <t xml:space="preserve"> '2023-09-22')</t>
  </si>
  <si>
    <t>(10</t>
  </si>
  <si>
    <t xml:space="preserve"> '2023-10-10'</t>
  </si>
  <si>
    <t xml:space="preserve"> '2023-10-17')</t>
  </si>
  <si>
    <t>(11</t>
  </si>
  <si>
    <t xml:space="preserve"> '2023-11-05'</t>
  </si>
  <si>
    <t xml:space="preserve"> '2023-11-12')</t>
  </si>
  <si>
    <t>(12</t>
  </si>
  <si>
    <t xml:space="preserve"> '2023-12-01'</t>
  </si>
  <si>
    <t xml:space="preserve"> '2023-12-08')</t>
  </si>
  <si>
    <t>(13</t>
  </si>
  <si>
    <t xml:space="preserve"> '2024-01-05'</t>
  </si>
  <si>
    <t xml:space="preserve"> '2024-01-10')</t>
  </si>
  <si>
    <t>(14</t>
  </si>
  <si>
    <t xml:space="preserve"> '2024-02-01'</t>
  </si>
  <si>
    <t xml:space="preserve"> '2024-02-06')</t>
  </si>
  <si>
    <t>(15</t>
  </si>
  <si>
    <t xml:space="preserve"> '2024-03-01'</t>
  </si>
  <si>
    <t xml:space="preserve"> '2024-03-08')</t>
  </si>
  <si>
    <t>(16</t>
  </si>
  <si>
    <t xml:space="preserve"> '2024-04-10'</t>
  </si>
  <si>
    <t xml:space="preserve"> '2024-04-15')</t>
  </si>
  <si>
    <t xml:space="preserve"> '2024-05-20'</t>
  </si>
  <si>
    <t xml:space="preserve"> '2024-05-25')</t>
  </si>
  <si>
    <t xml:space="preserve"> '2024-06-10'</t>
  </si>
  <si>
    <t xml:space="preserve"> '2024-06-18')</t>
  </si>
  <si>
    <t xml:space="preserve"> '2024-07-01'</t>
  </si>
  <si>
    <t xml:space="preserve"> '2024-07-08')</t>
  </si>
  <si>
    <t xml:space="preserve"> '2024-08-15'</t>
  </si>
  <si>
    <t xml:space="preserve"> '2024-08-22')</t>
  </si>
  <si>
    <t xml:space="preserve"> '2024-09-10'</t>
  </si>
  <si>
    <t xml:space="preserve"> '2024-09-17')</t>
  </si>
  <si>
    <t xml:space="preserve"> '2024-10-05'</t>
  </si>
  <si>
    <t xml:space="preserve"> '2024-10-12')</t>
  </si>
  <si>
    <t xml:space="preserve"> '2024-11-01'</t>
  </si>
  <si>
    <t xml:space="preserve"> '2024-11-07')</t>
  </si>
  <si>
    <t xml:space="preserve"> '2024-12-01'</t>
  </si>
  <si>
    <t xml:space="preserve"> '2024-12-07')</t>
  </si>
  <si>
    <t xml:space="preserve"> '2023-01-22')</t>
  </si>
  <si>
    <t xml:space="preserve"> '2023-02-10'</t>
  </si>
  <si>
    <t xml:space="preserve"> '2023-02-17')</t>
  </si>
  <si>
    <t xml:space="preserve"> '2023-03-05'</t>
  </si>
  <si>
    <t xml:space="preserve"> '2023-03-12')</t>
  </si>
  <si>
    <t xml:space="preserve"> '2023-04-15'</t>
  </si>
  <si>
    <t xml:space="preserve"> '2023-04-22')</t>
  </si>
  <si>
    <t xml:space="preserve"> '2023-05-05'</t>
  </si>
  <si>
    <t xml:space="preserve"> '2023-05-12')</t>
  </si>
  <si>
    <t xml:space="preserve"> '2023-06-01'</t>
  </si>
  <si>
    <t xml:space="preserve"> '2023-06-08')</t>
  </si>
  <si>
    <t xml:space="preserve"> '2023-07-10'</t>
  </si>
  <si>
    <t xml:space="preserve"> '2023-07-17')</t>
  </si>
  <si>
    <t xml:space="preserve"> '2023-08-20'</t>
  </si>
  <si>
    <t xml:space="preserve"> '2023-08-27')</t>
  </si>
  <si>
    <t xml:space="preserve"> '2023-09-05'</t>
  </si>
  <si>
    <t xml:space="preserve"> '2023-09-12')</t>
  </si>
  <si>
    <t xml:space="preserve"> '2023-10-15'</t>
  </si>
  <si>
    <t xml:space="preserve"> '2023-10-22')</t>
  </si>
  <si>
    <t xml:space="preserve"> '2023-11-01'</t>
  </si>
  <si>
    <t xml:space="preserve"> '2023-11-08')</t>
  </si>
  <si>
    <t xml:space="preserve"> '2023-12-05'</t>
  </si>
  <si>
    <t xml:space="preserve"> '2023-12-12')</t>
  </si>
  <si>
    <t xml:space="preserve"> '2024-01-15'</t>
  </si>
  <si>
    <t xml:space="preserve"> '2024-01-22')</t>
  </si>
  <si>
    <t xml:space="preserve"> '2024-02-05'</t>
  </si>
  <si>
    <t xml:space="preserve"> '2024-02-12')</t>
  </si>
  <si>
    <t xml:space="preserve"> '2024-04-15'</t>
  </si>
  <si>
    <t xml:space="preserve"> '2024-04-22')</t>
  </si>
  <si>
    <t xml:space="preserve"> '2024-05-05'</t>
  </si>
  <si>
    <t xml:space="preserve"> '2024-05-12')</t>
  </si>
  <si>
    <t xml:space="preserve"> '2024-06-01'</t>
  </si>
  <si>
    <t xml:space="preserve"> '2024-06-08')</t>
  </si>
  <si>
    <t xml:space="preserve"> '2024-07-10'</t>
  </si>
  <si>
    <t xml:space="preserve"> '2024-07-17')</t>
  </si>
  <si>
    <t xml:space="preserve"> '2024-09-01'</t>
  </si>
  <si>
    <t xml:space="preserve"> '2024-09-08')</t>
  </si>
  <si>
    <t xml:space="preserve"> '2024-12-08')</t>
  </si>
  <si>
    <t xml:space="preserve"> '2023-01-10'</t>
  </si>
  <si>
    <t xml:space="preserve"> '2023-01-17')</t>
  </si>
  <si>
    <t xml:space="preserve"> '2023-02-12')</t>
  </si>
  <si>
    <t xml:space="preserve"> '2023-03-01'</t>
  </si>
  <si>
    <t xml:space="preserve"> '2023-03-08')</t>
  </si>
  <si>
    <t xml:space="preserve"> '2023-08-15'</t>
  </si>
  <si>
    <t xml:space="preserve"> '2023-08-22');</t>
  </si>
  <si>
    <t>2023-01-15</t>
  </si>
  <si>
    <t>2023-01-20</t>
  </si>
  <si>
    <t>2023-02-05</t>
  </si>
  <si>
    <t>2023-02-10</t>
  </si>
  <si>
    <t>2023-03-12</t>
  </si>
  <si>
    <t>2023-03-18</t>
  </si>
  <si>
    <t>2023-04-01</t>
  </si>
  <si>
    <t>2023-04-07</t>
  </si>
  <si>
    <t>2023-05-10</t>
  </si>
  <si>
    <t>2023-05-15</t>
  </si>
  <si>
    <t>2023-06-20</t>
  </si>
  <si>
    <t>2023-06-25</t>
  </si>
  <si>
    <t>2023-07-05</t>
  </si>
  <si>
    <t>2023-07-12</t>
  </si>
  <si>
    <t>2023-08-01</t>
  </si>
  <si>
    <t>2023-08-08</t>
  </si>
  <si>
    <t>2023-09-15</t>
  </si>
  <si>
    <t>2023-09-22</t>
  </si>
  <si>
    <t>2023-10-10</t>
  </si>
  <si>
    <t>2023-10-17</t>
  </si>
  <si>
    <t>2023-11-05</t>
  </si>
  <si>
    <t>2023-11-12</t>
  </si>
  <si>
    <t>2023-12-01</t>
  </si>
  <si>
    <t>2023-12-08</t>
  </si>
  <si>
    <t>2024-01-05</t>
  </si>
  <si>
    <t>2024-01-10</t>
  </si>
  <si>
    <t>2024-02-01</t>
  </si>
  <si>
    <t>2024-02-06</t>
  </si>
  <si>
    <t>2024-03-01</t>
  </si>
  <si>
    <t>2024-03-08</t>
  </si>
  <si>
    <t>2024-04-10</t>
  </si>
  <si>
    <t>2024-04-15</t>
  </si>
  <si>
    <t>2024-05-20</t>
  </si>
  <si>
    <t>2024-05-25</t>
  </si>
  <si>
    <t>2024-06-10</t>
  </si>
  <si>
    <t>2024-06-18</t>
  </si>
  <si>
    <t>2024-07-01</t>
  </si>
  <si>
    <t>2024-07-08</t>
  </si>
  <si>
    <t>2024-08-15</t>
  </si>
  <si>
    <t>2024-08-22</t>
  </si>
  <si>
    <t>2024-09-10</t>
  </si>
  <si>
    <t>2024-09-17</t>
  </si>
  <si>
    <t>2024-10-05</t>
  </si>
  <si>
    <t>2024-10-12</t>
  </si>
  <si>
    <t>2024-11-01</t>
  </si>
  <si>
    <t>2024-11-07</t>
  </si>
  <si>
    <t>2024-12-01</t>
  </si>
  <si>
    <t>2024-12-07</t>
  </si>
  <si>
    <t>2023-01-22</t>
  </si>
  <si>
    <t>2023-02-17</t>
  </si>
  <si>
    <t>2023-03-05</t>
  </si>
  <si>
    <t>2023-04-15</t>
  </si>
  <si>
    <t>2023-04-22</t>
  </si>
  <si>
    <t>2023-05-05</t>
  </si>
  <si>
    <t>2023-05-12</t>
  </si>
  <si>
    <t>2023-06-01</t>
  </si>
  <si>
    <t>2023-06-08</t>
  </si>
  <si>
    <t>2023-07-10</t>
  </si>
  <si>
    <t>2023-07-17</t>
  </si>
  <si>
    <t>2023-08-20</t>
  </si>
  <si>
    <t>2023-08-27</t>
  </si>
  <si>
    <t>2023-09-05</t>
  </si>
  <si>
    <t>2023-09-12</t>
  </si>
  <si>
    <t>2023-10-15</t>
  </si>
  <si>
    <t>2023-10-22</t>
  </si>
  <si>
    <t>2023-11-01</t>
  </si>
  <si>
    <t>2023-11-08</t>
  </si>
  <si>
    <t>2023-12-05</t>
  </si>
  <si>
    <t>2023-12-12</t>
  </si>
  <si>
    <t>2024-01-15</t>
  </si>
  <si>
    <t>2024-01-22</t>
  </si>
  <si>
    <t>2024-02-05</t>
  </si>
  <si>
    <t>2024-02-12</t>
  </si>
  <si>
    <t>2024-04-22</t>
  </si>
  <si>
    <t>2024-05-05</t>
  </si>
  <si>
    <t>2024-05-12</t>
  </si>
  <si>
    <t>2024-06-01</t>
  </si>
  <si>
    <t>2024-06-08</t>
  </si>
  <si>
    <t>2024-07-10</t>
  </si>
  <si>
    <t>2024-07-17</t>
  </si>
  <si>
    <t>2024-09-01</t>
  </si>
  <si>
    <t>2024-09-08</t>
  </si>
  <si>
    <t>2024-12-08</t>
  </si>
  <si>
    <t>2023-01-10</t>
  </si>
  <si>
    <t>2023-01-17</t>
  </si>
  <si>
    <t>2023-02-12</t>
  </si>
  <si>
    <t>2023-03-01</t>
  </si>
  <si>
    <t>2023-03-08</t>
  </si>
  <si>
    <t>2023-08-15</t>
  </si>
  <si>
    <t>2023-08-22</t>
  </si>
  <si>
    <t>(</t>
  </si>
  <si>
    <t>),</t>
  </si>
  <si>
    <t>,'</t>
  </si>
  <si>
    <t>','</t>
  </si>
  <si>
    <t>',</t>
  </si>
  <si>
    <t>12345672                      	Alejandro Torres	+598 91 234 567	alejandro.torres@gmail.com</t>
  </si>
  <si>
    <t>14406662                      	Camila Rodríguez	+598 93 456 789	camila.rodriguez@outlook.com</t>
  </si>
  <si>
    <t>15450103                      	Luis Ortega	+598 2201 2345	luis.ortega@outlook.com</t>
  </si>
  <si>
    <t>30240527                      	Elena Jiménez	NULL	elena.jimenez@hotmail.com</t>
  </si>
  <si>
    <t>35569956                      	Daniel Herrera	+598 94 567 890	daniel.herrera@gmail.com</t>
  </si>
  <si>
    <t>51953448                      	Beatriz Mendoza	+598 92 345 678	beatriz.mendoza@hotmail.com</t>
  </si>
  <si>
    <t>53468374                      	Francisco Morales	+598 96 789 012	francisco.morales@outlook.com</t>
  </si>
  <si>
    <t>55525512                      	Inés Romero	+598 99 012 345	ines.romero@outlook.com</t>
  </si>
  <si>
    <t>56779790                      	Gabriela Castro	+598 97 890 123	gabriela.castro@gmail.com</t>
  </si>
  <si>
    <t>60150754                      	Karina Paredes	+598 2623 4567	NULL</t>
  </si>
  <si>
    <t>68047090                      	Héctor Vargas	+598 98 901 234	NULL</t>
  </si>
  <si>
    <t>75984413                      	Jorge Salazar	+598 2612 3456	jorge.salazar@gmail.com</t>
  </si>
  <si>
    <t xml:space="preserve"> NULL</t>
  </si>
  <si>
    <t xml:space="preserve"> Alejandro Torres</t>
  </si>
  <si>
    <t xml:space="preserve"> +598 91 234 567</t>
  </si>
  <si>
    <t xml:space="preserve"> alejandro.torres@gmail.com</t>
  </si>
  <si>
    <t xml:space="preserve"> Beatriz Mendoza</t>
  </si>
  <si>
    <t xml:space="preserve"> +598 92 345 678</t>
  </si>
  <si>
    <t xml:space="preserve"> beatriz.mendoza@hotmail.com</t>
  </si>
  <si>
    <t xml:space="preserve"> Camila Rodríguez</t>
  </si>
  <si>
    <t xml:space="preserve"> +598 93 456 789</t>
  </si>
  <si>
    <t xml:space="preserve"> camila.rodriguez@outlook.com</t>
  </si>
  <si>
    <t xml:space="preserve"> Daniel Herrera</t>
  </si>
  <si>
    <t xml:space="preserve"> +598 94 567 890</t>
  </si>
  <si>
    <t xml:space="preserve"> daniel.herrera@gmail.com</t>
  </si>
  <si>
    <t xml:space="preserve"> Elena Jiménez</t>
  </si>
  <si>
    <t xml:space="preserve"> elena.jimenez@hotmail.com</t>
  </si>
  <si>
    <t xml:space="preserve"> Francisco Morales</t>
  </si>
  <si>
    <t xml:space="preserve"> +598 96 789 012</t>
  </si>
  <si>
    <t xml:space="preserve"> francisco.morales@outlook.com</t>
  </si>
  <si>
    <t xml:space="preserve"> Gabriela Castro</t>
  </si>
  <si>
    <t xml:space="preserve"> +598 97 890 123</t>
  </si>
  <si>
    <t xml:space="preserve"> gabriela.castro@gmail.com</t>
  </si>
  <si>
    <t xml:space="preserve"> Héctor Vargas</t>
  </si>
  <si>
    <t xml:space="preserve"> +598 98 901 234</t>
  </si>
  <si>
    <t xml:space="preserve"> Inés Romero</t>
  </si>
  <si>
    <t xml:space="preserve"> +598 99 012 345</t>
  </si>
  <si>
    <t xml:space="preserve"> ines.romero@outlook.com</t>
  </si>
  <si>
    <t xml:space="preserve"> Jorge Salazar</t>
  </si>
  <si>
    <t xml:space="preserve"> +598 2612 3456</t>
  </si>
  <si>
    <t xml:space="preserve"> jorge.salazar@gmail.com</t>
  </si>
  <si>
    <t xml:space="preserve"> Karina Paredes</t>
  </si>
  <si>
    <t xml:space="preserve"> +598 2623 4567</t>
  </si>
  <si>
    <t xml:space="preserve"> Luis Ortega</t>
  </si>
  <si>
    <t xml:space="preserve"> +598 2201 2345</t>
  </si>
  <si>
    <t xml:space="preserve"> Persa</t>
  </si>
  <si>
    <t xml:space="preserve"> Exótico</t>
  </si>
  <si>
    <t xml:space="preserve"> Siames</t>
  </si>
  <si>
    <t xml:space="preserve"> Mestizo</t>
  </si>
  <si>
    <t xml:space="preserve"> Manx</t>
  </si>
  <si>
    <t xml:space="preserve"> Abyssinian</t>
  </si>
  <si>
    <t xml:space="preserve"> British Shorthair</t>
  </si>
  <si>
    <t xml:space="preserve"> Esfinge</t>
  </si>
  <si>
    <t xml:space="preserve"> Ragdoll</t>
  </si>
  <si>
    <t xml:space="preserve"> Scottish Fold</t>
  </si>
  <si>
    <t xml:space="preserve"> Maine Coon</t>
  </si>
  <si>
    <t xml:space="preserve"> Cornish Rex</t>
  </si>
  <si>
    <t xml:space="preserve"> Somalí</t>
  </si>
  <si>
    <t xml:space="preserve"> Bombay</t>
  </si>
  <si>
    <t xml:space="preserve"> Bengalí</t>
  </si>
  <si>
    <t xml:space="preserve"> Angora</t>
  </si>
  <si>
    <t xml:space="preserve"> Oriental</t>
  </si>
  <si>
    <t xml:space="preserve"> Birmano</t>
  </si>
  <si>
    <t xml:space="preserve"> Siberiano</t>
  </si>
  <si>
    <t xml:space="preserve"> luis.ortega@outlook.com</t>
  </si>
  <si>
    <t>DocPropietario</t>
  </si>
  <si>
    <t xml:space="preserve"> DISPONIBLE</t>
  </si>
  <si>
    <t>Nombre Habitacion</t>
  </si>
  <si>
    <t>Fecha Inicio</t>
  </si>
  <si>
    <t>Fecha Fin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</si>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</sst>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43" fontId="0" fillId="0" borderId="0" xfId="1" applyFont="1"/>
    <xf numFmtId="0" fontId="3" fillId="3" borderId="1" xfId="0" applyFont="1" applyFill="1" applyBorder="1"/>
    <xf numFmtId="0" fontId="3" fillId="3" borderId="2" xfId="0" applyFont="1" applyFill="1" applyBorder="1"/>
    <xf numFmtId="0" fontId="0" fillId="0" borderId="2" xfId="0" applyBorder="1"/>
    <xf numFmtId="0" fontId="0" fillId="2" borderId="2" xfId="0" applyFill="1" applyBorder="1"/>
    <xf numFmtId="14" fontId="0" fillId="2" borderId="2" xfId="0" applyNumberFormat="1" applyFill="1" applyBorder="1"/>
    <xf numFmtId="14" fontId="0" fillId="0" borderId="2" xfId="0" applyNumberFormat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2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0" fillId="0" borderId="0" xfId="0" quotePrefix="1"/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3" xfId="0" quotePrefix="1" applyBorder="1"/>
    <xf numFmtId="14" fontId="0" fillId="0" borderId="3" xfId="0" applyNumberFormat="1" applyBorder="1"/>
  </cellXfs>
  <cellStyles count="2">
    <cellStyle name="Millares" xfId="1" builtinId="3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2" formatCode="0.00"/>
    </dxf>
    <dxf>
      <numFmt numFmtId="19" formatCode="d/m/yyyy"/>
    </dxf>
    <dxf>
      <numFmt numFmtId="19" formatCode="d/m/yyyy"/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46C8D-CC65-45A7-AC99-F21201AB1B29}" name="Propietarios" displayName="Propietarios" ref="A1:E13" totalsRowShown="0" headerRowDxfId="12">
  <autoFilter ref="A1:E13" xr:uid="{88546C8D-CC65-45A7-AC99-F21201AB1B29}"/>
  <tableColumns count="5">
    <tableColumn id="1" xr3:uid="{6F358355-5DB9-4DF0-AF00-C4708182E5AE}" name="Documento"/>
    <tableColumn id="2" xr3:uid="{6B6C9967-6F1A-48AA-8363-7E3944907018}" name="Nombre"/>
    <tableColumn id="3" xr3:uid="{7925D155-5223-4388-AD19-39AB06FCF89F}" name="Telefono"/>
    <tableColumn id="4" xr3:uid="{32ABC536-A48B-4C5E-B617-F61268B613AB}" name="Email"/>
    <tableColumn id="5" xr3:uid="{94ACAF46-02FA-4575-8DFE-5E1705F34E0F}" name="Columna1" dataDxfId="11">
      <calculatedColumnFormula>+"('"&amp;Propietarios[[#This Row],[Documento]]&amp;"',"&amp;"'"&amp;Propietarios[[#This Row],[Nombre]]&amp;"',"&amp;"'"&amp;Propietarios[[#This Row],[Telefono]]&amp;"',"&amp;"'"&amp;Propietarios[[#This Row],[Email]]&amp;"',"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C3C82-AD38-4248-A8AB-A1B4D82D3A83}" name="Gatos" displayName="Gatos" ref="A2:F34" totalsRowShown="0" headerRowDxfId="10">
  <autoFilter ref="A2:F34" xr:uid="{03BC3C82-AD38-4248-A8AB-A1B4D82D3A83}"/>
  <tableColumns count="6">
    <tableColumn id="6" xr3:uid="{57893C7F-0032-4E46-BD79-6FE6E152F4AB}" name="ID"/>
    <tableColumn id="1" xr3:uid="{753BABFD-6FE1-470D-802B-DF3D176DAFA5}" name="Nombre"/>
    <tableColumn id="2" xr3:uid="{AFF1C891-9D66-49A4-899E-9E24459FCAE3}" name="Raza"/>
    <tableColumn id="3" xr3:uid="{39B41698-F0D0-4BD9-AE46-7ED692938E8E}" name="Edad"/>
    <tableColumn id="4" xr3:uid="{C7142E17-A838-4E47-83F4-B15C8A38B186}" name="Peso"/>
    <tableColumn id="5" xr3:uid="{D6EF8891-E2F8-458B-97E8-FC5C7C76F97D}" name="Propietar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9B7ABE-5C22-41E6-9528-3A64FD18A1AA}" name="Habitaciones" displayName="Habitaciones" ref="A2:E11" totalsRowShown="0">
  <autoFilter ref="A2:E11" xr:uid="{189B7ABE-5C22-41E6-9528-3A64FD18A1AA}"/>
  <sortState xmlns:xlrd2="http://schemas.microsoft.com/office/spreadsheetml/2017/richdata2" ref="A3:E11">
    <sortCondition ref="B2:B11"/>
  </sortState>
  <tableColumns count="5">
    <tableColumn id="1" xr3:uid="{80B886EB-9E8E-4DB6-8007-9F60BB8DEFA5}" name="Nombre"/>
    <tableColumn id="2" xr3:uid="{2D7EB229-05D7-4B6E-A864-3DD095A64417}" name="Capacidad"/>
    <tableColumn id="3" xr3:uid="{7E247A02-9C26-41D7-B022-D26826990C35}" name="Costo"/>
    <tableColumn id="4" xr3:uid="{DE52CC22-BBC8-4436-B70C-1B3CF3ED512C}" name="Estado"/>
    <tableColumn id="5" xr3:uid="{782841C8-1DE5-45D8-B813-F6C8D382439E}" name="Numer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3B437F-1710-4C4C-B944-B42025EB100F}" name="Servicios" displayName="Servicios" ref="A1:C8" totalsRowShown="0">
  <autoFilter ref="A1:C8" xr:uid="{AA3B437F-1710-4C4C-B944-B42025EB100F}"/>
  <tableColumns count="3">
    <tableColumn id="1" xr3:uid="{9FC11E60-D864-403A-9C6F-987518CC75A3}" name="Nombre Servicio"/>
    <tableColumn id="2" xr3:uid="{6C161C26-9FAB-445B-93E9-28971305C7C5}" name="Precio"/>
    <tableColumn id="3" xr3:uid="{A576F221-EBB8-4986-BABA-ABE9A4A59462}" name="Columna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276B42-53CA-4B97-82DE-E3D8CE6A7CC9}" name="Reservas" displayName="Reservas" ref="A2:G93" totalsRowShown="0">
  <autoFilter ref="A2:G93" xr:uid="{32276B42-53CA-4B97-82DE-E3D8CE6A7CC9}"/>
  <sortState xmlns:xlrd2="http://schemas.microsoft.com/office/spreadsheetml/2017/richdata2" ref="A3:G93">
    <sortCondition ref="D2:D93"/>
  </sortState>
  <tableColumns count="7">
    <tableColumn id="6" xr3:uid="{74C30E76-B0CE-4128-8D25-1ECE76A0F18A}" name="ReservaID"/>
    <tableColumn id="1" xr3:uid="{47A8E79F-D4FE-4454-B33D-3FCBF161D809}" name="gatoID"/>
    <tableColumn id="2" xr3:uid="{915FFFDB-2891-44E1-B1FF-D4DBB1533646}" name=" habitacionNombre" dataDxfId="9"/>
    <tableColumn id="3" xr3:uid="{DA3EC505-C249-4D11-B1C0-B5D3AC30E3DE}" name=" reservaFechaInicio" dataDxfId="8"/>
    <tableColumn id="4" xr3:uid="{18A8C730-EFE6-4752-8CF9-B2DCCCEFE4E4}" name=" reservaFechaFin" dataDxfId="7"/>
    <tableColumn id="5" xr3:uid="{E68788ED-C1BB-40A3-B97C-84A07A8FB7DB}" name=" reservaMonto"/>
    <tableColumn id="7" xr3:uid="{69573842-794D-41D6-AD5D-7A1DD91B93B8}" name="Columna1" dataDxfId="6">
      <calculatedColumnFormula>+YEAR(Reservas[[#This Row],[ reservaFechaInicio]])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AF33B4-9FE7-4FBB-B957-C7AD827CC3F6}" name="ReservaServicio" displayName="ReservaServicio" ref="A1:H94" totalsRowShown="0">
  <autoFilter ref="A1:H94" xr:uid="{83AF33B4-9FE7-4FBB-B957-C7AD827CC3F6}"/>
  <tableColumns count="8">
    <tableColumn id="1" xr3:uid="{5924CCE3-B5AF-49AD-AC79-2D313EA5F72A}" name="ReservaID"/>
    <tableColumn id="2" xr3:uid="{74155396-39C6-4109-9CFF-0305B5D78D83}" name="ServicioID"/>
    <tableColumn id="3" xr3:uid="{9FFE752E-CE7E-4558-A0F7-0379EEDE74C1}" name="Cantidad"/>
    <tableColumn id="4" xr3:uid="{B0336297-CE4A-43B5-A3CD-634E03DCE7FA}" name="Columna1" dataDxfId="5">
      <calculatedColumnFormula>+"("&amp;ReservaServicio[[#This Row],[ReservaID]]&amp;",'"&amp;ReservaServicio[[#This Row],[ServicioID]]&amp;"',"&amp;ReservaServicio[[#This Row],[Cantidad]]&amp;"),"</calculatedColumnFormula>
    </tableColumn>
    <tableColumn id="5" xr3:uid="{509F9C27-211F-4770-9B03-9732BF9B7EBF}" name="FCHiNICIO" dataDxfId="4">
      <calculatedColumnFormula>+_xlfn.XLOOKUP(ReservaServicio[[#This Row],[ReservaID]],Reservas[ReservaID],Reservas[[ reservaFechaInicio]])</calculatedColumnFormula>
    </tableColumn>
    <tableColumn id="6" xr3:uid="{71749572-D64A-4072-BA42-CEF058532DA0}" name="FchFin" dataDxfId="3">
      <calculatedColumnFormula>+_xlfn.XLOOKUP(ReservaServicio[[#This Row],[ReservaID]],Reservas[ReservaID],Reservas[[ reservaFechaFin]])</calculatedColumnFormula>
    </tableColumn>
    <tableColumn id="7" xr3:uid="{FF76F80E-BA4D-464A-A0AD-B48D4C8FAAC6}" name="Columna2" dataDxfId="2">
      <calculatedColumnFormula>+YEAR(ReservaServicio[[#This Row],[FCHiNICIO]])</calculatedColumnFormula>
    </tableColumn>
    <tableColumn id="8" xr3:uid="{1DC0BE4A-0A01-4AB7-BF22-5E122613ADA2}" name="Columna3" dataDxfId="1">
      <calculatedColumnFormula>+YEAR(ReservaServicio[[#This Row],[FchFin]])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48F0-CBCC-42FF-9B43-D522B645239D}">
  <dimension ref="A1:P108"/>
  <sheetViews>
    <sheetView topLeftCell="A94" workbookViewId="0">
      <selection activeCell="A109" sqref="A109"/>
    </sheetView>
  </sheetViews>
  <sheetFormatPr baseColWidth="10" defaultRowHeight="15" x14ac:dyDescent="0.25"/>
  <cols>
    <col min="1" max="1" width="11.140625" bestFit="1" customWidth="1"/>
    <col min="2" max="2" width="13.85546875" bestFit="1" customWidth="1"/>
    <col min="3" max="3" width="11.7109375" bestFit="1" customWidth="1"/>
    <col min="4" max="4" width="13" bestFit="1" customWidth="1"/>
    <col min="5" max="5" width="3" bestFit="1" customWidth="1"/>
    <col min="6" max="6" width="12.5703125" bestFit="1" customWidth="1"/>
    <col min="7" max="8" width="10.42578125" bestFit="1" customWidth="1"/>
    <col min="9" max="9" width="10.7109375" bestFit="1" customWidth="1"/>
    <col min="10" max="10" width="4" bestFit="1" customWidth="1"/>
    <col min="11" max="11" width="2" bestFit="1" customWidth="1"/>
    <col min="14" max="14" width="9.140625" bestFit="1" customWidth="1"/>
    <col min="15" max="15" width="2" bestFit="1" customWidth="1"/>
    <col min="16" max="16" width="3" bestFit="1" customWidth="1"/>
  </cols>
  <sheetData>
    <row r="1" spans="1:16" x14ac:dyDescent="0.25">
      <c r="N1" s="10" t="s">
        <v>117</v>
      </c>
    </row>
    <row r="2" spans="1:16" x14ac:dyDescent="0.25">
      <c r="A2" t="s">
        <v>0</v>
      </c>
      <c r="B2">
        <v>2</v>
      </c>
      <c r="C2">
        <v>9</v>
      </c>
      <c r="D2">
        <v>8</v>
      </c>
      <c r="E2">
        <v>7</v>
      </c>
      <c r="F2">
        <v>6</v>
      </c>
      <c r="G2">
        <v>3</v>
      </c>
      <c r="H2">
        <v>4</v>
      </c>
      <c r="I2" t="s">
        <v>1</v>
      </c>
      <c r="N2" s="11">
        <v>1</v>
      </c>
    </row>
    <row r="3" spans="1:16" x14ac:dyDescent="0.25">
      <c r="A3">
        <f>+VALUE(B3&amp;C3&amp;D3&amp;E3&amp;F3&amp;G3&amp;H3&amp;I3)</f>
        <v>12345672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f>IF(K3=0,0,10-K3)</f>
        <v>2</v>
      </c>
      <c r="J3">
        <f>+SUMPRODUCT(B3:H3,$B$2:$H$2)</f>
        <v>148</v>
      </c>
      <c r="K3">
        <f>+MOD(J3,10)</f>
        <v>8</v>
      </c>
      <c r="N3" s="11">
        <v>2</v>
      </c>
      <c r="O3">
        <f>+N3-N2</f>
        <v>1</v>
      </c>
      <c r="P3">
        <v>3</v>
      </c>
    </row>
    <row r="4" spans="1:16" x14ac:dyDescent="0.25">
      <c r="A4">
        <f>+VALUE(B4&amp;C4&amp;D4&amp;E4&amp;F4&amp;G4&amp;H4&amp;I4)</f>
        <v>51953448</v>
      </c>
      <c r="B4">
        <v>5</v>
      </c>
      <c r="C4">
        <v>1</v>
      </c>
      <c r="D4">
        <v>9</v>
      </c>
      <c r="E4">
        <v>5</v>
      </c>
      <c r="F4">
        <v>3</v>
      </c>
      <c r="G4">
        <v>4</v>
      </c>
      <c r="H4">
        <v>4</v>
      </c>
      <c r="I4">
        <f t="shared" ref="I4:I32" si="0">IF(K4=0,0,10-K4)</f>
        <v>8</v>
      </c>
      <c r="J4">
        <f>+SUMPRODUCT(B4:H4,$B$2:$H$2)</f>
        <v>172</v>
      </c>
      <c r="K4">
        <f>+MOD(J4,10)</f>
        <v>2</v>
      </c>
      <c r="N4" s="12">
        <v>4</v>
      </c>
      <c r="O4">
        <f t="shared" ref="O4:O30" si="1">+N4-N3</f>
        <v>2</v>
      </c>
    </row>
    <row r="5" spans="1:16" x14ac:dyDescent="0.25">
      <c r="A5">
        <f t="shared" ref="A5:A32" si="2">+VALUE(B5&amp;C5&amp;D5&amp;E5&amp;F5&amp;G5&amp;H5&amp;I5)</f>
        <v>14406662</v>
      </c>
      <c r="B5">
        <v>1</v>
      </c>
      <c r="C5">
        <v>4</v>
      </c>
      <c r="D5">
        <v>4</v>
      </c>
      <c r="E5">
        <v>0</v>
      </c>
      <c r="F5">
        <v>6</v>
      </c>
      <c r="G5">
        <v>6</v>
      </c>
      <c r="H5">
        <v>6</v>
      </c>
      <c r="I5">
        <f t="shared" si="0"/>
        <v>2</v>
      </c>
      <c r="J5">
        <f>+SUMPRODUCT(B5:H5,$B$2:$H$2)</f>
        <v>148</v>
      </c>
      <c r="K5">
        <f>+MOD(J5,10)</f>
        <v>8</v>
      </c>
      <c r="N5" s="11">
        <v>5</v>
      </c>
      <c r="O5">
        <f t="shared" si="1"/>
        <v>1</v>
      </c>
    </row>
    <row r="6" spans="1:16" x14ac:dyDescent="0.25">
      <c r="A6">
        <f t="shared" si="2"/>
        <v>35569956</v>
      </c>
      <c r="B6">
        <v>3</v>
      </c>
      <c r="C6">
        <v>5</v>
      </c>
      <c r="D6">
        <v>5</v>
      </c>
      <c r="E6">
        <v>6</v>
      </c>
      <c r="F6">
        <v>9</v>
      </c>
      <c r="G6">
        <v>9</v>
      </c>
      <c r="H6">
        <v>5</v>
      </c>
      <c r="I6">
        <f t="shared" si="0"/>
        <v>6</v>
      </c>
      <c r="J6">
        <f>+SUMPRODUCT(B6:H6,$B$2:$H$2)</f>
        <v>234</v>
      </c>
      <c r="K6">
        <f>+MOD(J6,10)</f>
        <v>4</v>
      </c>
      <c r="N6" s="11">
        <v>6</v>
      </c>
      <c r="O6">
        <f t="shared" si="1"/>
        <v>1</v>
      </c>
    </row>
    <row r="7" spans="1:16" x14ac:dyDescent="0.25">
      <c r="A7">
        <f t="shared" si="2"/>
        <v>30240527</v>
      </c>
      <c r="B7">
        <v>3</v>
      </c>
      <c r="C7">
        <v>0</v>
      </c>
      <c r="D7">
        <v>2</v>
      </c>
      <c r="E7">
        <v>4</v>
      </c>
      <c r="F7">
        <v>0</v>
      </c>
      <c r="G7">
        <v>5</v>
      </c>
      <c r="H7">
        <v>2</v>
      </c>
      <c r="I7">
        <f t="shared" si="0"/>
        <v>7</v>
      </c>
      <c r="J7">
        <f t="shared" ref="J7:J32" si="3">+SUMPRODUCT(B7:H7,$B$2:$H$2)</f>
        <v>73</v>
      </c>
      <c r="K7">
        <f t="shared" ref="K7:K32" si="4">+MOD(J7,10)</f>
        <v>3</v>
      </c>
      <c r="N7" s="12">
        <v>7</v>
      </c>
      <c r="O7">
        <f t="shared" si="1"/>
        <v>1</v>
      </c>
    </row>
    <row r="8" spans="1:16" x14ac:dyDescent="0.25">
      <c r="A8">
        <f t="shared" si="2"/>
        <v>53468374</v>
      </c>
      <c r="B8">
        <v>5</v>
      </c>
      <c r="C8">
        <v>3</v>
      </c>
      <c r="D8">
        <v>4</v>
      </c>
      <c r="E8">
        <v>6</v>
      </c>
      <c r="F8">
        <v>8</v>
      </c>
      <c r="G8">
        <v>3</v>
      </c>
      <c r="H8">
        <v>7</v>
      </c>
      <c r="I8">
        <f t="shared" si="0"/>
        <v>4</v>
      </c>
      <c r="J8">
        <f t="shared" si="3"/>
        <v>196</v>
      </c>
      <c r="K8">
        <f t="shared" si="4"/>
        <v>6</v>
      </c>
      <c r="N8" s="12">
        <v>8</v>
      </c>
      <c r="O8">
        <f t="shared" si="1"/>
        <v>1</v>
      </c>
    </row>
    <row r="9" spans="1:16" x14ac:dyDescent="0.25">
      <c r="A9">
        <f t="shared" si="2"/>
        <v>56779790</v>
      </c>
      <c r="B9">
        <v>5</v>
      </c>
      <c r="C9">
        <v>6</v>
      </c>
      <c r="D9">
        <v>7</v>
      </c>
      <c r="E9">
        <v>7</v>
      </c>
      <c r="F9">
        <v>9</v>
      </c>
      <c r="G9">
        <v>7</v>
      </c>
      <c r="H9">
        <v>9</v>
      </c>
      <c r="I9">
        <f t="shared" si="0"/>
        <v>0</v>
      </c>
      <c r="J9">
        <f t="shared" si="3"/>
        <v>280</v>
      </c>
      <c r="K9">
        <f t="shared" si="4"/>
        <v>0</v>
      </c>
      <c r="N9" s="11">
        <v>9</v>
      </c>
      <c r="O9">
        <f t="shared" si="1"/>
        <v>1</v>
      </c>
    </row>
    <row r="10" spans="1:16" x14ac:dyDescent="0.25">
      <c r="A10">
        <f t="shared" si="2"/>
        <v>68047090</v>
      </c>
      <c r="B10">
        <v>6</v>
      </c>
      <c r="C10">
        <v>8</v>
      </c>
      <c r="D10">
        <v>0</v>
      </c>
      <c r="E10">
        <v>4</v>
      </c>
      <c r="F10">
        <v>7</v>
      </c>
      <c r="G10">
        <v>0</v>
      </c>
      <c r="H10">
        <v>9</v>
      </c>
      <c r="I10">
        <f t="shared" si="0"/>
        <v>0</v>
      </c>
      <c r="J10">
        <f t="shared" si="3"/>
        <v>190</v>
      </c>
      <c r="K10">
        <f t="shared" si="4"/>
        <v>0</v>
      </c>
      <c r="N10" s="12">
        <v>10</v>
      </c>
      <c r="O10">
        <f t="shared" si="1"/>
        <v>1</v>
      </c>
    </row>
    <row r="11" spans="1:16" x14ac:dyDescent="0.25">
      <c r="A11">
        <f t="shared" si="2"/>
        <v>55525512</v>
      </c>
      <c r="B11">
        <v>5</v>
      </c>
      <c r="C11">
        <v>5</v>
      </c>
      <c r="D11">
        <v>5</v>
      </c>
      <c r="E11">
        <v>2</v>
      </c>
      <c r="F11">
        <v>5</v>
      </c>
      <c r="G11">
        <v>5</v>
      </c>
      <c r="H11">
        <v>1</v>
      </c>
      <c r="I11">
        <f t="shared" si="0"/>
        <v>2</v>
      </c>
      <c r="J11">
        <f t="shared" si="3"/>
        <v>158</v>
      </c>
      <c r="K11">
        <f t="shared" si="4"/>
        <v>8</v>
      </c>
      <c r="N11" s="12">
        <v>11</v>
      </c>
      <c r="O11">
        <f t="shared" si="1"/>
        <v>1</v>
      </c>
    </row>
    <row r="12" spans="1:16" x14ac:dyDescent="0.25">
      <c r="A12">
        <f t="shared" si="2"/>
        <v>75984413</v>
      </c>
      <c r="B12">
        <v>7</v>
      </c>
      <c r="C12">
        <v>5</v>
      </c>
      <c r="D12">
        <v>9</v>
      </c>
      <c r="E12">
        <v>8</v>
      </c>
      <c r="F12">
        <v>4</v>
      </c>
      <c r="G12">
        <v>4</v>
      </c>
      <c r="H12">
        <v>1</v>
      </c>
      <c r="I12">
        <f t="shared" si="0"/>
        <v>3</v>
      </c>
      <c r="J12">
        <f t="shared" si="3"/>
        <v>227</v>
      </c>
      <c r="K12">
        <f t="shared" si="4"/>
        <v>7</v>
      </c>
      <c r="N12" s="11">
        <v>12</v>
      </c>
      <c r="O12">
        <f t="shared" si="1"/>
        <v>1</v>
      </c>
    </row>
    <row r="13" spans="1:16" x14ac:dyDescent="0.25">
      <c r="A13">
        <f t="shared" si="2"/>
        <v>60150754</v>
      </c>
      <c r="B13">
        <v>6</v>
      </c>
      <c r="C13">
        <v>0</v>
      </c>
      <c r="D13">
        <v>1</v>
      </c>
      <c r="E13">
        <v>5</v>
      </c>
      <c r="F13">
        <v>0</v>
      </c>
      <c r="G13">
        <v>7</v>
      </c>
      <c r="H13">
        <v>5</v>
      </c>
      <c r="I13">
        <f t="shared" si="0"/>
        <v>4</v>
      </c>
      <c r="J13">
        <f t="shared" si="3"/>
        <v>96</v>
      </c>
      <c r="K13">
        <f t="shared" si="4"/>
        <v>6</v>
      </c>
      <c r="N13" s="12">
        <v>13</v>
      </c>
      <c r="O13">
        <f t="shared" si="1"/>
        <v>1</v>
      </c>
      <c r="P13">
        <v>14</v>
      </c>
    </row>
    <row r="14" spans="1:16" x14ac:dyDescent="0.25">
      <c r="A14">
        <f t="shared" si="2"/>
        <v>15450103</v>
      </c>
      <c r="B14">
        <v>1</v>
      </c>
      <c r="C14">
        <v>5</v>
      </c>
      <c r="D14">
        <v>4</v>
      </c>
      <c r="E14">
        <v>5</v>
      </c>
      <c r="F14">
        <v>0</v>
      </c>
      <c r="G14">
        <v>1</v>
      </c>
      <c r="H14">
        <v>0</v>
      </c>
      <c r="I14">
        <f t="shared" si="0"/>
        <v>3</v>
      </c>
      <c r="J14">
        <f t="shared" si="3"/>
        <v>117</v>
      </c>
      <c r="K14">
        <f t="shared" si="4"/>
        <v>7</v>
      </c>
      <c r="N14" s="12">
        <v>15</v>
      </c>
      <c r="O14">
        <f t="shared" si="1"/>
        <v>2</v>
      </c>
    </row>
    <row r="15" spans="1:16" x14ac:dyDescent="0.25">
      <c r="A15">
        <f t="shared" si="2"/>
        <v>21148279</v>
      </c>
      <c r="B15">
        <v>2</v>
      </c>
      <c r="C15">
        <v>1</v>
      </c>
      <c r="D15">
        <v>1</v>
      </c>
      <c r="E15">
        <v>4</v>
      </c>
      <c r="F15">
        <v>8</v>
      </c>
      <c r="G15">
        <v>2</v>
      </c>
      <c r="H15">
        <v>7</v>
      </c>
      <c r="I15">
        <f t="shared" si="0"/>
        <v>9</v>
      </c>
      <c r="J15">
        <f t="shared" si="3"/>
        <v>131</v>
      </c>
      <c r="K15">
        <f t="shared" si="4"/>
        <v>1</v>
      </c>
      <c r="N15" s="12">
        <v>16</v>
      </c>
      <c r="O15">
        <f t="shared" si="1"/>
        <v>1</v>
      </c>
    </row>
    <row r="16" spans="1:16" x14ac:dyDescent="0.25">
      <c r="A16">
        <f t="shared" si="2"/>
        <v>11082562</v>
      </c>
      <c r="B16">
        <v>1</v>
      </c>
      <c r="C16">
        <v>1</v>
      </c>
      <c r="D16">
        <v>0</v>
      </c>
      <c r="E16">
        <v>8</v>
      </c>
      <c r="F16">
        <v>2</v>
      </c>
      <c r="G16">
        <v>5</v>
      </c>
      <c r="H16">
        <v>6</v>
      </c>
      <c r="I16">
        <f t="shared" si="0"/>
        <v>2</v>
      </c>
      <c r="J16">
        <f t="shared" si="3"/>
        <v>118</v>
      </c>
      <c r="K16">
        <f t="shared" si="4"/>
        <v>8</v>
      </c>
      <c r="N16" s="11">
        <v>17</v>
      </c>
      <c r="O16">
        <f t="shared" si="1"/>
        <v>1</v>
      </c>
    </row>
    <row r="17" spans="1:16" x14ac:dyDescent="0.25">
      <c r="A17">
        <f t="shared" si="2"/>
        <v>44782723</v>
      </c>
      <c r="B17">
        <v>4</v>
      </c>
      <c r="C17">
        <v>4</v>
      </c>
      <c r="D17">
        <v>7</v>
      </c>
      <c r="E17">
        <v>8</v>
      </c>
      <c r="F17">
        <v>2</v>
      </c>
      <c r="G17">
        <v>7</v>
      </c>
      <c r="H17">
        <v>2</v>
      </c>
      <c r="I17">
        <f t="shared" si="0"/>
        <v>3</v>
      </c>
      <c r="J17">
        <f t="shared" si="3"/>
        <v>197</v>
      </c>
      <c r="K17">
        <f t="shared" si="4"/>
        <v>7</v>
      </c>
      <c r="N17" s="11">
        <v>18</v>
      </c>
      <c r="O17">
        <f t="shared" si="1"/>
        <v>1</v>
      </c>
    </row>
    <row r="18" spans="1:16" x14ac:dyDescent="0.25">
      <c r="A18">
        <f t="shared" si="2"/>
        <v>54150318</v>
      </c>
      <c r="B18">
        <v>5</v>
      </c>
      <c r="C18">
        <v>4</v>
      </c>
      <c r="D18">
        <v>1</v>
      </c>
      <c r="E18">
        <v>5</v>
      </c>
      <c r="F18">
        <v>0</v>
      </c>
      <c r="G18">
        <v>3</v>
      </c>
      <c r="H18">
        <v>1</v>
      </c>
      <c r="I18">
        <f t="shared" si="0"/>
        <v>8</v>
      </c>
      <c r="J18">
        <f t="shared" si="3"/>
        <v>102</v>
      </c>
      <c r="K18">
        <f t="shared" si="4"/>
        <v>2</v>
      </c>
      <c r="N18" s="11">
        <v>19</v>
      </c>
      <c r="O18">
        <f t="shared" si="1"/>
        <v>1</v>
      </c>
    </row>
    <row r="19" spans="1:16" x14ac:dyDescent="0.25">
      <c r="A19">
        <f t="shared" si="2"/>
        <v>73588663</v>
      </c>
      <c r="B19">
        <v>7</v>
      </c>
      <c r="C19">
        <v>3</v>
      </c>
      <c r="D19">
        <v>5</v>
      </c>
      <c r="E19">
        <v>8</v>
      </c>
      <c r="F19">
        <v>8</v>
      </c>
      <c r="G19">
        <v>6</v>
      </c>
      <c r="H19">
        <v>6</v>
      </c>
      <c r="I19">
        <f t="shared" si="0"/>
        <v>3</v>
      </c>
      <c r="J19">
        <f t="shared" si="3"/>
        <v>227</v>
      </c>
      <c r="K19">
        <f t="shared" si="4"/>
        <v>7</v>
      </c>
      <c r="N19" s="12">
        <v>20</v>
      </c>
      <c r="O19">
        <f t="shared" si="1"/>
        <v>1</v>
      </c>
    </row>
    <row r="20" spans="1:16" x14ac:dyDescent="0.25">
      <c r="A20">
        <f t="shared" si="2"/>
        <v>56435940</v>
      </c>
      <c r="B20">
        <v>5</v>
      </c>
      <c r="C20">
        <v>6</v>
      </c>
      <c r="D20">
        <v>4</v>
      </c>
      <c r="E20">
        <v>3</v>
      </c>
      <c r="F20">
        <v>5</v>
      </c>
      <c r="G20">
        <v>9</v>
      </c>
      <c r="H20">
        <v>4</v>
      </c>
      <c r="I20">
        <f t="shared" si="0"/>
        <v>0</v>
      </c>
      <c r="J20">
        <f t="shared" si="3"/>
        <v>190</v>
      </c>
      <c r="K20">
        <f t="shared" si="4"/>
        <v>0</v>
      </c>
      <c r="N20" s="11">
        <v>21</v>
      </c>
      <c r="O20">
        <f t="shared" si="1"/>
        <v>1</v>
      </c>
    </row>
    <row r="21" spans="1:16" x14ac:dyDescent="0.25">
      <c r="A21">
        <f t="shared" si="2"/>
        <v>52596097</v>
      </c>
      <c r="B21">
        <v>5</v>
      </c>
      <c r="C21">
        <v>2</v>
      </c>
      <c r="D21">
        <v>5</v>
      </c>
      <c r="E21">
        <v>9</v>
      </c>
      <c r="F21">
        <v>6</v>
      </c>
      <c r="G21">
        <v>0</v>
      </c>
      <c r="H21">
        <v>9</v>
      </c>
      <c r="I21">
        <f t="shared" si="0"/>
        <v>7</v>
      </c>
      <c r="J21">
        <f t="shared" si="3"/>
        <v>203</v>
      </c>
      <c r="K21">
        <f t="shared" si="4"/>
        <v>3</v>
      </c>
      <c r="N21" s="11">
        <v>22</v>
      </c>
      <c r="O21">
        <f t="shared" si="1"/>
        <v>1</v>
      </c>
    </row>
    <row r="22" spans="1:16" x14ac:dyDescent="0.25">
      <c r="A22">
        <f t="shared" si="2"/>
        <v>19481279</v>
      </c>
      <c r="B22">
        <v>1</v>
      </c>
      <c r="C22">
        <v>9</v>
      </c>
      <c r="D22">
        <v>4</v>
      </c>
      <c r="E22">
        <v>8</v>
      </c>
      <c r="F22">
        <v>1</v>
      </c>
      <c r="G22">
        <v>2</v>
      </c>
      <c r="H22">
        <v>7</v>
      </c>
      <c r="I22">
        <f t="shared" si="0"/>
        <v>9</v>
      </c>
      <c r="J22">
        <f t="shared" si="3"/>
        <v>211</v>
      </c>
      <c r="K22">
        <f t="shared" si="4"/>
        <v>1</v>
      </c>
      <c r="N22" s="12">
        <v>23</v>
      </c>
      <c r="O22">
        <f t="shared" si="1"/>
        <v>1</v>
      </c>
    </row>
    <row r="23" spans="1:16" x14ac:dyDescent="0.25">
      <c r="A23">
        <f t="shared" si="2"/>
        <v>67947962</v>
      </c>
      <c r="B23">
        <v>6</v>
      </c>
      <c r="C23">
        <v>7</v>
      </c>
      <c r="D23">
        <v>9</v>
      </c>
      <c r="E23">
        <v>4</v>
      </c>
      <c r="F23">
        <v>7</v>
      </c>
      <c r="G23">
        <v>9</v>
      </c>
      <c r="H23">
        <v>6</v>
      </c>
      <c r="I23">
        <f t="shared" si="0"/>
        <v>2</v>
      </c>
      <c r="J23">
        <f t="shared" si="3"/>
        <v>268</v>
      </c>
      <c r="K23">
        <f t="shared" si="4"/>
        <v>8</v>
      </c>
      <c r="N23" s="12">
        <v>24</v>
      </c>
      <c r="O23">
        <f t="shared" si="1"/>
        <v>1</v>
      </c>
    </row>
    <row r="24" spans="1:16" x14ac:dyDescent="0.25">
      <c r="A24">
        <f t="shared" si="2"/>
        <v>28941064</v>
      </c>
      <c r="B24">
        <v>2</v>
      </c>
      <c r="C24">
        <v>8</v>
      </c>
      <c r="D24">
        <v>9</v>
      </c>
      <c r="E24">
        <v>4</v>
      </c>
      <c r="F24">
        <v>1</v>
      </c>
      <c r="G24">
        <v>0</v>
      </c>
      <c r="H24">
        <v>6</v>
      </c>
      <c r="I24">
        <f t="shared" si="0"/>
        <v>4</v>
      </c>
      <c r="J24">
        <f t="shared" si="3"/>
        <v>206</v>
      </c>
      <c r="K24">
        <f t="shared" si="4"/>
        <v>6</v>
      </c>
      <c r="N24" s="12">
        <v>25</v>
      </c>
      <c r="O24">
        <f t="shared" si="1"/>
        <v>1</v>
      </c>
    </row>
    <row r="25" spans="1:16" x14ac:dyDescent="0.25">
      <c r="A25">
        <f t="shared" si="2"/>
        <v>38276910</v>
      </c>
      <c r="B25">
        <v>3</v>
      </c>
      <c r="C25">
        <v>8</v>
      </c>
      <c r="D25">
        <v>2</v>
      </c>
      <c r="E25">
        <v>7</v>
      </c>
      <c r="F25">
        <v>6</v>
      </c>
      <c r="G25">
        <v>9</v>
      </c>
      <c r="H25">
        <v>1</v>
      </c>
      <c r="I25">
        <f t="shared" si="0"/>
        <v>0</v>
      </c>
      <c r="J25">
        <f t="shared" si="3"/>
        <v>210</v>
      </c>
      <c r="K25">
        <f t="shared" si="4"/>
        <v>0</v>
      </c>
      <c r="N25" s="12">
        <v>27</v>
      </c>
      <c r="O25">
        <f t="shared" si="1"/>
        <v>2</v>
      </c>
      <c r="P25">
        <v>26</v>
      </c>
    </row>
    <row r="26" spans="1:16" x14ac:dyDescent="0.25">
      <c r="A26">
        <f t="shared" si="2"/>
        <v>48713673</v>
      </c>
      <c r="B26">
        <v>4</v>
      </c>
      <c r="C26">
        <v>8</v>
      </c>
      <c r="D26">
        <v>7</v>
      </c>
      <c r="E26">
        <v>1</v>
      </c>
      <c r="F26">
        <v>3</v>
      </c>
      <c r="G26">
        <v>6</v>
      </c>
      <c r="H26">
        <v>7</v>
      </c>
      <c r="I26">
        <f t="shared" si="0"/>
        <v>3</v>
      </c>
      <c r="J26">
        <f t="shared" si="3"/>
        <v>207</v>
      </c>
      <c r="K26">
        <f t="shared" si="4"/>
        <v>7</v>
      </c>
      <c r="N26" s="11">
        <v>28</v>
      </c>
      <c r="O26">
        <f t="shared" si="1"/>
        <v>1</v>
      </c>
    </row>
    <row r="27" spans="1:16" x14ac:dyDescent="0.25">
      <c r="A27">
        <f t="shared" si="2"/>
        <v>51483594</v>
      </c>
      <c r="B27">
        <v>5</v>
      </c>
      <c r="C27">
        <v>1</v>
      </c>
      <c r="D27">
        <v>4</v>
      </c>
      <c r="E27">
        <v>8</v>
      </c>
      <c r="F27">
        <v>3</v>
      </c>
      <c r="G27">
        <v>5</v>
      </c>
      <c r="H27">
        <v>9</v>
      </c>
      <c r="I27">
        <f t="shared" si="0"/>
        <v>4</v>
      </c>
      <c r="J27">
        <f t="shared" si="3"/>
        <v>176</v>
      </c>
      <c r="K27">
        <f t="shared" si="4"/>
        <v>6</v>
      </c>
      <c r="N27" s="12">
        <v>29</v>
      </c>
      <c r="O27">
        <f t="shared" si="1"/>
        <v>1</v>
      </c>
    </row>
    <row r="28" spans="1:16" x14ac:dyDescent="0.25">
      <c r="A28">
        <f t="shared" si="2"/>
        <v>41383867</v>
      </c>
      <c r="B28">
        <v>4</v>
      </c>
      <c r="C28">
        <v>1</v>
      </c>
      <c r="D28">
        <v>3</v>
      </c>
      <c r="E28">
        <v>8</v>
      </c>
      <c r="F28">
        <v>3</v>
      </c>
      <c r="G28">
        <v>8</v>
      </c>
      <c r="H28">
        <v>6</v>
      </c>
      <c r="I28">
        <f t="shared" si="0"/>
        <v>7</v>
      </c>
      <c r="J28">
        <f t="shared" si="3"/>
        <v>163</v>
      </c>
      <c r="K28">
        <f t="shared" si="4"/>
        <v>3</v>
      </c>
      <c r="N28" s="12">
        <v>30</v>
      </c>
      <c r="O28">
        <f t="shared" si="1"/>
        <v>1</v>
      </c>
    </row>
    <row r="29" spans="1:16" x14ac:dyDescent="0.25">
      <c r="A29">
        <f t="shared" si="2"/>
        <v>43612058</v>
      </c>
      <c r="B29">
        <v>4</v>
      </c>
      <c r="C29">
        <v>3</v>
      </c>
      <c r="D29">
        <v>6</v>
      </c>
      <c r="E29">
        <v>1</v>
      </c>
      <c r="F29">
        <v>2</v>
      </c>
      <c r="G29">
        <v>0</v>
      </c>
      <c r="H29">
        <v>5</v>
      </c>
      <c r="I29">
        <f t="shared" si="0"/>
        <v>8</v>
      </c>
      <c r="J29">
        <f t="shared" si="3"/>
        <v>122</v>
      </c>
      <c r="K29">
        <f t="shared" si="4"/>
        <v>2</v>
      </c>
      <c r="N29" s="12">
        <v>31</v>
      </c>
      <c r="O29">
        <f t="shared" si="1"/>
        <v>1</v>
      </c>
    </row>
    <row r="30" spans="1:16" x14ac:dyDescent="0.25">
      <c r="A30">
        <f t="shared" si="2"/>
        <v>30661224</v>
      </c>
      <c r="B30">
        <v>3</v>
      </c>
      <c r="C30">
        <v>0</v>
      </c>
      <c r="D30">
        <v>6</v>
      </c>
      <c r="E30">
        <v>6</v>
      </c>
      <c r="F30">
        <v>1</v>
      </c>
      <c r="G30">
        <v>2</v>
      </c>
      <c r="H30">
        <v>2</v>
      </c>
      <c r="I30">
        <f t="shared" si="0"/>
        <v>4</v>
      </c>
      <c r="J30">
        <f t="shared" si="3"/>
        <v>116</v>
      </c>
      <c r="K30">
        <f t="shared" si="4"/>
        <v>6</v>
      </c>
      <c r="N30" s="11">
        <v>32</v>
      </c>
      <c r="O30">
        <f t="shared" si="1"/>
        <v>1</v>
      </c>
    </row>
    <row r="31" spans="1:16" x14ac:dyDescent="0.25">
      <c r="A31">
        <f t="shared" si="2"/>
        <v>56821450</v>
      </c>
      <c r="B31">
        <v>5</v>
      </c>
      <c r="C31">
        <v>6</v>
      </c>
      <c r="D31">
        <v>8</v>
      </c>
      <c r="E31">
        <v>2</v>
      </c>
      <c r="F31">
        <v>1</v>
      </c>
      <c r="G31">
        <v>4</v>
      </c>
      <c r="H31">
        <v>5</v>
      </c>
      <c r="I31">
        <f t="shared" si="0"/>
        <v>0</v>
      </c>
      <c r="J31">
        <f t="shared" si="3"/>
        <v>180</v>
      </c>
      <c r="K31">
        <f t="shared" si="4"/>
        <v>0</v>
      </c>
    </row>
    <row r="32" spans="1:16" x14ac:dyDescent="0.25">
      <c r="A32">
        <f t="shared" si="2"/>
        <v>65423582</v>
      </c>
      <c r="B32">
        <v>6</v>
      </c>
      <c r="C32">
        <v>5</v>
      </c>
      <c r="D32">
        <v>4</v>
      </c>
      <c r="E32">
        <v>2</v>
      </c>
      <c r="F32">
        <v>3</v>
      </c>
      <c r="G32">
        <v>5</v>
      </c>
      <c r="H32">
        <v>8</v>
      </c>
      <c r="I32">
        <f t="shared" si="0"/>
        <v>2</v>
      </c>
      <c r="J32">
        <f t="shared" si="3"/>
        <v>168</v>
      </c>
      <c r="K32">
        <f t="shared" si="4"/>
        <v>8</v>
      </c>
    </row>
    <row r="39" spans="1:9" x14ac:dyDescent="0.25">
      <c r="A39" t="s">
        <v>164</v>
      </c>
      <c r="B39" t="s">
        <v>165</v>
      </c>
      <c r="C39" t="s">
        <v>166</v>
      </c>
      <c r="D39" t="s">
        <v>167</v>
      </c>
      <c r="E39" t="str">
        <f>+MID(A39,FIND("(",A39)+1,10)</f>
        <v>1</v>
      </c>
      <c r="F39" t="str">
        <f>+MID(B39,FIND("'",B39)+1,FIND("'",B39,3)-FIND("'",B39)-1)</f>
        <v>El Solarium</v>
      </c>
      <c r="G39" t="str">
        <f>+MID(C39,FIND("'",C39)+1,FIND("'",C39,3)-FIND("'",C39)-1)</f>
        <v>2023-01-15</v>
      </c>
      <c r="H39" t="str">
        <f>+MID(D39,FIND("'",D39)+1,FIND("'",D39,3)-FIND("'",D39)-1)</f>
        <v>2023-01-20</v>
      </c>
      <c r="I39">
        <f>+FIND("'",B39,3)</f>
        <v>14</v>
      </c>
    </row>
    <row r="40" spans="1:9" x14ac:dyDescent="0.25">
      <c r="A40" t="s">
        <v>168</v>
      </c>
      <c r="B40" t="s">
        <v>169</v>
      </c>
      <c r="C40" t="s">
        <v>170</v>
      </c>
      <c r="D40" t="s">
        <v>171</v>
      </c>
      <c r="E40" t="str">
        <f t="shared" ref="E40:E94" si="5">+MID(A40,FIND("(",A40)+1,10)</f>
        <v>2</v>
      </c>
      <c r="F40" t="str">
        <f t="shared" ref="F40:F94" si="6">+MID(B40,FIND("'",B40)+1,FIND("'",B40,3)-FIND("'",B40)-1)</f>
        <v>La Almohada</v>
      </c>
      <c r="G40" t="str">
        <f t="shared" ref="G40:G94" si="7">+MID(C40,FIND("'",C40)+1,FIND("'",C40,3)-FIND("'",C40)-1)</f>
        <v>2023-02-05</v>
      </c>
      <c r="H40" t="str">
        <f t="shared" ref="H40:H94" si="8">+MID(D40,FIND("'",D40)+1,FIND("'",D40,3)-FIND("'",D40)-1)</f>
        <v>2023-02-10</v>
      </c>
    </row>
    <row r="41" spans="1:9" x14ac:dyDescent="0.25">
      <c r="A41" t="s">
        <v>172</v>
      </c>
      <c r="B41" t="s">
        <v>173</v>
      </c>
      <c r="C41" t="s">
        <v>174</v>
      </c>
      <c r="D41" t="s">
        <v>175</v>
      </c>
      <c r="E41" t="str">
        <f t="shared" si="5"/>
        <v>3</v>
      </c>
      <c r="F41" t="str">
        <f t="shared" si="6"/>
        <v>La Cueva</v>
      </c>
      <c r="G41" t="str">
        <f t="shared" si="7"/>
        <v>2023-03-12</v>
      </c>
      <c r="H41" t="str">
        <f t="shared" si="8"/>
        <v>2023-03-18</v>
      </c>
    </row>
    <row r="42" spans="1:9" x14ac:dyDescent="0.25">
      <c r="A42" t="s">
        <v>176</v>
      </c>
      <c r="B42" t="s">
        <v>177</v>
      </c>
      <c r="C42" t="s">
        <v>178</v>
      </c>
      <c r="D42" t="s">
        <v>179</v>
      </c>
      <c r="E42" t="str">
        <f t="shared" si="5"/>
        <v>4</v>
      </c>
      <c r="F42" t="str">
        <f t="shared" si="6"/>
        <v>El Rascador</v>
      </c>
      <c r="G42" t="str">
        <f t="shared" si="7"/>
        <v>2023-04-01</v>
      </c>
      <c r="H42" t="str">
        <f t="shared" si="8"/>
        <v>2023-04-07</v>
      </c>
    </row>
    <row r="43" spans="1:9" x14ac:dyDescent="0.25">
      <c r="A43" t="s">
        <v>180</v>
      </c>
      <c r="B43" t="s">
        <v>181</v>
      </c>
      <c r="C43" t="s">
        <v>182</v>
      </c>
      <c r="D43" t="s">
        <v>183</v>
      </c>
      <c r="E43" t="str">
        <f t="shared" si="5"/>
        <v>5</v>
      </c>
      <c r="F43" t="str">
        <f t="shared" si="6"/>
        <v>El Mirador</v>
      </c>
      <c r="G43" t="str">
        <f t="shared" si="7"/>
        <v>2023-05-10</v>
      </c>
      <c r="H43" t="str">
        <f t="shared" si="8"/>
        <v>2023-05-15</v>
      </c>
    </row>
    <row r="44" spans="1:9" x14ac:dyDescent="0.25">
      <c r="A44" t="s">
        <v>184</v>
      </c>
      <c r="B44" t="s">
        <v>185</v>
      </c>
      <c r="C44" t="s">
        <v>186</v>
      </c>
      <c r="D44" t="s">
        <v>187</v>
      </c>
      <c r="E44" t="str">
        <f t="shared" si="5"/>
        <v>6</v>
      </c>
      <c r="F44" t="str">
        <f t="shared" si="6"/>
        <v>La Caja</v>
      </c>
      <c r="G44" t="str">
        <f t="shared" si="7"/>
        <v>2023-06-20</v>
      </c>
      <c r="H44" t="str">
        <f t="shared" si="8"/>
        <v>2023-06-25</v>
      </c>
    </row>
    <row r="45" spans="1:9" x14ac:dyDescent="0.25">
      <c r="A45" t="s">
        <v>188</v>
      </c>
      <c r="B45" t="s">
        <v>189</v>
      </c>
      <c r="C45" t="s">
        <v>190</v>
      </c>
      <c r="D45" t="s">
        <v>191</v>
      </c>
      <c r="E45" t="str">
        <f t="shared" si="5"/>
        <v>7</v>
      </c>
      <c r="F45" t="str">
        <f t="shared" si="6"/>
        <v>El Árbol</v>
      </c>
      <c r="G45" t="str">
        <f t="shared" si="7"/>
        <v>2023-07-05</v>
      </c>
      <c r="H45" t="str">
        <f t="shared" si="8"/>
        <v>2023-07-12</v>
      </c>
    </row>
    <row r="46" spans="1:9" x14ac:dyDescent="0.25">
      <c r="A46" t="s">
        <v>192</v>
      </c>
      <c r="B46" t="s">
        <v>193</v>
      </c>
      <c r="C46" t="s">
        <v>194</v>
      </c>
      <c r="D46" t="s">
        <v>195</v>
      </c>
      <c r="E46" t="str">
        <f t="shared" si="5"/>
        <v>8</v>
      </c>
      <c r="F46" t="str">
        <f t="shared" si="6"/>
        <v>El Jardín</v>
      </c>
      <c r="G46" t="str">
        <f t="shared" si="7"/>
        <v>2023-08-01</v>
      </c>
      <c r="H46" t="str">
        <f t="shared" si="8"/>
        <v>2023-08-08</v>
      </c>
    </row>
    <row r="47" spans="1:9" x14ac:dyDescent="0.25">
      <c r="A47" t="s">
        <v>196</v>
      </c>
      <c r="B47" t="s">
        <v>197</v>
      </c>
      <c r="C47" t="s">
        <v>198</v>
      </c>
      <c r="D47" t="s">
        <v>199</v>
      </c>
      <c r="E47" t="str">
        <f t="shared" si="5"/>
        <v>9</v>
      </c>
      <c r="F47" t="str">
        <f t="shared" si="6"/>
        <v>La Estantería</v>
      </c>
      <c r="G47" t="str">
        <f t="shared" si="7"/>
        <v>2023-09-15</v>
      </c>
      <c r="H47" t="str">
        <f t="shared" si="8"/>
        <v>2023-09-22</v>
      </c>
    </row>
    <row r="48" spans="1:9" x14ac:dyDescent="0.25">
      <c r="A48" t="s">
        <v>200</v>
      </c>
      <c r="B48" t="s">
        <v>165</v>
      </c>
      <c r="C48" t="s">
        <v>201</v>
      </c>
      <c r="D48" t="s">
        <v>202</v>
      </c>
      <c r="E48" t="str">
        <f t="shared" si="5"/>
        <v>10</v>
      </c>
      <c r="F48" t="str">
        <f t="shared" si="6"/>
        <v>El Solarium</v>
      </c>
      <c r="G48" t="str">
        <f t="shared" si="7"/>
        <v>2023-10-10</v>
      </c>
      <c r="H48" t="str">
        <f t="shared" si="8"/>
        <v>2023-10-17</v>
      </c>
    </row>
    <row r="49" spans="1:8" x14ac:dyDescent="0.25">
      <c r="A49" t="s">
        <v>203</v>
      </c>
      <c r="B49" t="s">
        <v>169</v>
      </c>
      <c r="C49" t="s">
        <v>204</v>
      </c>
      <c r="D49" t="s">
        <v>205</v>
      </c>
      <c r="E49" t="str">
        <f t="shared" si="5"/>
        <v>11</v>
      </c>
      <c r="F49" t="str">
        <f t="shared" si="6"/>
        <v>La Almohada</v>
      </c>
      <c r="G49" t="str">
        <f t="shared" si="7"/>
        <v>2023-11-05</v>
      </c>
      <c r="H49" t="str">
        <f t="shared" si="8"/>
        <v>2023-11-12</v>
      </c>
    </row>
    <row r="50" spans="1:8" x14ac:dyDescent="0.25">
      <c r="A50" t="s">
        <v>206</v>
      </c>
      <c r="B50" t="s">
        <v>173</v>
      </c>
      <c r="C50" t="s">
        <v>207</v>
      </c>
      <c r="D50" t="s">
        <v>208</v>
      </c>
      <c r="E50" t="str">
        <f t="shared" si="5"/>
        <v>12</v>
      </c>
      <c r="F50" t="str">
        <f t="shared" si="6"/>
        <v>La Cueva</v>
      </c>
      <c r="G50" t="str">
        <f t="shared" si="7"/>
        <v>2023-12-01</v>
      </c>
      <c r="H50" t="str">
        <f t="shared" si="8"/>
        <v>2023-12-08</v>
      </c>
    </row>
    <row r="51" spans="1:8" x14ac:dyDescent="0.25">
      <c r="A51" t="s">
        <v>209</v>
      </c>
      <c r="B51" t="s">
        <v>177</v>
      </c>
      <c r="C51" t="s">
        <v>210</v>
      </c>
      <c r="D51" t="s">
        <v>211</v>
      </c>
      <c r="E51" t="str">
        <f t="shared" si="5"/>
        <v>13</v>
      </c>
      <c r="F51" t="str">
        <f t="shared" si="6"/>
        <v>El Rascador</v>
      </c>
      <c r="G51" t="str">
        <f t="shared" si="7"/>
        <v>2024-01-05</v>
      </c>
      <c r="H51" t="str">
        <f t="shared" si="8"/>
        <v>2024-01-10</v>
      </c>
    </row>
    <row r="52" spans="1:8" x14ac:dyDescent="0.25">
      <c r="A52" t="s">
        <v>212</v>
      </c>
      <c r="B52" t="s">
        <v>181</v>
      </c>
      <c r="C52" t="s">
        <v>213</v>
      </c>
      <c r="D52" t="s">
        <v>214</v>
      </c>
      <c r="E52" t="str">
        <f t="shared" si="5"/>
        <v>14</v>
      </c>
      <c r="F52" t="str">
        <f t="shared" si="6"/>
        <v>El Mirador</v>
      </c>
      <c r="G52" t="str">
        <f t="shared" si="7"/>
        <v>2024-02-01</v>
      </c>
      <c r="H52" t="str">
        <f t="shared" si="8"/>
        <v>2024-02-06</v>
      </c>
    </row>
    <row r="53" spans="1:8" x14ac:dyDescent="0.25">
      <c r="A53" t="s">
        <v>215</v>
      </c>
      <c r="B53" t="s">
        <v>185</v>
      </c>
      <c r="C53" t="s">
        <v>216</v>
      </c>
      <c r="D53" t="s">
        <v>217</v>
      </c>
      <c r="E53" t="str">
        <f t="shared" si="5"/>
        <v>15</v>
      </c>
      <c r="F53" t="str">
        <f t="shared" si="6"/>
        <v>La Caja</v>
      </c>
      <c r="G53" t="str">
        <f t="shared" si="7"/>
        <v>2024-03-01</v>
      </c>
      <c r="H53" t="str">
        <f t="shared" si="8"/>
        <v>2024-03-08</v>
      </c>
    </row>
    <row r="54" spans="1:8" x14ac:dyDescent="0.25">
      <c r="A54" t="s">
        <v>218</v>
      </c>
      <c r="B54" t="s">
        <v>189</v>
      </c>
      <c r="C54" t="s">
        <v>219</v>
      </c>
      <c r="D54" t="s">
        <v>220</v>
      </c>
      <c r="E54" t="str">
        <f t="shared" si="5"/>
        <v>16</v>
      </c>
      <c r="F54" t="str">
        <f t="shared" si="6"/>
        <v>El Árbol</v>
      </c>
      <c r="G54" t="str">
        <f t="shared" si="7"/>
        <v>2024-04-10</v>
      </c>
      <c r="H54" t="str">
        <f t="shared" si="8"/>
        <v>2024-04-15</v>
      </c>
    </row>
    <row r="55" spans="1:8" x14ac:dyDescent="0.25">
      <c r="A55" t="s">
        <v>164</v>
      </c>
      <c r="B55" t="s">
        <v>193</v>
      </c>
      <c r="C55" t="s">
        <v>221</v>
      </c>
      <c r="D55" t="s">
        <v>222</v>
      </c>
      <c r="E55" t="str">
        <f t="shared" si="5"/>
        <v>1</v>
      </c>
      <c r="F55" t="str">
        <f t="shared" si="6"/>
        <v>El Jardín</v>
      </c>
      <c r="G55" t="str">
        <f t="shared" si="7"/>
        <v>2024-05-20</v>
      </c>
      <c r="H55" t="str">
        <f t="shared" si="8"/>
        <v>2024-05-25</v>
      </c>
    </row>
    <row r="56" spans="1:8" x14ac:dyDescent="0.25">
      <c r="A56" t="s">
        <v>168</v>
      </c>
      <c r="B56" t="s">
        <v>197</v>
      </c>
      <c r="C56" t="s">
        <v>223</v>
      </c>
      <c r="D56" t="s">
        <v>224</v>
      </c>
      <c r="E56" t="str">
        <f t="shared" si="5"/>
        <v>2</v>
      </c>
      <c r="F56" t="str">
        <f t="shared" si="6"/>
        <v>La Estantería</v>
      </c>
      <c r="G56" t="str">
        <f t="shared" si="7"/>
        <v>2024-06-10</v>
      </c>
      <c r="H56" t="str">
        <f t="shared" si="8"/>
        <v>2024-06-18</v>
      </c>
    </row>
    <row r="57" spans="1:8" x14ac:dyDescent="0.25">
      <c r="A57" t="s">
        <v>172</v>
      </c>
      <c r="B57" t="s">
        <v>165</v>
      </c>
      <c r="C57" t="s">
        <v>225</v>
      </c>
      <c r="D57" t="s">
        <v>226</v>
      </c>
      <c r="E57" t="str">
        <f t="shared" si="5"/>
        <v>3</v>
      </c>
      <c r="F57" t="str">
        <f t="shared" si="6"/>
        <v>El Solarium</v>
      </c>
      <c r="G57" t="str">
        <f t="shared" si="7"/>
        <v>2024-07-01</v>
      </c>
      <c r="H57" t="str">
        <f t="shared" si="8"/>
        <v>2024-07-08</v>
      </c>
    </row>
    <row r="58" spans="1:8" x14ac:dyDescent="0.25">
      <c r="A58" t="s">
        <v>176</v>
      </c>
      <c r="B58" t="s">
        <v>169</v>
      </c>
      <c r="C58" t="s">
        <v>227</v>
      </c>
      <c r="D58" t="s">
        <v>228</v>
      </c>
      <c r="E58" t="str">
        <f t="shared" si="5"/>
        <v>4</v>
      </c>
      <c r="F58" t="str">
        <f t="shared" si="6"/>
        <v>La Almohada</v>
      </c>
      <c r="G58" t="str">
        <f t="shared" si="7"/>
        <v>2024-08-15</v>
      </c>
      <c r="H58" t="str">
        <f t="shared" si="8"/>
        <v>2024-08-22</v>
      </c>
    </row>
    <row r="59" spans="1:8" x14ac:dyDescent="0.25">
      <c r="A59" t="s">
        <v>180</v>
      </c>
      <c r="B59" t="s">
        <v>173</v>
      </c>
      <c r="C59" t="s">
        <v>229</v>
      </c>
      <c r="D59" t="s">
        <v>230</v>
      </c>
      <c r="E59" t="str">
        <f t="shared" si="5"/>
        <v>5</v>
      </c>
      <c r="F59" t="str">
        <f t="shared" si="6"/>
        <v>La Cueva</v>
      </c>
      <c r="G59" t="str">
        <f t="shared" si="7"/>
        <v>2024-09-10</v>
      </c>
      <c r="H59" t="str">
        <f t="shared" si="8"/>
        <v>2024-09-17</v>
      </c>
    </row>
    <row r="60" spans="1:8" x14ac:dyDescent="0.25">
      <c r="A60" t="s">
        <v>184</v>
      </c>
      <c r="B60" t="s">
        <v>177</v>
      </c>
      <c r="C60" t="s">
        <v>231</v>
      </c>
      <c r="D60" t="s">
        <v>232</v>
      </c>
      <c r="E60" t="str">
        <f t="shared" si="5"/>
        <v>6</v>
      </c>
      <c r="F60" t="str">
        <f t="shared" si="6"/>
        <v>El Rascador</v>
      </c>
      <c r="G60" t="str">
        <f t="shared" si="7"/>
        <v>2024-10-05</v>
      </c>
      <c r="H60" t="str">
        <f t="shared" si="8"/>
        <v>2024-10-12</v>
      </c>
    </row>
    <row r="61" spans="1:8" x14ac:dyDescent="0.25">
      <c r="A61" t="s">
        <v>188</v>
      </c>
      <c r="B61" t="s">
        <v>181</v>
      </c>
      <c r="C61" t="s">
        <v>233</v>
      </c>
      <c r="D61" t="s">
        <v>234</v>
      </c>
      <c r="E61" t="str">
        <f t="shared" si="5"/>
        <v>7</v>
      </c>
      <c r="F61" t="str">
        <f t="shared" si="6"/>
        <v>El Mirador</v>
      </c>
      <c r="G61" t="str">
        <f t="shared" si="7"/>
        <v>2024-11-01</v>
      </c>
      <c r="H61" t="str">
        <f t="shared" si="8"/>
        <v>2024-11-07</v>
      </c>
    </row>
    <row r="62" spans="1:8" x14ac:dyDescent="0.25">
      <c r="A62" t="s">
        <v>192</v>
      </c>
      <c r="B62" t="s">
        <v>185</v>
      </c>
      <c r="C62" t="s">
        <v>235</v>
      </c>
      <c r="D62" t="s">
        <v>236</v>
      </c>
      <c r="E62" t="str">
        <f t="shared" si="5"/>
        <v>8</v>
      </c>
      <c r="F62" t="str">
        <f t="shared" si="6"/>
        <v>La Caja</v>
      </c>
      <c r="G62" t="str">
        <f t="shared" si="7"/>
        <v>2024-12-01</v>
      </c>
      <c r="H62" t="str">
        <f t="shared" si="8"/>
        <v>2024-12-07</v>
      </c>
    </row>
    <row r="63" spans="1:8" x14ac:dyDescent="0.25">
      <c r="A63" t="s">
        <v>196</v>
      </c>
      <c r="B63" t="s">
        <v>189</v>
      </c>
      <c r="C63" t="s">
        <v>166</v>
      </c>
      <c r="D63" t="s">
        <v>237</v>
      </c>
      <c r="E63" t="str">
        <f t="shared" si="5"/>
        <v>9</v>
      </c>
      <c r="F63" t="str">
        <f t="shared" si="6"/>
        <v>El Árbol</v>
      </c>
      <c r="G63" t="str">
        <f t="shared" si="7"/>
        <v>2023-01-15</v>
      </c>
      <c r="H63" t="str">
        <f t="shared" si="8"/>
        <v>2023-01-22</v>
      </c>
    </row>
    <row r="64" spans="1:8" x14ac:dyDescent="0.25">
      <c r="A64" t="s">
        <v>200</v>
      </c>
      <c r="B64" t="s">
        <v>193</v>
      </c>
      <c r="C64" t="s">
        <v>238</v>
      </c>
      <c r="D64" t="s">
        <v>239</v>
      </c>
      <c r="E64" t="str">
        <f t="shared" si="5"/>
        <v>10</v>
      </c>
      <c r="F64" t="str">
        <f t="shared" si="6"/>
        <v>El Jardín</v>
      </c>
      <c r="G64" t="str">
        <f t="shared" si="7"/>
        <v>2023-02-10</v>
      </c>
      <c r="H64" t="str">
        <f t="shared" si="8"/>
        <v>2023-02-17</v>
      </c>
    </row>
    <row r="65" spans="1:8" x14ac:dyDescent="0.25">
      <c r="A65" t="s">
        <v>203</v>
      </c>
      <c r="B65" t="s">
        <v>197</v>
      </c>
      <c r="C65" t="s">
        <v>240</v>
      </c>
      <c r="D65" t="s">
        <v>241</v>
      </c>
      <c r="E65" t="str">
        <f t="shared" si="5"/>
        <v>11</v>
      </c>
      <c r="F65" t="str">
        <f t="shared" si="6"/>
        <v>La Estantería</v>
      </c>
      <c r="G65" t="str">
        <f t="shared" si="7"/>
        <v>2023-03-05</v>
      </c>
      <c r="H65" t="str">
        <f t="shared" si="8"/>
        <v>2023-03-12</v>
      </c>
    </row>
    <row r="66" spans="1:8" x14ac:dyDescent="0.25">
      <c r="A66" t="s">
        <v>206</v>
      </c>
      <c r="B66" t="s">
        <v>165</v>
      </c>
      <c r="C66" t="s">
        <v>242</v>
      </c>
      <c r="D66" t="s">
        <v>243</v>
      </c>
      <c r="E66" t="str">
        <f t="shared" si="5"/>
        <v>12</v>
      </c>
      <c r="F66" t="str">
        <f t="shared" si="6"/>
        <v>El Solarium</v>
      </c>
      <c r="G66" t="str">
        <f t="shared" si="7"/>
        <v>2023-04-15</v>
      </c>
      <c r="H66" t="str">
        <f t="shared" si="8"/>
        <v>2023-04-22</v>
      </c>
    </row>
    <row r="67" spans="1:8" x14ac:dyDescent="0.25">
      <c r="A67" t="s">
        <v>209</v>
      </c>
      <c r="B67" t="s">
        <v>169</v>
      </c>
      <c r="C67" t="s">
        <v>244</v>
      </c>
      <c r="D67" t="s">
        <v>245</v>
      </c>
      <c r="E67" t="str">
        <f t="shared" si="5"/>
        <v>13</v>
      </c>
      <c r="F67" t="str">
        <f t="shared" si="6"/>
        <v>La Almohada</v>
      </c>
      <c r="G67" t="str">
        <f t="shared" si="7"/>
        <v>2023-05-05</v>
      </c>
      <c r="H67" t="str">
        <f t="shared" si="8"/>
        <v>2023-05-12</v>
      </c>
    </row>
    <row r="68" spans="1:8" x14ac:dyDescent="0.25">
      <c r="A68" t="s">
        <v>212</v>
      </c>
      <c r="B68" t="s">
        <v>173</v>
      </c>
      <c r="C68" t="s">
        <v>246</v>
      </c>
      <c r="D68" t="s">
        <v>247</v>
      </c>
      <c r="E68" t="str">
        <f t="shared" si="5"/>
        <v>14</v>
      </c>
      <c r="F68" t="str">
        <f t="shared" si="6"/>
        <v>La Cueva</v>
      </c>
      <c r="G68" t="str">
        <f t="shared" si="7"/>
        <v>2023-06-01</v>
      </c>
      <c r="H68" t="str">
        <f t="shared" si="8"/>
        <v>2023-06-08</v>
      </c>
    </row>
    <row r="69" spans="1:8" x14ac:dyDescent="0.25">
      <c r="A69" t="s">
        <v>215</v>
      </c>
      <c r="B69" t="s">
        <v>177</v>
      </c>
      <c r="C69" t="s">
        <v>248</v>
      </c>
      <c r="D69" t="s">
        <v>249</v>
      </c>
      <c r="E69" t="str">
        <f t="shared" si="5"/>
        <v>15</v>
      </c>
      <c r="F69" t="str">
        <f t="shared" si="6"/>
        <v>El Rascador</v>
      </c>
      <c r="G69" t="str">
        <f t="shared" si="7"/>
        <v>2023-07-10</v>
      </c>
      <c r="H69" t="str">
        <f t="shared" si="8"/>
        <v>2023-07-17</v>
      </c>
    </row>
    <row r="70" spans="1:8" x14ac:dyDescent="0.25">
      <c r="A70" t="s">
        <v>218</v>
      </c>
      <c r="B70" t="s">
        <v>181</v>
      </c>
      <c r="C70" t="s">
        <v>250</v>
      </c>
      <c r="D70" t="s">
        <v>251</v>
      </c>
      <c r="E70" t="str">
        <f t="shared" si="5"/>
        <v>16</v>
      </c>
      <c r="F70" t="str">
        <f t="shared" si="6"/>
        <v>El Mirador</v>
      </c>
      <c r="G70" t="str">
        <f t="shared" si="7"/>
        <v>2023-08-20</v>
      </c>
      <c r="H70" t="str">
        <f t="shared" si="8"/>
        <v>2023-08-27</v>
      </c>
    </row>
    <row r="71" spans="1:8" x14ac:dyDescent="0.25">
      <c r="A71" t="s">
        <v>164</v>
      </c>
      <c r="B71" t="s">
        <v>185</v>
      </c>
      <c r="C71" t="s">
        <v>252</v>
      </c>
      <c r="D71" t="s">
        <v>253</v>
      </c>
      <c r="E71" t="str">
        <f t="shared" si="5"/>
        <v>1</v>
      </c>
      <c r="F71" t="str">
        <f t="shared" si="6"/>
        <v>La Caja</v>
      </c>
      <c r="G71" t="str">
        <f t="shared" si="7"/>
        <v>2023-09-05</v>
      </c>
      <c r="H71" t="str">
        <f t="shared" si="8"/>
        <v>2023-09-12</v>
      </c>
    </row>
    <row r="72" spans="1:8" x14ac:dyDescent="0.25">
      <c r="A72" t="s">
        <v>168</v>
      </c>
      <c r="B72" t="s">
        <v>189</v>
      </c>
      <c r="C72" t="s">
        <v>254</v>
      </c>
      <c r="D72" t="s">
        <v>255</v>
      </c>
      <c r="E72" t="str">
        <f t="shared" si="5"/>
        <v>2</v>
      </c>
      <c r="F72" t="str">
        <f t="shared" si="6"/>
        <v>El Árbol</v>
      </c>
      <c r="G72" t="str">
        <f t="shared" si="7"/>
        <v>2023-10-15</v>
      </c>
      <c r="H72" t="str">
        <f t="shared" si="8"/>
        <v>2023-10-22</v>
      </c>
    </row>
    <row r="73" spans="1:8" x14ac:dyDescent="0.25">
      <c r="A73" t="s">
        <v>172</v>
      </c>
      <c r="B73" t="s">
        <v>193</v>
      </c>
      <c r="C73" t="s">
        <v>256</v>
      </c>
      <c r="D73" t="s">
        <v>257</v>
      </c>
      <c r="E73" t="str">
        <f t="shared" si="5"/>
        <v>3</v>
      </c>
      <c r="F73" t="str">
        <f t="shared" si="6"/>
        <v>El Jardín</v>
      </c>
      <c r="G73" t="str">
        <f t="shared" si="7"/>
        <v>2023-11-01</v>
      </c>
      <c r="H73" t="str">
        <f t="shared" si="8"/>
        <v>2023-11-08</v>
      </c>
    </row>
    <row r="74" spans="1:8" x14ac:dyDescent="0.25">
      <c r="A74" t="s">
        <v>176</v>
      </c>
      <c r="B74" t="s">
        <v>197</v>
      </c>
      <c r="C74" t="s">
        <v>258</v>
      </c>
      <c r="D74" t="s">
        <v>259</v>
      </c>
      <c r="E74" t="str">
        <f t="shared" si="5"/>
        <v>4</v>
      </c>
      <c r="F74" t="str">
        <f t="shared" si="6"/>
        <v>La Estantería</v>
      </c>
      <c r="G74" t="str">
        <f t="shared" si="7"/>
        <v>2023-12-05</v>
      </c>
      <c r="H74" t="str">
        <f t="shared" si="8"/>
        <v>2023-12-12</v>
      </c>
    </row>
    <row r="75" spans="1:8" x14ac:dyDescent="0.25">
      <c r="A75" t="s">
        <v>180</v>
      </c>
      <c r="B75" t="s">
        <v>165</v>
      </c>
      <c r="C75" t="s">
        <v>260</v>
      </c>
      <c r="D75" t="s">
        <v>261</v>
      </c>
      <c r="E75" t="str">
        <f t="shared" si="5"/>
        <v>5</v>
      </c>
      <c r="F75" t="str">
        <f t="shared" si="6"/>
        <v>El Solarium</v>
      </c>
      <c r="G75" t="str">
        <f t="shared" si="7"/>
        <v>2024-01-15</v>
      </c>
      <c r="H75" t="str">
        <f t="shared" si="8"/>
        <v>2024-01-22</v>
      </c>
    </row>
    <row r="76" spans="1:8" x14ac:dyDescent="0.25">
      <c r="A76" t="s">
        <v>184</v>
      </c>
      <c r="B76" t="s">
        <v>169</v>
      </c>
      <c r="C76" t="s">
        <v>262</v>
      </c>
      <c r="D76" t="s">
        <v>263</v>
      </c>
      <c r="E76" t="str">
        <f t="shared" si="5"/>
        <v>6</v>
      </c>
      <c r="F76" t="str">
        <f t="shared" si="6"/>
        <v>La Almohada</v>
      </c>
      <c r="G76" t="str">
        <f t="shared" si="7"/>
        <v>2024-02-05</v>
      </c>
      <c r="H76" t="str">
        <f t="shared" si="8"/>
        <v>2024-02-12</v>
      </c>
    </row>
    <row r="77" spans="1:8" x14ac:dyDescent="0.25">
      <c r="A77" t="s">
        <v>188</v>
      </c>
      <c r="B77" t="s">
        <v>173</v>
      </c>
      <c r="C77" t="s">
        <v>216</v>
      </c>
      <c r="D77" t="s">
        <v>217</v>
      </c>
      <c r="E77" t="str">
        <f t="shared" si="5"/>
        <v>7</v>
      </c>
      <c r="F77" t="str">
        <f t="shared" si="6"/>
        <v>La Cueva</v>
      </c>
      <c r="G77" t="str">
        <f t="shared" si="7"/>
        <v>2024-03-01</v>
      </c>
      <c r="H77" t="str">
        <f t="shared" si="8"/>
        <v>2024-03-08</v>
      </c>
    </row>
    <row r="78" spans="1:8" x14ac:dyDescent="0.25">
      <c r="A78" t="s">
        <v>192</v>
      </c>
      <c r="B78" t="s">
        <v>177</v>
      </c>
      <c r="C78" t="s">
        <v>264</v>
      </c>
      <c r="D78" t="s">
        <v>265</v>
      </c>
      <c r="E78" t="str">
        <f t="shared" si="5"/>
        <v>8</v>
      </c>
      <c r="F78" t="str">
        <f t="shared" si="6"/>
        <v>El Rascador</v>
      </c>
      <c r="G78" t="str">
        <f t="shared" si="7"/>
        <v>2024-04-15</v>
      </c>
      <c r="H78" t="str">
        <f t="shared" si="8"/>
        <v>2024-04-22</v>
      </c>
    </row>
    <row r="79" spans="1:8" x14ac:dyDescent="0.25">
      <c r="A79" t="s">
        <v>196</v>
      </c>
      <c r="B79" t="s">
        <v>181</v>
      </c>
      <c r="C79" t="s">
        <v>266</v>
      </c>
      <c r="D79" t="s">
        <v>267</v>
      </c>
      <c r="E79" t="str">
        <f t="shared" si="5"/>
        <v>9</v>
      </c>
      <c r="F79" t="str">
        <f t="shared" si="6"/>
        <v>El Mirador</v>
      </c>
      <c r="G79" t="str">
        <f t="shared" si="7"/>
        <v>2024-05-05</v>
      </c>
      <c r="H79" t="str">
        <f t="shared" si="8"/>
        <v>2024-05-12</v>
      </c>
    </row>
    <row r="80" spans="1:8" x14ac:dyDescent="0.25">
      <c r="A80" t="s">
        <v>200</v>
      </c>
      <c r="B80" t="s">
        <v>185</v>
      </c>
      <c r="C80" t="s">
        <v>268</v>
      </c>
      <c r="D80" t="s">
        <v>269</v>
      </c>
      <c r="E80" t="str">
        <f t="shared" si="5"/>
        <v>10</v>
      </c>
      <c r="F80" t="str">
        <f t="shared" si="6"/>
        <v>La Caja</v>
      </c>
      <c r="G80" t="str">
        <f t="shared" si="7"/>
        <v>2024-06-01</v>
      </c>
      <c r="H80" t="str">
        <f t="shared" si="8"/>
        <v>2024-06-08</v>
      </c>
    </row>
    <row r="81" spans="1:8" x14ac:dyDescent="0.25">
      <c r="A81" t="s">
        <v>203</v>
      </c>
      <c r="B81" t="s">
        <v>189</v>
      </c>
      <c r="C81" t="s">
        <v>270</v>
      </c>
      <c r="D81" t="s">
        <v>271</v>
      </c>
      <c r="E81" t="str">
        <f t="shared" si="5"/>
        <v>11</v>
      </c>
      <c r="F81" t="str">
        <f t="shared" si="6"/>
        <v>El Árbol</v>
      </c>
      <c r="G81" t="str">
        <f t="shared" si="7"/>
        <v>2024-07-10</v>
      </c>
      <c r="H81" t="str">
        <f t="shared" si="8"/>
        <v>2024-07-17</v>
      </c>
    </row>
    <row r="82" spans="1:8" x14ac:dyDescent="0.25">
      <c r="A82" t="s">
        <v>206</v>
      </c>
      <c r="B82" t="s">
        <v>193</v>
      </c>
      <c r="C82" t="s">
        <v>227</v>
      </c>
      <c r="D82" t="s">
        <v>228</v>
      </c>
      <c r="E82" t="str">
        <f t="shared" si="5"/>
        <v>12</v>
      </c>
      <c r="F82" t="str">
        <f t="shared" si="6"/>
        <v>El Jardín</v>
      </c>
      <c r="G82" t="str">
        <f t="shared" si="7"/>
        <v>2024-08-15</v>
      </c>
      <c r="H82" t="str">
        <f t="shared" si="8"/>
        <v>2024-08-22</v>
      </c>
    </row>
    <row r="83" spans="1:8" x14ac:dyDescent="0.25">
      <c r="A83" t="s">
        <v>209</v>
      </c>
      <c r="B83" t="s">
        <v>197</v>
      </c>
      <c r="C83" t="s">
        <v>272</v>
      </c>
      <c r="D83" t="s">
        <v>273</v>
      </c>
      <c r="E83" t="str">
        <f t="shared" si="5"/>
        <v>13</v>
      </c>
      <c r="F83" t="str">
        <f t="shared" si="6"/>
        <v>La Estantería</v>
      </c>
      <c r="G83" t="str">
        <f t="shared" si="7"/>
        <v>2024-09-01</v>
      </c>
      <c r="H83" t="str">
        <f t="shared" si="8"/>
        <v>2024-09-08</v>
      </c>
    </row>
    <row r="84" spans="1:8" x14ac:dyDescent="0.25">
      <c r="A84" t="s">
        <v>212</v>
      </c>
      <c r="B84" t="s">
        <v>165</v>
      </c>
      <c r="C84" t="s">
        <v>231</v>
      </c>
      <c r="D84" t="s">
        <v>232</v>
      </c>
      <c r="E84" t="str">
        <f t="shared" si="5"/>
        <v>14</v>
      </c>
      <c r="F84" t="str">
        <f t="shared" si="6"/>
        <v>El Solarium</v>
      </c>
      <c r="G84" t="str">
        <f t="shared" si="7"/>
        <v>2024-10-05</v>
      </c>
      <c r="H84" t="str">
        <f t="shared" si="8"/>
        <v>2024-10-12</v>
      </c>
    </row>
    <row r="85" spans="1:8" x14ac:dyDescent="0.25">
      <c r="A85" t="s">
        <v>215</v>
      </c>
      <c r="B85" t="s">
        <v>169</v>
      </c>
      <c r="C85" t="s">
        <v>233</v>
      </c>
      <c r="D85" t="s">
        <v>234</v>
      </c>
      <c r="E85" t="str">
        <f t="shared" si="5"/>
        <v>15</v>
      </c>
      <c r="F85" t="str">
        <f t="shared" si="6"/>
        <v>La Almohada</v>
      </c>
      <c r="G85" t="str">
        <f t="shared" si="7"/>
        <v>2024-11-01</v>
      </c>
      <c r="H85" t="str">
        <f t="shared" si="8"/>
        <v>2024-11-07</v>
      </c>
    </row>
    <row r="86" spans="1:8" x14ac:dyDescent="0.25">
      <c r="A86" t="s">
        <v>218</v>
      </c>
      <c r="B86" t="s">
        <v>173</v>
      </c>
      <c r="C86" t="s">
        <v>235</v>
      </c>
      <c r="D86" t="s">
        <v>274</v>
      </c>
      <c r="E86" t="str">
        <f t="shared" si="5"/>
        <v>16</v>
      </c>
      <c r="F86" t="str">
        <f t="shared" si="6"/>
        <v>La Cueva</v>
      </c>
      <c r="G86" t="str">
        <f t="shared" si="7"/>
        <v>2024-12-01</v>
      </c>
      <c r="H86" t="str">
        <f t="shared" si="8"/>
        <v>2024-12-08</v>
      </c>
    </row>
    <row r="87" spans="1:8" x14ac:dyDescent="0.25">
      <c r="A87" t="s">
        <v>164</v>
      </c>
      <c r="B87" t="s">
        <v>177</v>
      </c>
      <c r="C87" t="s">
        <v>275</v>
      </c>
      <c r="D87" t="s">
        <v>276</v>
      </c>
      <c r="E87" t="str">
        <f t="shared" si="5"/>
        <v>1</v>
      </c>
      <c r="F87" t="str">
        <f t="shared" si="6"/>
        <v>El Rascador</v>
      </c>
      <c r="G87" t="str">
        <f t="shared" si="7"/>
        <v>2023-01-10</v>
      </c>
      <c r="H87" t="str">
        <f t="shared" si="8"/>
        <v>2023-01-17</v>
      </c>
    </row>
    <row r="88" spans="1:8" x14ac:dyDescent="0.25">
      <c r="A88" t="s">
        <v>168</v>
      </c>
      <c r="B88" t="s">
        <v>181</v>
      </c>
      <c r="C88" t="s">
        <v>170</v>
      </c>
      <c r="D88" t="s">
        <v>277</v>
      </c>
      <c r="E88" t="str">
        <f t="shared" si="5"/>
        <v>2</v>
      </c>
      <c r="F88" t="str">
        <f t="shared" si="6"/>
        <v>El Mirador</v>
      </c>
      <c r="G88" t="str">
        <f t="shared" si="7"/>
        <v>2023-02-05</v>
      </c>
      <c r="H88" t="str">
        <f t="shared" si="8"/>
        <v>2023-02-12</v>
      </c>
    </row>
    <row r="89" spans="1:8" x14ac:dyDescent="0.25">
      <c r="A89" t="s">
        <v>172</v>
      </c>
      <c r="B89" t="s">
        <v>185</v>
      </c>
      <c r="C89" t="s">
        <v>278</v>
      </c>
      <c r="D89" t="s">
        <v>279</v>
      </c>
      <c r="E89" t="str">
        <f t="shared" si="5"/>
        <v>3</v>
      </c>
      <c r="F89" t="str">
        <f t="shared" si="6"/>
        <v>La Caja</v>
      </c>
      <c r="G89" t="str">
        <f t="shared" si="7"/>
        <v>2023-03-01</v>
      </c>
      <c r="H89" t="str">
        <f t="shared" si="8"/>
        <v>2023-03-08</v>
      </c>
    </row>
    <row r="90" spans="1:8" x14ac:dyDescent="0.25">
      <c r="A90" t="s">
        <v>176</v>
      </c>
      <c r="B90" t="s">
        <v>189</v>
      </c>
      <c r="C90" t="s">
        <v>242</v>
      </c>
      <c r="D90" t="s">
        <v>243</v>
      </c>
      <c r="E90" t="str">
        <f t="shared" si="5"/>
        <v>4</v>
      </c>
      <c r="F90" t="str">
        <f t="shared" si="6"/>
        <v>El Árbol</v>
      </c>
      <c r="G90" t="str">
        <f t="shared" si="7"/>
        <v>2023-04-15</v>
      </c>
      <c r="H90" t="str">
        <f t="shared" si="8"/>
        <v>2023-04-22</v>
      </c>
    </row>
    <row r="91" spans="1:8" x14ac:dyDescent="0.25">
      <c r="A91" t="s">
        <v>180</v>
      </c>
      <c r="B91" t="s">
        <v>193</v>
      </c>
      <c r="C91" t="s">
        <v>244</v>
      </c>
      <c r="D91" t="s">
        <v>245</v>
      </c>
      <c r="E91" t="str">
        <f t="shared" si="5"/>
        <v>5</v>
      </c>
      <c r="F91" t="str">
        <f t="shared" si="6"/>
        <v>El Jardín</v>
      </c>
      <c r="G91" t="str">
        <f t="shared" si="7"/>
        <v>2023-05-05</v>
      </c>
      <c r="H91" t="str">
        <f t="shared" si="8"/>
        <v>2023-05-12</v>
      </c>
    </row>
    <row r="92" spans="1:8" x14ac:dyDescent="0.25">
      <c r="A92" t="s">
        <v>184</v>
      </c>
      <c r="B92" t="s">
        <v>197</v>
      </c>
      <c r="C92" t="s">
        <v>246</v>
      </c>
      <c r="D92" t="s">
        <v>247</v>
      </c>
      <c r="E92" t="str">
        <f t="shared" si="5"/>
        <v>6</v>
      </c>
      <c r="F92" t="str">
        <f t="shared" si="6"/>
        <v>La Estantería</v>
      </c>
      <c r="G92" t="str">
        <f t="shared" si="7"/>
        <v>2023-06-01</v>
      </c>
      <c r="H92" t="str">
        <f t="shared" si="8"/>
        <v>2023-06-08</v>
      </c>
    </row>
    <row r="93" spans="1:8" x14ac:dyDescent="0.25">
      <c r="A93" t="s">
        <v>188</v>
      </c>
      <c r="B93" t="s">
        <v>165</v>
      </c>
      <c r="C93" t="s">
        <v>248</v>
      </c>
      <c r="D93" t="s">
        <v>249</v>
      </c>
      <c r="E93" t="str">
        <f t="shared" si="5"/>
        <v>7</v>
      </c>
      <c r="F93" t="str">
        <f t="shared" si="6"/>
        <v>El Solarium</v>
      </c>
      <c r="G93" t="str">
        <f t="shared" si="7"/>
        <v>2023-07-10</v>
      </c>
      <c r="H93" t="str">
        <f t="shared" si="8"/>
        <v>2023-07-17</v>
      </c>
    </row>
    <row r="94" spans="1:8" x14ac:dyDescent="0.25">
      <c r="A94" t="s">
        <v>192</v>
      </c>
      <c r="B94" t="s">
        <v>169</v>
      </c>
      <c r="C94" t="s">
        <v>280</v>
      </c>
      <c r="D94" t="s">
        <v>281</v>
      </c>
      <c r="E94" t="str">
        <f t="shared" si="5"/>
        <v>8</v>
      </c>
      <c r="F94" t="str">
        <f t="shared" si="6"/>
        <v>La Almohada</v>
      </c>
      <c r="G94" t="str">
        <f t="shared" si="7"/>
        <v>2023-08-15</v>
      </c>
      <c r="H94" t="str">
        <f t="shared" si="8"/>
        <v>2023-08-22</v>
      </c>
    </row>
    <row r="97" spans="1:1" x14ac:dyDescent="0.25">
      <c r="A97" t="s">
        <v>377</v>
      </c>
    </row>
    <row r="98" spans="1:1" x14ac:dyDescent="0.25">
      <c r="A98" t="s">
        <v>378</v>
      </c>
    </row>
    <row r="99" spans="1:1" x14ac:dyDescent="0.25">
      <c r="A99" t="s">
        <v>379</v>
      </c>
    </row>
    <row r="100" spans="1:1" x14ac:dyDescent="0.25">
      <c r="A100" t="s">
        <v>380</v>
      </c>
    </row>
    <row r="101" spans="1:1" x14ac:dyDescent="0.25">
      <c r="A101" t="s">
        <v>381</v>
      </c>
    </row>
    <row r="102" spans="1:1" x14ac:dyDescent="0.25">
      <c r="A102" t="s">
        <v>382</v>
      </c>
    </row>
    <row r="103" spans="1:1" x14ac:dyDescent="0.25">
      <c r="A103" t="s">
        <v>383</v>
      </c>
    </row>
    <row r="104" spans="1:1" x14ac:dyDescent="0.25">
      <c r="A104" t="s">
        <v>384</v>
      </c>
    </row>
    <row r="105" spans="1:1" x14ac:dyDescent="0.25">
      <c r="A105" t="s">
        <v>385</v>
      </c>
    </row>
    <row r="106" spans="1:1" x14ac:dyDescent="0.25">
      <c r="A106" t="s">
        <v>386</v>
      </c>
    </row>
    <row r="107" spans="1:1" x14ac:dyDescent="0.25">
      <c r="A107" t="s">
        <v>387</v>
      </c>
    </row>
    <row r="108" spans="1:1" x14ac:dyDescent="0.25">
      <c r="A108" t="s">
        <v>388</v>
      </c>
    </row>
  </sheetData>
  <autoFilter ref="N1:N30" xr:uid="{D13548F0-CBCC-42FF-9B43-D522B645239D}">
    <sortState xmlns:xlrd2="http://schemas.microsoft.com/office/spreadsheetml/2017/richdata2" ref="N2:N30">
      <sortCondition ref="N1:N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5302-0B9F-4415-A681-24375513FCB1}">
  <dimension ref="A1:L99"/>
  <sheetViews>
    <sheetView topLeftCell="A73" workbookViewId="0">
      <selection activeCell="A89" sqref="A89"/>
    </sheetView>
  </sheetViews>
  <sheetFormatPr baseColWidth="10" defaultRowHeight="15" x14ac:dyDescent="0.25"/>
  <cols>
    <col min="1" max="1" width="23.28515625" bestFit="1" customWidth="1"/>
    <col min="8" max="8" width="11.7109375" bestFit="1" customWidth="1"/>
  </cols>
  <sheetData>
    <row r="1" spans="1:9" x14ac:dyDescent="0.25">
      <c r="A1" t="s">
        <v>123</v>
      </c>
      <c r="B1" t="s">
        <v>153</v>
      </c>
      <c r="C1" t="s">
        <v>134</v>
      </c>
      <c r="D1" t="s">
        <v>135</v>
      </c>
      <c r="E1" t="s">
        <v>150</v>
      </c>
      <c r="F1" t="s">
        <v>151</v>
      </c>
      <c r="G1" t="s">
        <v>152</v>
      </c>
      <c r="H1" t="s">
        <v>148</v>
      </c>
      <c r="I1" t="s">
        <v>149</v>
      </c>
    </row>
    <row r="2" spans="1:9" x14ac:dyDescent="0.25">
      <c r="A2" s="3">
        <v>58</v>
      </c>
      <c r="B2" s="11">
        <v>13</v>
      </c>
      <c r="C2" t="str">
        <f>+_xlfn.XLOOKUP(B2,Gatos[ID],Gatos[Nombre])</f>
        <v>Luna</v>
      </c>
      <c r="D2">
        <f>+_xlfn.XLOOKUP(B2,Gatos[ID],Gatos[Propietario])</f>
        <v>60150754</v>
      </c>
      <c r="E2" t="str">
        <f>+_xlfn.XLOOKUP(D2,Propietarios[Documento],Propietarios[Nombre])</f>
        <v>Karina Paredes</v>
      </c>
      <c r="F2" t="e">
        <f>+_xlfn.XLOOKUP(A2,'Reservas'!$A$3:$A$35,'Reservas'!$C$3:$C$35)</f>
        <v>#N/A</v>
      </c>
      <c r="G2" t="e">
        <f>+_xlfn.XLOOKUP(A2,'Reservas'!$A$3:$A$35,'Reservas'!$F$3:$F$35)</f>
        <v>#N/A</v>
      </c>
      <c r="H2" s="7" t="str" cm="1">
        <f t="array" ref="H2:I2">+_xlfn.XLOOKUP(A2,Reservas[ReservaID],Reservas[[ reservaFechaInicio]:[ reservaFechaFin]])</f>
        <v>2023-08-15</v>
      </c>
      <c r="I2" s="7" t="str">
        <v>2023-08-22</v>
      </c>
    </row>
    <row r="3" spans="1:9" x14ac:dyDescent="0.25">
      <c r="A3" s="2">
        <v>26</v>
      </c>
      <c r="B3" s="12">
        <v>4</v>
      </c>
      <c r="C3" t="str">
        <f>+_xlfn.XLOOKUP(B3,Gatos[ID],Gatos[Nombre])</f>
        <v>Mish</v>
      </c>
      <c r="D3">
        <f>+_xlfn.XLOOKUP(B3,Gatos[ID],Gatos[Propietario])</f>
        <v>14406662</v>
      </c>
      <c r="E3" t="str">
        <f>+_xlfn.XLOOKUP(D3,Propietarios[Documento],Propietarios[Nombre])</f>
        <v>Camila Rodríguez</v>
      </c>
      <c r="F3" t="str">
        <f>+_xlfn.XLOOKUP(A3,'Reservas'!$A$3:$A$35,'Reservas'!$C$3:$C$35)</f>
        <v>El Rascador</v>
      </c>
      <c r="G3">
        <f>+_xlfn.XLOOKUP(A3,'Reservas'!$A$3:$A$35,'Reservas'!$F$3:$F$35)</f>
        <v>800</v>
      </c>
      <c r="H3" s="7" cm="1">
        <f t="array" ref="H3:I3">+_xlfn.XLOOKUP(A3,Reservas[ReservaID],Reservas[[ reservaFechaInicio]:[ reservaFechaFin]])</f>
        <v>45496</v>
      </c>
      <c r="I3" s="7">
        <v>45505</v>
      </c>
    </row>
    <row r="4" spans="1:9" x14ac:dyDescent="0.25">
      <c r="A4" s="3">
        <v>45</v>
      </c>
      <c r="B4" s="11">
        <v>7</v>
      </c>
      <c r="C4" t="str">
        <f>+_xlfn.XLOOKUP(B4,Gatos[ID],Gatos[Nombre])</f>
        <v>Kitty</v>
      </c>
      <c r="D4">
        <f>+_xlfn.XLOOKUP(B4,Gatos[ID],Gatos[Propietario])</f>
        <v>56779790</v>
      </c>
      <c r="E4" t="str">
        <f>+_xlfn.XLOOKUP(D4,Propietarios[Documento],Propietarios[Nombre])</f>
        <v>Gabriela Castro</v>
      </c>
      <c r="F4" t="e">
        <f>+_xlfn.XLOOKUP(A4,'Reservas'!$A$3:$A$35,'Reservas'!$C$3:$C$35)</f>
        <v>#N/A</v>
      </c>
      <c r="G4" t="e">
        <f>+_xlfn.XLOOKUP(A4,'Reservas'!$A$3:$A$35,'Reservas'!$F$3:$F$35)</f>
        <v>#N/A</v>
      </c>
      <c r="H4" s="7" t="str" cm="1">
        <f t="array" ref="H4:I4">+_xlfn.XLOOKUP(A4,Reservas[ReservaID],Reservas[[ reservaFechaInicio]:[ reservaFechaFin]])</f>
        <v>2023-04-01</v>
      </c>
      <c r="I4" s="7" t="str">
        <v>2023-04-07</v>
      </c>
    </row>
    <row r="5" spans="1:9" x14ac:dyDescent="0.25">
      <c r="A5" s="2">
        <v>51</v>
      </c>
      <c r="B5" s="12">
        <v>27</v>
      </c>
      <c r="C5" t="str">
        <f>+_xlfn.XLOOKUP(B5,Gatos[ID],Gatos[Nombre])</f>
        <v>Tom</v>
      </c>
      <c r="D5">
        <f>+_xlfn.XLOOKUP(B5,Gatos[ID],Gatos[Propietario])</f>
        <v>30240527</v>
      </c>
      <c r="E5" t="str">
        <f>+_xlfn.XLOOKUP(D5,Propietarios[Documento],Propietarios[Nombre])</f>
        <v>Elena Jiménez</v>
      </c>
      <c r="F5" t="e">
        <f>+_xlfn.XLOOKUP(A5,'Reservas'!$A$3:$A$35,'Reservas'!$C$3:$C$35)</f>
        <v>#N/A</v>
      </c>
      <c r="G5" t="e">
        <f>+_xlfn.XLOOKUP(A5,'Reservas'!$A$3:$A$35,'Reservas'!$F$3:$F$35)</f>
        <v>#N/A</v>
      </c>
      <c r="H5" s="7" t="str" cm="1">
        <f t="array" ref="H5:I5">+_xlfn.XLOOKUP(A5,Reservas[ReservaID],Reservas[[ reservaFechaInicio]:[ reservaFechaFin]])</f>
        <v>2023-06-01</v>
      </c>
      <c r="I5" s="7" t="str">
        <v>2023-06-08</v>
      </c>
    </row>
    <row r="6" spans="1:9" x14ac:dyDescent="0.25">
      <c r="A6" s="2">
        <v>9</v>
      </c>
      <c r="B6" s="12">
        <v>23</v>
      </c>
      <c r="C6" t="str">
        <f>+_xlfn.XLOOKUP(B6,Gatos[ID],Gatos[Nombre])</f>
        <v>Shadow</v>
      </c>
      <c r="D6">
        <f>+_xlfn.XLOOKUP(B6,Gatos[ID],Gatos[Propietario])</f>
        <v>12345672</v>
      </c>
      <c r="E6" t="str">
        <f>+_xlfn.XLOOKUP(D6,Propietarios[Documento],Propietarios[Nombre])</f>
        <v>Alejandro Torres</v>
      </c>
      <c r="F6" t="str">
        <f>+_xlfn.XLOOKUP(A6,'Reservas'!$A$3:$A$35,'Reservas'!$C$3:$C$35)</f>
        <v>El Solarium</v>
      </c>
      <c r="G6">
        <f>+_xlfn.XLOOKUP(A6,'Reservas'!$A$3:$A$35,'Reservas'!$F$3:$F$35)</f>
        <v>600</v>
      </c>
      <c r="H6" s="7" cm="1">
        <f t="array" ref="H6:I6">+_xlfn.XLOOKUP(A6,Reservas[ReservaID],Reservas[[ reservaFechaInicio]:[ reservaFechaFin]])</f>
        <v>45238</v>
      </c>
      <c r="I6" s="7">
        <v>45242</v>
      </c>
    </row>
    <row r="7" spans="1:9" x14ac:dyDescent="0.25">
      <c r="A7" s="3">
        <v>22</v>
      </c>
      <c r="B7" s="11">
        <v>25</v>
      </c>
      <c r="C7" t="str">
        <f>+_xlfn.XLOOKUP(B7,Gatos[ID],Gatos[Nombre])</f>
        <v>Alberto</v>
      </c>
      <c r="D7">
        <f>+_xlfn.XLOOKUP(B7,Gatos[ID],Gatos[Propietario])</f>
        <v>51953448</v>
      </c>
      <c r="E7" t="str">
        <f>+_xlfn.XLOOKUP(D7,Propietarios[Documento],Propietarios[Nombre])</f>
        <v>Beatriz Mendoza</v>
      </c>
      <c r="F7" t="str">
        <f>+_xlfn.XLOOKUP(A7,'Reservas'!$A$3:$A$35,'Reservas'!$C$3:$C$35)</f>
        <v>El Solarium</v>
      </c>
      <c r="G7">
        <f>+_xlfn.XLOOKUP(A7,'Reservas'!$A$3:$A$35,'Reservas'!$F$3:$F$35)</f>
        <v>240</v>
      </c>
      <c r="H7" s="7" cm="1">
        <f t="array" ref="H7:I7">+_xlfn.XLOOKUP(A7,Reservas[ReservaID],Reservas[[ reservaFechaInicio]:[ reservaFechaFin]])</f>
        <v>45419</v>
      </c>
      <c r="I7" s="7">
        <v>45420</v>
      </c>
    </row>
    <row r="9" spans="1:9" x14ac:dyDescent="0.25">
      <c r="A9" t="s">
        <v>154</v>
      </c>
      <c r="B9" t="s">
        <v>111</v>
      </c>
      <c r="C9" t="s">
        <v>155</v>
      </c>
      <c r="D9" t="s">
        <v>156</v>
      </c>
    </row>
    <row r="10" spans="1:9" x14ac:dyDescent="0.25">
      <c r="A10" s="2" t="s">
        <v>108</v>
      </c>
      <c r="B10">
        <f>+_xlfn.XLOOKUP(A10,Servicios[Nombre Servicio],Servicios[Precio])</f>
        <v>25</v>
      </c>
      <c r="C10">
        <f>+COUNTIF(ReservaServicio[ServicioID],Hoja2!A10)</f>
        <v>18</v>
      </c>
      <c r="D10">
        <f>+SUMIFS(ReservaServicio[Cantidad],ReservaServicio[ServicioID],Hoja2!A10,ReservaServicio[Columna2],2023)</f>
        <v>21</v>
      </c>
      <c r="F10" t="s">
        <v>109</v>
      </c>
      <c r="G10">
        <v>10</v>
      </c>
      <c r="H10">
        <v>9</v>
      </c>
      <c r="I10">
        <v>33</v>
      </c>
    </row>
    <row r="11" spans="1:9" x14ac:dyDescent="0.25">
      <c r="A11" s="3" t="s">
        <v>106</v>
      </c>
      <c r="B11">
        <f>+_xlfn.XLOOKUP(A11,Servicios[Nombre Servicio],Servicios[Precio])</f>
        <v>20</v>
      </c>
      <c r="C11">
        <f>+COUNTIF(ReservaServicio[ServicioID],Hoja2!A11)</f>
        <v>9</v>
      </c>
      <c r="D11">
        <f>+SUMIFS(ReservaServicio[Cantidad],ReservaServicio[ServicioID],Hoja2!A11,ReservaServicio[Columna2],2023)</f>
        <v>16</v>
      </c>
      <c r="F11" t="s">
        <v>105</v>
      </c>
      <c r="G11">
        <v>30</v>
      </c>
      <c r="H11">
        <v>12</v>
      </c>
      <c r="I11">
        <v>14</v>
      </c>
    </row>
    <row r="12" spans="1:9" x14ac:dyDescent="0.25">
      <c r="A12" s="2" t="s">
        <v>103</v>
      </c>
      <c r="B12">
        <f>+_xlfn.XLOOKUP(A12,Servicios[Nombre Servicio],Servicios[Precio])</f>
        <v>35</v>
      </c>
      <c r="C12">
        <f>+COUNTIF(ReservaServicio[ServicioID],Hoja2!A12)</f>
        <v>13</v>
      </c>
      <c r="D12">
        <f>+SUMIFS(ReservaServicio[Cantidad],ReservaServicio[ServicioID],Hoja2!A12,ReservaServicio[Columna2],2023)</f>
        <v>20</v>
      </c>
      <c r="F12" t="s">
        <v>107</v>
      </c>
      <c r="G12">
        <v>15</v>
      </c>
      <c r="H12">
        <v>6</v>
      </c>
      <c r="I12">
        <v>12</v>
      </c>
    </row>
    <row r="13" spans="1:9" x14ac:dyDescent="0.25">
      <c r="A13" s="3" t="s">
        <v>107</v>
      </c>
      <c r="B13">
        <f>+_xlfn.XLOOKUP(A13,Servicios[Nombre Servicio],Servicios[Precio])</f>
        <v>15</v>
      </c>
      <c r="C13">
        <f>+COUNTIF(ReservaServicio[ServicioID],Hoja2!A13)</f>
        <v>11</v>
      </c>
      <c r="D13">
        <f>+SUMIFS(ReservaServicio[Cantidad],ReservaServicio[ServicioID],Hoja2!A13,ReservaServicio[Columna2],2023)</f>
        <v>29</v>
      </c>
      <c r="F13" t="s">
        <v>103</v>
      </c>
      <c r="G13">
        <v>35</v>
      </c>
      <c r="H13">
        <v>7</v>
      </c>
      <c r="I13">
        <v>11</v>
      </c>
    </row>
    <row r="14" spans="1:9" x14ac:dyDescent="0.25">
      <c r="A14" s="2" t="s">
        <v>109</v>
      </c>
      <c r="B14">
        <f>+_xlfn.XLOOKUP(A14,Servicios[Nombre Servicio],Servicios[Precio])</f>
        <v>10</v>
      </c>
      <c r="C14">
        <f>+COUNTIF(ReservaServicio[ServicioID],Hoja2!A14)</f>
        <v>16</v>
      </c>
      <c r="D14">
        <f>+SUMIFS(ReservaServicio[Cantidad],ReservaServicio[ServicioID],Hoja2!A14,ReservaServicio[Columna2],2023)</f>
        <v>29</v>
      </c>
      <c r="F14" t="s">
        <v>108</v>
      </c>
      <c r="G14">
        <v>25</v>
      </c>
      <c r="H14">
        <v>11</v>
      </c>
      <c r="I14">
        <v>10</v>
      </c>
    </row>
    <row r="15" spans="1:9" x14ac:dyDescent="0.25">
      <c r="A15" s="3" t="s">
        <v>105</v>
      </c>
      <c r="B15">
        <f>+_xlfn.XLOOKUP(A15,Servicios[Nombre Servicio],Servicios[Precio])</f>
        <v>30</v>
      </c>
      <c r="C15">
        <f>+COUNTIF(ReservaServicio[ServicioID],Hoja2!A15)</f>
        <v>18</v>
      </c>
      <c r="D15">
        <f>+SUMIFS(ReservaServicio[Cantidad],ReservaServicio[ServicioID],Hoja2!A15,ReservaServicio[Columna2],2023)</f>
        <v>34</v>
      </c>
      <c r="F15" t="s">
        <v>106</v>
      </c>
      <c r="G15">
        <v>20</v>
      </c>
      <c r="H15">
        <v>5</v>
      </c>
      <c r="I15">
        <v>0</v>
      </c>
    </row>
    <row r="16" spans="1:9" x14ac:dyDescent="0.25">
      <c r="A16" s="2" t="s">
        <v>104</v>
      </c>
      <c r="B16">
        <f>+_xlfn.XLOOKUP(A16,Servicios[Nombre Servicio],Servicios[Precio])</f>
        <v>50</v>
      </c>
      <c r="C16">
        <f>+COUNTIF(ReservaServicio[ServicioID],Hoja2!A16)</f>
        <v>8</v>
      </c>
      <c r="D16">
        <f>+SUMIFS(ReservaServicio[Cantidad],ReservaServicio[ServicioID],Hoja2!A16,ReservaServicio[Columna2],2023)</f>
        <v>9</v>
      </c>
      <c r="F16" t="s">
        <v>104</v>
      </c>
      <c r="G16">
        <v>50</v>
      </c>
      <c r="H16">
        <v>2</v>
      </c>
      <c r="I16">
        <v>0</v>
      </c>
    </row>
    <row r="20" spans="1:12" x14ac:dyDescent="0.25">
      <c r="A20" s="9" t="s">
        <v>123</v>
      </c>
      <c r="B20" s="10" t="s">
        <v>117</v>
      </c>
      <c r="C20" t="s">
        <v>161</v>
      </c>
      <c r="D20" s="10" t="s">
        <v>118</v>
      </c>
      <c r="E20" s="2" t="s">
        <v>108</v>
      </c>
      <c r="F20" s="3" t="s">
        <v>106</v>
      </c>
      <c r="G20" s="2" t="s">
        <v>103</v>
      </c>
      <c r="H20" s="3" t="s">
        <v>107</v>
      </c>
      <c r="I20" s="2" t="s">
        <v>109</v>
      </c>
      <c r="J20" s="3" t="s">
        <v>105</v>
      </c>
      <c r="K20" s="2" t="s">
        <v>104</v>
      </c>
    </row>
    <row r="21" spans="1:12" x14ac:dyDescent="0.25">
      <c r="A21" s="3">
        <v>10</v>
      </c>
      <c r="B21" s="11">
        <v>5</v>
      </c>
      <c r="C21" t="str">
        <f>+_xlfn.XLOOKUP(B21,Gatos[ID],Gatos[Nombre])</f>
        <v>Ginger</v>
      </c>
      <c r="D21" s="14" t="s">
        <v>139</v>
      </c>
      <c r="E21">
        <f>+COUNTIFS(ReservaServicio[ServicioID],Hoja2!E$20,ReservaServicio[ReservaID],Hoja2!$A21)</f>
        <v>0</v>
      </c>
      <c r="F21">
        <f>+COUNTIFS(ReservaServicio[ServicioID],Hoja2!F$20,ReservaServicio[ReservaID],Hoja2!$A21)</f>
        <v>0</v>
      </c>
      <c r="G21">
        <f>+COUNTIFS(ReservaServicio[ServicioID],Hoja2!G$20,ReservaServicio[ReservaID],Hoja2!$A21)</f>
        <v>0</v>
      </c>
      <c r="H21">
        <f>+COUNTIFS(ReservaServicio[ServicioID],Hoja2!H$20,ReservaServicio[ReservaID],Hoja2!$A21)</f>
        <v>1</v>
      </c>
      <c r="I21">
        <f>+COUNTIFS(ReservaServicio[ServicioID],Hoja2!I$20,ReservaServicio[ReservaID],Hoja2!$A21)</f>
        <v>0</v>
      </c>
      <c r="J21">
        <f>+COUNTIFS(ReservaServicio[ServicioID],Hoja2!J$20,ReservaServicio[ReservaID],Hoja2!$A21)</f>
        <v>0</v>
      </c>
      <c r="K21">
        <f>+COUNTIFS(ReservaServicio[ServicioID],Hoja2!K$20,ReservaServicio[ReservaID],Hoja2!$A21)</f>
        <v>0</v>
      </c>
      <c r="L21">
        <f>+SUM(E21:K21)</f>
        <v>1</v>
      </c>
    </row>
    <row r="22" spans="1:12" x14ac:dyDescent="0.25">
      <c r="A22" s="2">
        <v>17</v>
      </c>
      <c r="B22" s="12">
        <v>8</v>
      </c>
      <c r="C22" t="str">
        <f>+_xlfn.XLOOKUP(B22,Gatos[ID],Gatos[Nombre])</f>
        <v>Nala</v>
      </c>
      <c r="D22" s="13" t="s">
        <v>140</v>
      </c>
      <c r="E22">
        <f>+COUNTIFS(ReservaServicio[ServicioID],Hoja2!E$20,ReservaServicio[ReservaID],Hoja2!$A22)</f>
        <v>1</v>
      </c>
      <c r="F22">
        <f>+COUNTIFS(ReservaServicio[ServicioID],Hoja2!F$20,ReservaServicio[ReservaID],Hoja2!$A22)</f>
        <v>1</v>
      </c>
      <c r="G22">
        <f>+COUNTIFS(ReservaServicio[ServicioID],Hoja2!G$20,ReservaServicio[ReservaID],Hoja2!$A22)</f>
        <v>1</v>
      </c>
      <c r="H22">
        <f>+COUNTIFS(ReservaServicio[ServicioID],Hoja2!H$20,ReservaServicio[ReservaID],Hoja2!$A22)</f>
        <v>1</v>
      </c>
      <c r="I22">
        <f>+COUNTIFS(ReservaServicio[ServicioID],Hoja2!I$20,ReservaServicio[ReservaID],Hoja2!$A22)</f>
        <v>1</v>
      </c>
      <c r="J22">
        <f>+COUNTIFS(ReservaServicio[ServicioID],Hoja2!J$20,ReservaServicio[ReservaID],Hoja2!$A22)</f>
        <v>1</v>
      </c>
      <c r="K22">
        <f>+COUNTIFS(ReservaServicio[ServicioID],Hoja2!K$20,ReservaServicio[ReservaID],Hoja2!$A22)</f>
        <v>1</v>
      </c>
      <c r="L22">
        <f t="shared" ref="L22:L78" si="0">+SUM(E22:K22)</f>
        <v>7</v>
      </c>
    </row>
    <row r="23" spans="1:12" x14ac:dyDescent="0.25">
      <c r="A23" s="3">
        <v>48</v>
      </c>
      <c r="B23" s="11">
        <v>25</v>
      </c>
      <c r="C23" t="str">
        <f>+_xlfn.XLOOKUP(B23,Gatos[ID],Gatos[Nombre])</f>
        <v>Alberto</v>
      </c>
      <c r="D23" s="14" t="s">
        <v>140</v>
      </c>
      <c r="E23">
        <f>+COUNTIFS(ReservaServicio[ServicioID],Hoja2!E$20,ReservaServicio[ReservaID],Hoja2!$A23)</f>
        <v>0</v>
      </c>
      <c r="F23">
        <f>+COUNTIFS(ReservaServicio[ServicioID],Hoja2!F$20,ReservaServicio[ReservaID],Hoja2!$A23)</f>
        <v>0</v>
      </c>
      <c r="G23">
        <f>+COUNTIFS(ReservaServicio[ServicioID],Hoja2!G$20,ReservaServicio[ReservaID],Hoja2!$A23)</f>
        <v>1</v>
      </c>
      <c r="H23">
        <f>+COUNTIFS(ReservaServicio[ServicioID],Hoja2!H$20,ReservaServicio[ReservaID],Hoja2!$A23)</f>
        <v>0</v>
      </c>
      <c r="I23">
        <f>+COUNTIFS(ReservaServicio[ServicioID],Hoja2!I$20,ReservaServicio[ReservaID],Hoja2!$A23)</f>
        <v>0</v>
      </c>
      <c r="J23">
        <f>+COUNTIFS(ReservaServicio[ServicioID],Hoja2!J$20,ReservaServicio[ReservaID],Hoja2!$A23)</f>
        <v>0</v>
      </c>
      <c r="K23">
        <f>+COUNTIFS(ReservaServicio[ServicioID],Hoja2!K$20,ReservaServicio[ReservaID],Hoja2!$A23)</f>
        <v>0</v>
      </c>
      <c r="L23">
        <f t="shared" si="0"/>
        <v>1</v>
      </c>
    </row>
    <row r="24" spans="1:12" x14ac:dyDescent="0.25">
      <c r="A24" s="2">
        <v>49</v>
      </c>
      <c r="B24" s="12">
        <v>20</v>
      </c>
      <c r="C24" t="str">
        <f>+_xlfn.XLOOKUP(B24,Gatos[ID],Gatos[Nombre])</f>
        <v>Rocky</v>
      </c>
      <c r="D24" s="13" t="s">
        <v>140</v>
      </c>
      <c r="E24">
        <f>+COUNTIFS(ReservaServicio[ServicioID],Hoja2!E$20,ReservaServicio[ReservaID],Hoja2!$A24)</f>
        <v>0</v>
      </c>
      <c r="F24">
        <f>+COUNTIFS(ReservaServicio[ServicioID],Hoja2!F$20,ReservaServicio[ReservaID],Hoja2!$A24)</f>
        <v>0</v>
      </c>
      <c r="G24">
        <f>+COUNTIFS(ReservaServicio[ServicioID],Hoja2!G$20,ReservaServicio[ReservaID],Hoja2!$A24)</f>
        <v>0</v>
      </c>
      <c r="H24">
        <f>+COUNTIFS(ReservaServicio[ServicioID],Hoja2!H$20,ReservaServicio[ReservaID],Hoja2!$A24)</f>
        <v>0</v>
      </c>
      <c r="I24">
        <f>+COUNTIFS(ReservaServicio[ServicioID],Hoja2!I$20,ReservaServicio[ReservaID],Hoja2!$A24)</f>
        <v>0</v>
      </c>
      <c r="J24">
        <f>+COUNTIFS(ReservaServicio[ServicioID],Hoja2!J$20,ReservaServicio[ReservaID],Hoja2!$A24)</f>
        <v>1</v>
      </c>
      <c r="K24">
        <f>+COUNTIFS(ReservaServicio[ServicioID],Hoja2!K$20,ReservaServicio[ReservaID],Hoja2!$A24)</f>
        <v>0</v>
      </c>
      <c r="L24">
        <f t="shared" si="0"/>
        <v>1</v>
      </c>
    </row>
    <row r="25" spans="1:12" x14ac:dyDescent="0.25">
      <c r="A25" s="3">
        <v>6</v>
      </c>
      <c r="B25" s="11">
        <v>6</v>
      </c>
      <c r="C25" t="str">
        <f>+_xlfn.XLOOKUP(B25,Gatos[ID],Gatos[Nombre])</f>
        <v>Missy</v>
      </c>
      <c r="D25" s="14" t="s">
        <v>141</v>
      </c>
      <c r="E25">
        <f>+COUNTIFS(ReservaServicio[ServicioID],Hoja2!E$20,ReservaServicio[ReservaID],Hoja2!$A25)</f>
        <v>0</v>
      </c>
      <c r="F25">
        <f>+COUNTIFS(ReservaServicio[ServicioID],Hoja2!F$20,ReservaServicio[ReservaID],Hoja2!$A25)</f>
        <v>0</v>
      </c>
      <c r="G25">
        <f>+COUNTIFS(ReservaServicio[ServicioID],Hoja2!G$20,ReservaServicio[ReservaID],Hoja2!$A25)</f>
        <v>1</v>
      </c>
      <c r="H25">
        <f>+COUNTIFS(ReservaServicio[ServicioID],Hoja2!H$20,ReservaServicio[ReservaID],Hoja2!$A25)</f>
        <v>0</v>
      </c>
      <c r="I25">
        <f>+COUNTIFS(ReservaServicio[ServicioID],Hoja2!I$20,ReservaServicio[ReservaID],Hoja2!$A25)</f>
        <v>1</v>
      </c>
      <c r="J25">
        <f>+COUNTIFS(ReservaServicio[ServicioID],Hoja2!J$20,ReservaServicio[ReservaID],Hoja2!$A25)</f>
        <v>0</v>
      </c>
      <c r="K25">
        <f>+COUNTIFS(ReservaServicio[ServicioID],Hoja2!K$20,ReservaServicio[ReservaID],Hoja2!$A25)</f>
        <v>0</v>
      </c>
      <c r="L25">
        <f t="shared" si="0"/>
        <v>2</v>
      </c>
    </row>
    <row r="26" spans="1:12" x14ac:dyDescent="0.25">
      <c r="A26" s="3">
        <v>20</v>
      </c>
      <c r="B26" s="11">
        <v>28</v>
      </c>
      <c r="C26" t="str">
        <f>+_xlfn.XLOOKUP(B26,Gatos[ID],Gatos[Nombre])</f>
        <v>Zoe</v>
      </c>
      <c r="D26" s="14" t="s">
        <v>141</v>
      </c>
      <c r="E26">
        <f>+COUNTIFS(ReservaServicio[ServicioID],Hoja2!E$20,ReservaServicio[ReservaID],Hoja2!$A26)</f>
        <v>1</v>
      </c>
      <c r="F26">
        <f>+COUNTIFS(ReservaServicio[ServicioID],Hoja2!F$20,ReservaServicio[ReservaID],Hoja2!$A26)</f>
        <v>0</v>
      </c>
      <c r="G26">
        <f>+COUNTIFS(ReservaServicio[ServicioID],Hoja2!G$20,ReservaServicio[ReservaID],Hoja2!$A26)</f>
        <v>0</v>
      </c>
      <c r="H26">
        <f>+COUNTIFS(ReservaServicio[ServicioID],Hoja2!H$20,ReservaServicio[ReservaID],Hoja2!$A26)</f>
        <v>0</v>
      </c>
      <c r="I26">
        <f>+COUNTIFS(ReservaServicio[ServicioID],Hoja2!I$20,ReservaServicio[ReservaID],Hoja2!$A26)</f>
        <v>0</v>
      </c>
      <c r="J26">
        <f>+COUNTIFS(ReservaServicio[ServicioID],Hoja2!J$20,ReservaServicio[ReservaID],Hoja2!$A26)</f>
        <v>0</v>
      </c>
      <c r="K26">
        <f>+COUNTIFS(ReservaServicio[ServicioID],Hoja2!K$20,ReservaServicio[ReservaID],Hoja2!$A26)</f>
        <v>0</v>
      </c>
      <c r="L26">
        <f t="shared" si="0"/>
        <v>1</v>
      </c>
    </row>
    <row r="27" spans="1:12" x14ac:dyDescent="0.25">
      <c r="A27" s="2">
        <v>43</v>
      </c>
      <c r="B27" s="12">
        <v>11</v>
      </c>
      <c r="C27" t="str">
        <f>+_xlfn.XLOOKUP(B27,Gatos[ID],Gatos[Nombre])</f>
        <v>Loki</v>
      </c>
      <c r="D27" s="13" t="s">
        <v>141</v>
      </c>
      <c r="E27">
        <f>+COUNTIFS(ReservaServicio[ServicioID],Hoja2!E$20,ReservaServicio[ReservaID],Hoja2!$A27)</f>
        <v>1</v>
      </c>
      <c r="F27">
        <f>+COUNTIFS(ReservaServicio[ServicioID],Hoja2!F$20,ReservaServicio[ReservaID],Hoja2!$A27)</f>
        <v>1</v>
      </c>
      <c r="G27">
        <f>+COUNTIFS(ReservaServicio[ServicioID],Hoja2!G$20,ReservaServicio[ReservaID],Hoja2!$A27)</f>
        <v>1</v>
      </c>
      <c r="H27">
        <f>+COUNTIFS(ReservaServicio[ServicioID],Hoja2!H$20,ReservaServicio[ReservaID],Hoja2!$A27)</f>
        <v>0</v>
      </c>
      <c r="I27">
        <f>+COUNTIFS(ReservaServicio[ServicioID],Hoja2!I$20,ReservaServicio[ReservaID],Hoja2!$A27)</f>
        <v>0</v>
      </c>
      <c r="J27">
        <f>+COUNTIFS(ReservaServicio[ServicioID],Hoja2!J$20,ReservaServicio[ReservaID],Hoja2!$A27)</f>
        <v>0</v>
      </c>
      <c r="K27">
        <f>+COUNTIFS(ReservaServicio[ServicioID],Hoja2!K$20,ReservaServicio[ReservaID],Hoja2!$A27)</f>
        <v>0</v>
      </c>
      <c r="L27">
        <f t="shared" si="0"/>
        <v>3</v>
      </c>
    </row>
    <row r="28" spans="1:12" x14ac:dyDescent="0.25">
      <c r="A28" s="2">
        <v>47</v>
      </c>
      <c r="B28" s="12">
        <v>13</v>
      </c>
      <c r="C28" t="str">
        <f>+_xlfn.XLOOKUP(B28,Gatos[ID],Gatos[Nombre])</f>
        <v>Luna</v>
      </c>
      <c r="D28" s="13" t="s">
        <v>141</v>
      </c>
      <c r="E28">
        <f>+COUNTIFS(ReservaServicio[ServicioID],Hoja2!E$20,ReservaServicio[ReservaID],Hoja2!$A28)</f>
        <v>0</v>
      </c>
      <c r="F28">
        <f>+COUNTIFS(ReservaServicio[ServicioID],Hoja2!F$20,ReservaServicio[ReservaID],Hoja2!$A28)</f>
        <v>0</v>
      </c>
      <c r="G28">
        <f>+COUNTIFS(ReservaServicio[ServicioID],Hoja2!G$20,ReservaServicio[ReservaID],Hoja2!$A28)</f>
        <v>0</v>
      </c>
      <c r="H28">
        <f>+COUNTIFS(ReservaServicio[ServicioID],Hoja2!H$20,ReservaServicio[ReservaID],Hoja2!$A28)</f>
        <v>1</v>
      </c>
      <c r="I28">
        <f>+COUNTIFS(ReservaServicio[ServicioID],Hoja2!I$20,ReservaServicio[ReservaID],Hoja2!$A28)</f>
        <v>0</v>
      </c>
      <c r="J28">
        <f>+COUNTIFS(ReservaServicio[ServicioID],Hoja2!J$20,ReservaServicio[ReservaID],Hoja2!$A28)</f>
        <v>0</v>
      </c>
      <c r="K28">
        <f>+COUNTIFS(ReservaServicio[ServicioID],Hoja2!K$20,ReservaServicio[ReservaID],Hoja2!$A28)</f>
        <v>0</v>
      </c>
      <c r="L28">
        <f t="shared" si="0"/>
        <v>1</v>
      </c>
    </row>
    <row r="29" spans="1:12" x14ac:dyDescent="0.25">
      <c r="A29" s="2">
        <v>57</v>
      </c>
      <c r="B29" s="12">
        <v>27</v>
      </c>
      <c r="C29" t="str">
        <f>+_xlfn.XLOOKUP(B29,Gatos[ID],Gatos[Nombre])</f>
        <v>Tom</v>
      </c>
      <c r="D29" s="13" t="s">
        <v>141</v>
      </c>
      <c r="E29">
        <f>+COUNTIFS(ReservaServicio[ServicioID],Hoja2!E$20,ReservaServicio[ReservaID],Hoja2!$A29)</f>
        <v>0</v>
      </c>
      <c r="F29">
        <f>+COUNTIFS(ReservaServicio[ServicioID],Hoja2!F$20,ReservaServicio[ReservaID],Hoja2!$A29)</f>
        <v>0</v>
      </c>
      <c r="G29">
        <f>+COUNTIFS(ReservaServicio[ServicioID],Hoja2!G$20,ReservaServicio[ReservaID],Hoja2!$A29)</f>
        <v>0</v>
      </c>
      <c r="H29">
        <f>+COUNTIFS(ReservaServicio[ServicioID],Hoja2!H$20,ReservaServicio[ReservaID],Hoja2!$A29)</f>
        <v>0</v>
      </c>
      <c r="I29">
        <f>+COUNTIFS(ReservaServicio[ServicioID],Hoja2!I$20,ReservaServicio[ReservaID],Hoja2!$A29)</f>
        <v>0</v>
      </c>
      <c r="J29">
        <f>+COUNTIFS(ReservaServicio[ServicioID],Hoja2!J$20,ReservaServicio[ReservaID],Hoja2!$A29)</f>
        <v>0</v>
      </c>
      <c r="K29">
        <f>+COUNTIFS(ReservaServicio[ServicioID],Hoja2!K$20,ReservaServicio[ReservaID],Hoja2!$A29)</f>
        <v>0</v>
      </c>
      <c r="L29">
        <f t="shared" si="0"/>
        <v>0</v>
      </c>
    </row>
    <row r="30" spans="1:12" x14ac:dyDescent="0.25">
      <c r="A30" s="3">
        <v>2</v>
      </c>
      <c r="B30" s="11">
        <v>32</v>
      </c>
      <c r="C30" t="str">
        <f>+_xlfn.XLOOKUP(B30,Gatos[ID],Gatos[Nombre])</f>
        <v>Felix</v>
      </c>
      <c r="D30" s="14" t="s">
        <v>142</v>
      </c>
      <c r="E30">
        <f>+COUNTIFS(ReservaServicio[ServicioID],Hoja2!E$20,ReservaServicio[ReservaID],Hoja2!$A30)</f>
        <v>0</v>
      </c>
      <c r="F30">
        <f>+COUNTIFS(ReservaServicio[ServicioID],Hoja2!F$20,ReservaServicio[ReservaID],Hoja2!$A30)</f>
        <v>0</v>
      </c>
      <c r="G30">
        <f>+COUNTIFS(ReservaServicio[ServicioID],Hoja2!G$20,ReservaServicio[ReservaID],Hoja2!$A30)</f>
        <v>0</v>
      </c>
      <c r="H30">
        <f>+COUNTIFS(ReservaServicio[ServicioID],Hoja2!H$20,ReservaServicio[ReservaID],Hoja2!$A30)</f>
        <v>0</v>
      </c>
      <c r="I30">
        <f>+COUNTIFS(ReservaServicio[ServicioID],Hoja2!I$20,ReservaServicio[ReservaID],Hoja2!$A30)</f>
        <v>0</v>
      </c>
      <c r="J30">
        <f>+COUNTIFS(ReservaServicio[ServicioID],Hoja2!J$20,ReservaServicio[ReservaID],Hoja2!$A30)</f>
        <v>0</v>
      </c>
      <c r="K30">
        <f>+COUNTIFS(ReservaServicio[ServicioID],Hoja2!K$20,ReservaServicio[ReservaID],Hoja2!$A30)</f>
        <v>0</v>
      </c>
      <c r="L30">
        <f t="shared" si="0"/>
        <v>0</v>
      </c>
    </row>
    <row r="31" spans="1:12" x14ac:dyDescent="0.25">
      <c r="A31" s="3">
        <v>4</v>
      </c>
      <c r="B31" s="11">
        <v>17</v>
      </c>
      <c r="C31" t="str">
        <f>+_xlfn.XLOOKUP(B31,Gatos[ID],Gatos[Nombre])</f>
        <v>Max</v>
      </c>
      <c r="D31" s="14" t="s">
        <v>142</v>
      </c>
      <c r="E31">
        <f>+COUNTIFS(ReservaServicio[ServicioID],Hoja2!E$20,ReservaServicio[ReservaID],Hoja2!$A31)</f>
        <v>0</v>
      </c>
      <c r="F31">
        <f>+COUNTIFS(ReservaServicio[ServicioID],Hoja2!F$20,ReservaServicio[ReservaID],Hoja2!$A31)</f>
        <v>0</v>
      </c>
      <c r="G31">
        <f>+COUNTIFS(ReservaServicio[ServicioID],Hoja2!G$20,ReservaServicio[ReservaID],Hoja2!$A31)</f>
        <v>0</v>
      </c>
      <c r="H31">
        <f>+COUNTIFS(ReservaServicio[ServicioID],Hoja2!H$20,ReservaServicio[ReservaID],Hoja2!$A31)</f>
        <v>0</v>
      </c>
      <c r="I31">
        <f>+COUNTIFS(ReservaServicio[ServicioID],Hoja2!I$20,ReservaServicio[ReservaID],Hoja2!$A31)</f>
        <v>0</v>
      </c>
      <c r="J31">
        <f>+COUNTIFS(ReservaServicio[ServicioID],Hoja2!J$20,ReservaServicio[ReservaID],Hoja2!$A31)</f>
        <v>0</v>
      </c>
      <c r="K31">
        <f>+COUNTIFS(ReservaServicio[ServicioID],Hoja2!K$20,ReservaServicio[ReservaID],Hoja2!$A31)</f>
        <v>0</v>
      </c>
      <c r="L31">
        <f t="shared" si="0"/>
        <v>0</v>
      </c>
    </row>
    <row r="32" spans="1:12" x14ac:dyDescent="0.25">
      <c r="A32" s="2">
        <v>7</v>
      </c>
      <c r="B32" s="12">
        <v>16</v>
      </c>
      <c r="C32" t="str">
        <f>+_xlfn.XLOOKUP(B32,Gatos[ID],Gatos[Nombre])</f>
        <v>Pelusa</v>
      </c>
      <c r="D32" s="13" t="s">
        <v>142</v>
      </c>
      <c r="E32">
        <f>+COUNTIFS(ReservaServicio[ServicioID],Hoja2!E$20,ReservaServicio[ReservaID],Hoja2!$A32)</f>
        <v>0</v>
      </c>
      <c r="F32">
        <f>+COUNTIFS(ReservaServicio[ServicioID],Hoja2!F$20,ReservaServicio[ReservaID],Hoja2!$A32)</f>
        <v>0</v>
      </c>
      <c r="G32">
        <f>+COUNTIFS(ReservaServicio[ServicioID],Hoja2!G$20,ReservaServicio[ReservaID],Hoja2!$A32)</f>
        <v>0</v>
      </c>
      <c r="H32">
        <f>+COUNTIFS(ReservaServicio[ServicioID],Hoja2!H$20,ReservaServicio[ReservaID],Hoja2!$A32)</f>
        <v>1</v>
      </c>
      <c r="I32">
        <f>+COUNTIFS(ReservaServicio[ServicioID],Hoja2!I$20,ReservaServicio[ReservaID],Hoja2!$A32)</f>
        <v>0</v>
      </c>
      <c r="J32">
        <f>+COUNTIFS(ReservaServicio[ServicioID],Hoja2!J$20,ReservaServicio[ReservaID],Hoja2!$A32)</f>
        <v>0</v>
      </c>
      <c r="K32">
        <f>+COUNTIFS(ReservaServicio[ServicioID],Hoja2!K$20,ReservaServicio[ReservaID],Hoja2!$A32)</f>
        <v>0</v>
      </c>
      <c r="L32">
        <f t="shared" si="0"/>
        <v>1</v>
      </c>
    </row>
    <row r="33" spans="1:12" x14ac:dyDescent="0.25">
      <c r="A33" s="3">
        <v>8</v>
      </c>
      <c r="B33" s="11">
        <v>21</v>
      </c>
      <c r="C33" t="str">
        <f>+_xlfn.XLOOKUP(B33,Gatos[ID],Gatos[Nombre])</f>
        <v>Milo</v>
      </c>
      <c r="D33" s="14" t="s">
        <v>142</v>
      </c>
      <c r="E33">
        <f>+COUNTIFS(ReservaServicio[ServicioID],Hoja2!E$20,ReservaServicio[ReservaID],Hoja2!$A33)</f>
        <v>0</v>
      </c>
      <c r="F33">
        <f>+COUNTIFS(ReservaServicio[ServicioID],Hoja2!F$20,ReservaServicio[ReservaID],Hoja2!$A33)</f>
        <v>0</v>
      </c>
      <c r="G33">
        <f>+COUNTIFS(ReservaServicio[ServicioID],Hoja2!G$20,ReservaServicio[ReservaID],Hoja2!$A33)</f>
        <v>0</v>
      </c>
      <c r="H33">
        <f>+COUNTIFS(ReservaServicio[ServicioID],Hoja2!H$20,ReservaServicio[ReservaID],Hoja2!$A33)</f>
        <v>0</v>
      </c>
      <c r="I33">
        <f>+COUNTIFS(ReservaServicio[ServicioID],Hoja2!I$20,ReservaServicio[ReservaID],Hoja2!$A33)</f>
        <v>0</v>
      </c>
      <c r="J33">
        <f>+COUNTIFS(ReservaServicio[ServicioID],Hoja2!J$20,ReservaServicio[ReservaID],Hoja2!$A33)</f>
        <v>0</v>
      </c>
      <c r="K33">
        <f>+COUNTIFS(ReservaServicio[ServicioID],Hoja2!K$20,ReservaServicio[ReservaID],Hoja2!$A33)</f>
        <v>0</v>
      </c>
      <c r="L33">
        <f t="shared" si="0"/>
        <v>0</v>
      </c>
    </row>
    <row r="34" spans="1:12" x14ac:dyDescent="0.25">
      <c r="A34" s="2">
        <v>27</v>
      </c>
      <c r="B34" s="12">
        <v>7</v>
      </c>
      <c r="C34" t="str">
        <f>+_xlfn.XLOOKUP(B34,Gatos[ID],Gatos[Nombre])</f>
        <v>Kitty</v>
      </c>
      <c r="D34" s="13" t="s">
        <v>142</v>
      </c>
      <c r="E34">
        <f>+COUNTIFS(ReservaServicio[ServicioID],Hoja2!E$20,ReservaServicio[ReservaID],Hoja2!$A34)</f>
        <v>0</v>
      </c>
      <c r="F34">
        <f>+COUNTIFS(ReservaServicio[ServicioID],Hoja2!F$20,ReservaServicio[ReservaID],Hoja2!$A34)</f>
        <v>0</v>
      </c>
      <c r="G34">
        <f>+COUNTIFS(ReservaServicio[ServicioID],Hoja2!G$20,ReservaServicio[ReservaID],Hoja2!$A34)</f>
        <v>0</v>
      </c>
      <c r="H34">
        <f>+COUNTIFS(ReservaServicio[ServicioID],Hoja2!H$20,ReservaServicio[ReservaID],Hoja2!$A34)</f>
        <v>0</v>
      </c>
      <c r="I34">
        <f>+COUNTIFS(ReservaServicio[ServicioID],Hoja2!I$20,ReservaServicio[ReservaID],Hoja2!$A34)</f>
        <v>1</v>
      </c>
      <c r="J34">
        <f>+COUNTIFS(ReservaServicio[ServicioID],Hoja2!J$20,ReservaServicio[ReservaID],Hoja2!$A34)</f>
        <v>0</v>
      </c>
      <c r="K34">
        <f>+COUNTIFS(ReservaServicio[ServicioID],Hoja2!K$20,ReservaServicio[ReservaID],Hoja2!$A34)</f>
        <v>0</v>
      </c>
      <c r="L34">
        <f t="shared" si="0"/>
        <v>1</v>
      </c>
    </row>
    <row r="35" spans="1:12" x14ac:dyDescent="0.25">
      <c r="A35" s="2">
        <v>29</v>
      </c>
      <c r="B35" s="12">
        <v>7</v>
      </c>
      <c r="C35" t="str">
        <f>+_xlfn.XLOOKUP(B35,Gatos[ID],Gatos[Nombre])</f>
        <v>Kitty</v>
      </c>
      <c r="D35" s="13" t="s">
        <v>142</v>
      </c>
      <c r="E35">
        <f>+COUNTIFS(ReservaServicio[ServicioID],Hoja2!E$20,ReservaServicio[ReservaID],Hoja2!$A35)</f>
        <v>1</v>
      </c>
      <c r="F35">
        <f>+COUNTIFS(ReservaServicio[ServicioID],Hoja2!F$20,ReservaServicio[ReservaID],Hoja2!$A35)</f>
        <v>0</v>
      </c>
      <c r="G35">
        <f>+COUNTIFS(ReservaServicio[ServicioID],Hoja2!G$20,ReservaServicio[ReservaID],Hoja2!$A35)</f>
        <v>0</v>
      </c>
      <c r="H35">
        <f>+COUNTIFS(ReservaServicio[ServicioID],Hoja2!H$20,ReservaServicio[ReservaID],Hoja2!$A35)</f>
        <v>0</v>
      </c>
      <c r="I35">
        <f>+COUNTIFS(ReservaServicio[ServicioID],Hoja2!I$20,ReservaServicio[ReservaID],Hoja2!$A35)</f>
        <v>0</v>
      </c>
      <c r="J35">
        <f>+COUNTIFS(ReservaServicio[ServicioID],Hoja2!J$20,ReservaServicio[ReservaID],Hoja2!$A35)</f>
        <v>1</v>
      </c>
      <c r="K35">
        <f>+COUNTIFS(ReservaServicio[ServicioID],Hoja2!K$20,ReservaServicio[ReservaID],Hoja2!$A35)</f>
        <v>0</v>
      </c>
      <c r="L35">
        <f t="shared" si="0"/>
        <v>2</v>
      </c>
    </row>
    <row r="36" spans="1:12" x14ac:dyDescent="0.25">
      <c r="A36" s="3">
        <v>38</v>
      </c>
      <c r="B36" s="11">
        <v>9</v>
      </c>
      <c r="C36" t="str">
        <f>+_xlfn.XLOOKUP(B36,Gatos[ID],Gatos[Nombre])</f>
        <v>Leo</v>
      </c>
      <c r="D36" s="14" t="s">
        <v>142</v>
      </c>
      <c r="E36">
        <f>+COUNTIFS(ReservaServicio[ServicioID],Hoja2!E$20,ReservaServicio[ReservaID],Hoja2!$A36)</f>
        <v>0</v>
      </c>
      <c r="F36">
        <f>+COUNTIFS(ReservaServicio[ServicioID],Hoja2!F$20,ReservaServicio[ReservaID],Hoja2!$A36)</f>
        <v>0</v>
      </c>
      <c r="G36">
        <f>+COUNTIFS(ReservaServicio[ServicioID],Hoja2!G$20,ReservaServicio[ReservaID],Hoja2!$A36)</f>
        <v>0</v>
      </c>
      <c r="H36">
        <f>+COUNTIFS(ReservaServicio[ServicioID],Hoja2!H$20,ReservaServicio[ReservaID],Hoja2!$A36)</f>
        <v>0</v>
      </c>
      <c r="I36">
        <f>+COUNTIFS(ReservaServicio[ServicioID],Hoja2!I$20,ReservaServicio[ReservaID],Hoja2!$A36)</f>
        <v>0</v>
      </c>
      <c r="J36">
        <f>+COUNTIFS(ReservaServicio[ServicioID],Hoja2!J$20,ReservaServicio[ReservaID],Hoja2!$A36)</f>
        <v>0</v>
      </c>
      <c r="K36">
        <f>+COUNTIFS(ReservaServicio[ServicioID],Hoja2!K$20,ReservaServicio[ReservaID],Hoja2!$A36)</f>
        <v>0</v>
      </c>
      <c r="L36">
        <f t="shared" si="0"/>
        <v>0</v>
      </c>
    </row>
    <row r="37" spans="1:12" x14ac:dyDescent="0.25">
      <c r="A37" s="2">
        <v>41</v>
      </c>
      <c r="B37" s="12">
        <v>10</v>
      </c>
      <c r="C37" t="str">
        <f>+_xlfn.XLOOKUP(B37,Gatos[ID],Gatos[Nombre])</f>
        <v>Nina</v>
      </c>
      <c r="D37" s="13" t="s">
        <v>142</v>
      </c>
      <c r="E37">
        <f>+COUNTIFS(ReservaServicio[ServicioID],Hoja2!E$20,ReservaServicio[ReservaID],Hoja2!$A37)</f>
        <v>0</v>
      </c>
      <c r="F37">
        <f>+COUNTIFS(ReservaServicio[ServicioID],Hoja2!F$20,ReservaServicio[ReservaID],Hoja2!$A37)</f>
        <v>0</v>
      </c>
      <c r="G37">
        <f>+COUNTIFS(ReservaServicio[ServicioID],Hoja2!G$20,ReservaServicio[ReservaID],Hoja2!$A37)</f>
        <v>1</v>
      </c>
      <c r="H37">
        <f>+COUNTIFS(ReservaServicio[ServicioID],Hoja2!H$20,ReservaServicio[ReservaID],Hoja2!$A37)</f>
        <v>1</v>
      </c>
      <c r="I37">
        <f>+COUNTIFS(ReservaServicio[ServicioID],Hoja2!I$20,ReservaServicio[ReservaID],Hoja2!$A37)</f>
        <v>0</v>
      </c>
      <c r="J37">
        <f>+COUNTIFS(ReservaServicio[ServicioID],Hoja2!J$20,ReservaServicio[ReservaID],Hoja2!$A37)</f>
        <v>0</v>
      </c>
      <c r="K37">
        <f>+COUNTIFS(ReservaServicio[ServicioID],Hoja2!K$20,ReservaServicio[ReservaID],Hoja2!$A37)</f>
        <v>0</v>
      </c>
      <c r="L37">
        <f t="shared" si="0"/>
        <v>2</v>
      </c>
    </row>
    <row r="38" spans="1:12" x14ac:dyDescent="0.25">
      <c r="A38" s="2">
        <v>11</v>
      </c>
      <c r="B38" s="12">
        <v>17</v>
      </c>
      <c r="C38" t="str">
        <f>+_xlfn.XLOOKUP(B38,Gatos[ID],Gatos[Nombre])</f>
        <v>Max</v>
      </c>
      <c r="D38" s="13" t="s">
        <v>143</v>
      </c>
      <c r="E38">
        <f>+COUNTIFS(ReservaServicio[ServicioID],Hoja2!E$20,ReservaServicio[ReservaID],Hoja2!$A38)</f>
        <v>1</v>
      </c>
      <c r="F38">
        <f>+COUNTIFS(ReservaServicio[ServicioID],Hoja2!F$20,ReservaServicio[ReservaID],Hoja2!$A38)</f>
        <v>0</v>
      </c>
      <c r="G38">
        <f>+COUNTIFS(ReservaServicio[ServicioID],Hoja2!G$20,ReservaServicio[ReservaID],Hoja2!$A38)</f>
        <v>0</v>
      </c>
      <c r="H38">
        <f>+COUNTIFS(ReservaServicio[ServicioID],Hoja2!H$20,ReservaServicio[ReservaID],Hoja2!$A38)</f>
        <v>0</v>
      </c>
      <c r="I38">
        <f>+COUNTIFS(ReservaServicio[ServicioID],Hoja2!I$20,ReservaServicio[ReservaID],Hoja2!$A38)</f>
        <v>0</v>
      </c>
      <c r="J38">
        <f>+COUNTIFS(ReservaServicio[ServicioID],Hoja2!J$20,ReservaServicio[ReservaID],Hoja2!$A38)</f>
        <v>1</v>
      </c>
      <c r="K38">
        <f>+COUNTIFS(ReservaServicio[ServicioID],Hoja2!K$20,ReservaServicio[ReservaID],Hoja2!$A38)</f>
        <v>1</v>
      </c>
      <c r="L38">
        <f t="shared" si="0"/>
        <v>3</v>
      </c>
    </row>
    <row r="39" spans="1:12" x14ac:dyDescent="0.25">
      <c r="A39" s="3">
        <v>12</v>
      </c>
      <c r="B39" s="11">
        <v>23</v>
      </c>
      <c r="C39" t="str">
        <f>+_xlfn.XLOOKUP(B39,Gatos[ID],Gatos[Nombre])</f>
        <v>Shadow</v>
      </c>
      <c r="D39" s="14" t="s">
        <v>143</v>
      </c>
      <c r="E39">
        <f>+COUNTIFS(ReservaServicio[ServicioID],Hoja2!E$20,ReservaServicio[ReservaID],Hoja2!$A39)</f>
        <v>0</v>
      </c>
      <c r="F39">
        <f>+COUNTIFS(ReservaServicio[ServicioID],Hoja2!F$20,ReservaServicio[ReservaID],Hoja2!$A39)</f>
        <v>0</v>
      </c>
      <c r="G39">
        <f>+COUNTIFS(ReservaServicio[ServicioID],Hoja2!G$20,ReservaServicio[ReservaID],Hoja2!$A39)</f>
        <v>0</v>
      </c>
      <c r="H39">
        <f>+COUNTIFS(ReservaServicio[ServicioID],Hoja2!H$20,ReservaServicio[ReservaID],Hoja2!$A39)</f>
        <v>0</v>
      </c>
      <c r="I39">
        <f>+COUNTIFS(ReservaServicio[ServicioID],Hoja2!I$20,ReservaServicio[ReservaID],Hoja2!$A39)</f>
        <v>1</v>
      </c>
      <c r="J39">
        <f>+COUNTIFS(ReservaServicio[ServicioID],Hoja2!J$20,ReservaServicio[ReservaID],Hoja2!$A39)</f>
        <v>0</v>
      </c>
      <c r="K39">
        <f>+COUNTIFS(ReservaServicio[ServicioID],Hoja2!K$20,ReservaServicio[ReservaID],Hoja2!$A39)</f>
        <v>0</v>
      </c>
      <c r="L39">
        <f t="shared" si="0"/>
        <v>1</v>
      </c>
    </row>
    <row r="40" spans="1:12" x14ac:dyDescent="0.25">
      <c r="A40" s="2">
        <v>21</v>
      </c>
      <c r="B40" s="12">
        <v>29</v>
      </c>
      <c r="C40" t="str">
        <f>+_xlfn.XLOOKUP(B40,Gatos[ID],Gatos[Nombre])</f>
        <v>Bella</v>
      </c>
      <c r="D40" s="13" t="s">
        <v>143</v>
      </c>
      <c r="E40">
        <f>+COUNTIFS(ReservaServicio[ServicioID],Hoja2!E$20,ReservaServicio[ReservaID],Hoja2!$A40)</f>
        <v>0</v>
      </c>
      <c r="F40">
        <f>+COUNTIFS(ReservaServicio[ServicioID],Hoja2!F$20,ReservaServicio[ReservaID],Hoja2!$A40)</f>
        <v>0</v>
      </c>
      <c r="G40">
        <f>+COUNTIFS(ReservaServicio[ServicioID],Hoja2!G$20,ReservaServicio[ReservaID],Hoja2!$A40)</f>
        <v>0</v>
      </c>
      <c r="H40">
        <f>+COUNTIFS(ReservaServicio[ServicioID],Hoja2!H$20,ReservaServicio[ReservaID],Hoja2!$A40)</f>
        <v>0</v>
      </c>
      <c r="I40">
        <f>+COUNTIFS(ReservaServicio[ServicioID],Hoja2!I$20,ReservaServicio[ReservaID],Hoja2!$A40)</f>
        <v>0</v>
      </c>
      <c r="J40">
        <f>+COUNTIFS(ReservaServicio[ServicioID],Hoja2!J$20,ReservaServicio[ReservaID],Hoja2!$A40)</f>
        <v>0</v>
      </c>
      <c r="K40">
        <f>+COUNTIFS(ReservaServicio[ServicioID],Hoja2!K$20,ReservaServicio[ReservaID],Hoja2!$A40)</f>
        <v>0</v>
      </c>
      <c r="L40">
        <f t="shared" si="0"/>
        <v>0</v>
      </c>
    </row>
    <row r="41" spans="1:12" x14ac:dyDescent="0.25">
      <c r="A41" s="2">
        <v>31</v>
      </c>
      <c r="B41" s="12">
        <v>25</v>
      </c>
      <c r="C41" t="str">
        <f>+_xlfn.XLOOKUP(B41,Gatos[ID],Gatos[Nombre])</f>
        <v>Alberto</v>
      </c>
      <c r="D41" s="13" t="s">
        <v>143</v>
      </c>
      <c r="E41">
        <f>+COUNTIFS(ReservaServicio[ServicioID],Hoja2!E$20,ReservaServicio[ReservaID],Hoja2!$A41)</f>
        <v>0</v>
      </c>
      <c r="F41">
        <f>+COUNTIFS(ReservaServicio[ServicioID],Hoja2!F$20,ReservaServicio[ReservaID],Hoja2!$A41)</f>
        <v>0</v>
      </c>
      <c r="G41">
        <f>+COUNTIFS(ReservaServicio[ServicioID],Hoja2!G$20,ReservaServicio[ReservaID],Hoja2!$A41)</f>
        <v>0</v>
      </c>
      <c r="H41">
        <f>+COUNTIFS(ReservaServicio[ServicioID],Hoja2!H$20,ReservaServicio[ReservaID],Hoja2!$A41)</f>
        <v>0</v>
      </c>
      <c r="I41">
        <f>+COUNTIFS(ReservaServicio[ServicioID],Hoja2!I$20,ReservaServicio[ReservaID],Hoja2!$A41)</f>
        <v>0</v>
      </c>
      <c r="J41">
        <f>+COUNTIFS(ReservaServicio[ServicioID],Hoja2!J$20,ReservaServicio[ReservaID],Hoja2!$A41)</f>
        <v>0</v>
      </c>
      <c r="K41">
        <f>+COUNTIFS(ReservaServicio[ServicioID],Hoja2!K$20,ReservaServicio[ReservaID],Hoja2!$A41)</f>
        <v>0</v>
      </c>
      <c r="L41">
        <f t="shared" si="0"/>
        <v>0</v>
      </c>
    </row>
    <row r="42" spans="1:12" x14ac:dyDescent="0.25">
      <c r="A42" s="3">
        <v>32</v>
      </c>
      <c r="B42" s="11">
        <v>22</v>
      </c>
      <c r="C42" t="str">
        <f>+_xlfn.XLOOKUP(B42,Gatos[ID],Gatos[Nombre])</f>
        <v>Salem</v>
      </c>
      <c r="D42" s="14" t="s">
        <v>143</v>
      </c>
      <c r="E42">
        <f>+COUNTIFS(ReservaServicio[ServicioID],Hoja2!E$20,ReservaServicio[ReservaID],Hoja2!$A42)</f>
        <v>1</v>
      </c>
      <c r="F42">
        <f>+COUNTIFS(ReservaServicio[ServicioID],Hoja2!F$20,ReservaServicio[ReservaID],Hoja2!$A42)</f>
        <v>1</v>
      </c>
      <c r="G42">
        <f>+COUNTIFS(ReservaServicio[ServicioID],Hoja2!G$20,ReservaServicio[ReservaID],Hoja2!$A42)</f>
        <v>0</v>
      </c>
      <c r="H42">
        <f>+COUNTIFS(ReservaServicio[ServicioID],Hoja2!H$20,ReservaServicio[ReservaID],Hoja2!$A42)</f>
        <v>0</v>
      </c>
      <c r="I42">
        <f>+COUNTIFS(ReservaServicio[ServicioID],Hoja2!I$20,ReservaServicio[ReservaID],Hoja2!$A42)</f>
        <v>0</v>
      </c>
      <c r="J42">
        <f>+COUNTIFS(ReservaServicio[ServicioID],Hoja2!J$20,ReservaServicio[ReservaID],Hoja2!$A42)</f>
        <v>1</v>
      </c>
      <c r="K42">
        <f>+COUNTIFS(ReservaServicio[ServicioID],Hoja2!K$20,ReservaServicio[ReservaID],Hoja2!$A42)</f>
        <v>0</v>
      </c>
      <c r="L42">
        <f t="shared" si="0"/>
        <v>3</v>
      </c>
    </row>
    <row r="43" spans="1:12" x14ac:dyDescent="0.25">
      <c r="A43" s="2">
        <v>35</v>
      </c>
      <c r="B43" s="12">
        <v>16</v>
      </c>
      <c r="C43" t="str">
        <f>+_xlfn.XLOOKUP(B43,Gatos[ID],Gatos[Nombre])</f>
        <v>Pelusa</v>
      </c>
      <c r="D43" s="13" t="s">
        <v>143</v>
      </c>
      <c r="E43">
        <f>+COUNTIFS(ReservaServicio[ServicioID],Hoja2!E$20,ReservaServicio[ReservaID],Hoja2!$A43)</f>
        <v>1</v>
      </c>
      <c r="F43">
        <f>+COUNTIFS(ReservaServicio[ServicioID],Hoja2!F$20,ReservaServicio[ReservaID],Hoja2!$A43)</f>
        <v>0</v>
      </c>
      <c r="G43">
        <f>+COUNTIFS(ReservaServicio[ServicioID],Hoja2!G$20,ReservaServicio[ReservaID],Hoja2!$A43)</f>
        <v>0</v>
      </c>
      <c r="H43">
        <f>+COUNTIFS(ReservaServicio[ServicioID],Hoja2!H$20,ReservaServicio[ReservaID],Hoja2!$A43)</f>
        <v>0</v>
      </c>
      <c r="I43">
        <f>+COUNTIFS(ReservaServicio[ServicioID],Hoja2!I$20,ReservaServicio[ReservaID],Hoja2!$A43)</f>
        <v>1</v>
      </c>
      <c r="J43">
        <f>+COUNTIFS(ReservaServicio[ServicioID],Hoja2!J$20,ReservaServicio[ReservaID],Hoja2!$A43)</f>
        <v>0</v>
      </c>
      <c r="K43">
        <f>+COUNTIFS(ReservaServicio[ServicioID],Hoja2!K$20,ReservaServicio[ReservaID],Hoja2!$A43)</f>
        <v>0</v>
      </c>
      <c r="L43">
        <f t="shared" si="0"/>
        <v>2</v>
      </c>
    </row>
    <row r="44" spans="1:12" x14ac:dyDescent="0.25">
      <c r="A44" s="3">
        <v>36</v>
      </c>
      <c r="B44" s="11">
        <v>6</v>
      </c>
      <c r="C44" t="str">
        <f>+_xlfn.XLOOKUP(B44,Gatos[ID],Gatos[Nombre])</f>
        <v>Missy</v>
      </c>
      <c r="D44" s="14" t="s">
        <v>143</v>
      </c>
      <c r="E44">
        <f>+COUNTIFS(ReservaServicio[ServicioID],Hoja2!E$20,ReservaServicio[ReservaID],Hoja2!$A44)</f>
        <v>0</v>
      </c>
      <c r="F44">
        <f>+COUNTIFS(ReservaServicio[ServicioID],Hoja2!F$20,ReservaServicio[ReservaID],Hoja2!$A44)</f>
        <v>0</v>
      </c>
      <c r="G44">
        <f>+COUNTIFS(ReservaServicio[ServicioID],Hoja2!G$20,ReservaServicio[ReservaID],Hoja2!$A44)</f>
        <v>0</v>
      </c>
      <c r="H44">
        <f>+COUNTIFS(ReservaServicio[ServicioID],Hoja2!H$20,ReservaServicio[ReservaID],Hoja2!$A44)</f>
        <v>0</v>
      </c>
      <c r="I44">
        <f>+COUNTIFS(ReservaServicio[ServicioID],Hoja2!I$20,ReservaServicio[ReservaID],Hoja2!$A44)</f>
        <v>0</v>
      </c>
      <c r="J44">
        <f>+COUNTIFS(ReservaServicio[ServicioID],Hoja2!J$20,ReservaServicio[ReservaID],Hoja2!$A44)</f>
        <v>1</v>
      </c>
      <c r="K44">
        <f>+COUNTIFS(ReservaServicio[ServicioID],Hoja2!K$20,ReservaServicio[ReservaID],Hoja2!$A44)</f>
        <v>0</v>
      </c>
      <c r="L44">
        <f t="shared" si="0"/>
        <v>1</v>
      </c>
    </row>
    <row r="45" spans="1:12" x14ac:dyDescent="0.25">
      <c r="A45" s="3">
        <v>40</v>
      </c>
      <c r="B45" s="11">
        <v>2</v>
      </c>
      <c r="C45" t="str">
        <f>+_xlfn.XLOOKUP(B45,Gatos[ID],Gatos[Nombre])</f>
        <v>Miau</v>
      </c>
      <c r="D45" s="14" t="s">
        <v>143</v>
      </c>
      <c r="E45">
        <f>+COUNTIFS(ReservaServicio[ServicioID],Hoja2!E$20,ReservaServicio[ReservaID],Hoja2!$A45)</f>
        <v>0</v>
      </c>
      <c r="F45">
        <f>+COUNTIFS(ReservaServicio[ServicioID],Hoja2!F$20,ReservaServicio[ReservaID],Hoja2!$A45)</f>
        <v>0</v>
      </c>
      <c r="G45">
        <f>+COUNTIFS(ReservaServicio[ServicioID],Hoja2!G$20,ReservaServicio[ReservaID],Hoja2!$A45)</f>
        <v>1</v>
      </c>
      <c r="H45">
        <f>+COUNTIFS(ReservaServicio[ServicioID],Hoja2!H$20,ReservaServicio[ReservaID],Hoja2!$A45)</f>
        <v>0</v>
      </c>
      <c r="I45">
        <f>+COUNTIFS(ReservaServicio[ServicioID],Hoja2!I$20,ReservaServicio[ReservaID],Hoja2!$A45)</f>
        <v>0</v>
      </c>
      <c r="J45">
        <f>+COUNTIFS(ReservaServicio[ServicioID],Hoja2!J$20,ReservaServicio[ReservaID],Hoja2!$A45)</f>
        <v>0</v>
      </c>
      <c r="K45">
        <f>+COUNTIFS(ReservaServicio[ServicioID],Hoja2!K$20,ReservaServicio[ReservaID],Hoja2!$A45)</f>
        <v>0</v>
      </c>
      <c r="L45">
        <f t="shared" si="0"/>
        <v>1</v>
      </c>
    </row>
    <row r="46" spans="1:12" x14ac:dyDescent="0.25">
      <c r="A46" s="3">
        <v>50</v>
      </c>
      <c r="B46" s="11">
        <v>16</v>
      </c>
      <c r="C46" t="str">
        <f>+_xlfn.XLOOKUP(B46,Gatos[ID],Gatos[Nombre])</f>
        <v>Pelusa</v>
      </c>
      <c r="D46" s="14" t="s">
        <v>143</v>
      </c>
      <c r="E46">
        <f>+COUNTIFS(ReservaServicio[ServicioID],Hoja2!E$20,ReservaServicio[ReservaID],Hoja2!$A46)</f>
        <v>0</v>
      </c>
      <c r="F46">
        <f>+COUNTIFS(ReservaServicio[ServicioID],Hoja2!F$20,ReservaServicio[ReservaID],Hoja2!$A46)</f>
        <v>0</v>
      </c>
      <c r="G46">
        <f>+COUNTIFS(ReservaServicio[ServicioID],Hoja2!G$20,ReservaServicio[ReservaID],Hoja2!$A46)</f>
        <v>0</v>
      </c>
      <c r="H46">
        <f>+COUNTIFS(ReservaServicio[ServicioID],Hoja2!H$20,ReservaServicio[ReservaID],Hoja2!$A46)</f>
        <v>0</v>
      </c>
      <c r="I46">
        <f>+COUNTIFS(ReservaServicio[ServicioID],Hoja2!I$20,ReservaServicio[ReservaID],Hoja2!$A46)</f>
        <v>0</v>
      </c>
      <c r="J46">
        <f>+COUNTIFS(ReservaServicio[ServicioID],Hoja2!J$20,ReservaServicio[ReservaID],Hoja2!$A46)</f>
        <v>0</v>
      </c>
      <c r="K46">
        <f>+COUNTIFS(ReservaServicio[ServicioID],Hoja2!K$20,ReservaServicio[ReservaID],Hoja2!$A46)</f>
        <v>0</v>
      </c>
      <c r="L46">
        <f t="shared" si="0"/>
        <v>0</v>
      </c>
    </row>
    <row r="47" spans="1:12" x14ac:dyDescent="0.25">
      <c r="A47" s="3">
        <v>52</v>
      </c>
      <c r="B47" s="11">
        <v>29</v>
      </c>
      <c r="C47" t="str">
        <f>+_xlfn.XLOOKUP(B47,Gatos[ID],Gatos[Nombre])</f>
        <v>Bella</v>
      </c>
      <c r="D47" s="14" t="s">
        <v>143</v>
      </c>
      <c r="E47">
        <f>+COUNTIFS(ReservaServicio[ServicioID],Hoja2!E$20,ReservaServicio[ReservaID],Hoja2!$A47)</f>
        <v>0</v>
      </c>
      <c r="F47">
        <f>+COUNTIFS(ReservaServicio[ServicioID],Hoja2!F$20,ReservaServicio[ReservaID],Hoja2!$A47)</f>
        <v>0</v>
      </c>
      <c r="G47">
        <f>+COUNTIFS(ReservaServicio[ServicioID],Hoja2!G$20,ReservaServicio[ReservaID],Hoja2!$A47)</f>
        <v>0</v>
      </c>
      <c r="H47">
        <f>+COUNTIFS(ReservaServicio[ServicioID],Hoja2!H$20,ReservaServicio[ReservaID],Hoja2!$A47)</f>
        <v>0</v>
      </c>
      <c r="I47">
        <f>+COUNTIFS(ReservaServicio[ServicioID],Hoja2!I$20,ReservaServicio[ReservaID],Hoja2!$A47)</f>
        <v>0</v>
      </c>
      <c r="J47">
        <f>+COUNTIFS(ReservaServicio[ServicioID],Hoja2!J$20,ReservaServicio[ReservaID],Hoja2!$A47)</f>
        <v>0</v>
      </c>
      <c r="K47">
        <f>+COUNTIFS(ReservaServicio[ServicioID],Hoja2!K$20,ReservaServicio[ReservaID],Hoja2!$A47)</f>
        <v>0</v>
      </c>
      <c r="L47">
        <f t="shared" si="0"/>
        <v>0</v>
      </c>
    </row>
    <row r="48" spans="1:12" x14ac:dyDescent="0.25">
      <c r="A48" s="3">
        <v>54</v>
      </c>
      <c r="B48" s="11">
        <v>12</v>
      </c>
      <c r="C48" t="str">
        <f>+_xlfn.XLOOKUP(B48,Gatos[ID],Gatos[Nombre])</f>
        <v>Oliver</v>
      </c>
      <c r="D48" s="14" t="s">
        <v>143</v>
      </c>
      <c r="E48">
        <f>+COUNTIFS(ReservaServicio[ServicioID],Hoja2!E$20,ReservaServicio[ReservaID],Hoja2!$A48)</f>
        <v>1</v>
      </c>
      <c r="F48">
        <f>+COUNTIFS(ReservaServicio[ServicioID],Hoja2!F$20,ReservaServicio[ReservaID],Hoja2!$A48)</f>
        <v>0</v>
      </c>
      <c r="G48">
        <f>+COUNTIFS(ReservaServicio[ServicioID],Hoja2!G$20,ReservaServicio[ReservaID],Hoja2!$A48)</f>
        <v>0</v>
      </c>
      <c r="H48">
        <f>+COUNTIFS(ReservaServicio[ServicioID],Hoja2!H$20,ReservaServicio[ReservaID],Hoja2!$A48)</f>
        <v>0</v>
      </c>
      <c r="I48">
        <f>+COUNTIFS(ReservaServicio[ServicioID],Hoja2!I$20,ReservaServicio[ReservaID],Hoja2!$A48)</f>
        <v>1</v>
      </c>
      <c r="J48">
        <f>+COUNTIFS(ReservaServicio[ServicioID],Hoja2!J$20,ReservaServicio[ReservaID],Hoja2!$A48)</f>
        <v>1</v>
      </c>
      <c r="K48">
        <f>+COUNTIFS(ReservaServicio[ServicioID],Hoja2!K$20,ReservaServicio[ReservaID],Hoja2!$A48)</f>
        <v>0</v>
      </c>
      <c r="L48">
        <f t="shared" si="0"/>
        <v>3</v>
      </c>
    </row>
    <row r="49" spans="1:12" x14ac:dyDescent="0.25">
      <c r="A49" s="2">
        <v>55</v>
      </c>
      <c r="B49" s="12">
        <v>23</v>
      </c>
      <c r="C49" t="str">
        <f>+_xlfn.XLOOKUP(B49,Gatos[ID],Gatos[Nombre])</f>
        <v>Shadow</v>
      </c>
      <c r="D49" s="13" t="s">
        <v>143</v>
      </c>
      <c r="E49">
        <f>+COUNTIFS(ReservaServicio[ServicioID],Hoja2!E$20,ReservaServicio[ReservaID],Hoja2!$A49)</f>
        <v>0</v>
      </c>
      <c r="F49">
        <f>+COUNTIFS(ReservaServicio[ServicioID],Hoja2!F$20,ReservaServicio[ReservaID],Hoja2!$A49)</f>
        <v>0</v>
      </c>
      <c r="G49">
        <f>+COUNTIFS(ReservaServicio[ServicioID],Hoja2!G$20,ReservaServicio[ReservaID],Hoja2!$A49)</f>
        <v>0</v>
      </c>
      <c r="H49">
        <f>+COUNTIFS(ReservaServicio[ServicioID],Hoja2!H$20,ReservaServicio[ReservaID],Hoja2!$A49)</f>
        <v>0</v>
      </c>
      <c r="I49">
        <f>+COUNTIFS(ReservaServicio[ServicioID],Hoja2!I$20,ReservaServicio[ReservaID],Hoja2!$A49)</f>
        <v>0</v>
      </c>
      <c r="J49">
        <f>+COUNTIFS(ReservaServicio[ServicioID],Hoja2!J$20,ReservaServicio[ReservaID],Hoja2!$A49)</f>
        <v>1</v>
      </c>
      <c r="K49">
        <f>+COUNTIFS(ReservaServicio[ServicioID],Hoja2!K$20,ReservaServicio[ReservaID],Hoja2!$A49)</f>
        <v>0</v>
      </c>
      <c r="L49">
        <f t="shared" si="0"/>
        <v>1</v>
      </c>
    </row>
    <row r="50" spans="1:12" x14ac:dyDescent="0.25">
      <c r="A50" s="3">
        <v>18</v>
      </c>
      <c r="B50" s="11">
        <v>19</v>
      </c>
      <c r="C50" t="str">
        <f>+_xlfn.XLOOKUP(B50,Gatos[ID],Gatos[Nombre])</f>
        <v>Maya</v>
      </c>
      <c r="D50" s="14" t="s">
        <v>144</v>
      </c>
      <c r="E50">
        <f>+COUNTIFS(ReservaServicio[ServicioID],Hoja2!E$20,ReservaServicio[ReservaID],Hoja2!$A50)</f>
        <v>0</v>
      </c>
      <c r="F50">
        <f>+COUNTIFS(ReservaServicio[ServicioID],Hoja2!F$20,ReservaServicio[ReservaID],Hoja2!$A50)</f>
        <v>0</v>
      </c>
      <c r="G50">
        <f>+COUNTIFS(ReservaServicio[ServicioID],Hoja2!G$20,ReservaServicio[ReservaID],Hoja2!$A50)</f>
        <v>0</v>
      </c>
      <c r="H50">
        <f>+COUNTIFS(ReservaServicio[ServicioID],Hoja2!H$20,ReservaServicio[ReservaID],Hoja2!$A50)</f>
        <v>0</v>
      </c>
      <c r="I50">
        <f>+COUNTIFS(ReservaServicio[ServicioID],Hoja2!I$20,ReservaServicio[ReservaID],Hoja2!$A50)</f>
        <v>1</v>
      </c>
      <c r="J50">
        <f>+COUNTIFS(ReservaServicio[ServicioID],Hoja2!J$20,ReservaServicio[ReservaID],Hoja2!$A50)</f>
        <v>0</v>
      </c>
      <c r="K50">
        <f>+COUNTIFS(ReservaServicio[ServicioID],Hoja2!K$20,ReservaServicio[ReservaID],Hoja2!$A50)</f>
        <v>0</v>
      </c>
      <c r="L50">
        <f t="shared" si="0"/>
        <v>1</v>
      </c>
    </row>
    <row r="51" spans="1:12" x14ac:dyDescent="0.25">
      <c r="A51" s="3">
        <v>24</v>
      </c>
      <c r="B51" s="11">
        <v>4</v>
      </c>
      <c r="C51" t="str">
        <f>+_xlfn.XLOOKUP(B51,Gatos[ID],Gatos[Nombre])</f>
        <v>Mish</v>
      </c>
      <c r="D51" s="14" t="s">
        <v>144</v>
      </c>
      <c r="E51">
        <f>+COUNTIFS(ReservaServicio[ServicioID],Hoja2!E$20,ReservaServicio[ReservaID],Hoja2!$A51)</f>
        <v>0</v>
      </c>
      <c r="F51">
        <f>+COUNTIFS(ReservaServicio[ServicioID],Hoja2!F$20,ReservaServicio[ReservaID],Hoja2!$A51)</f>
        <v>0</v>
      </c>
      <c r="G51">
        <f>+COUNTIFS(ReservaServicio[ServicioID],Hoja2!G$20,ReservaServicio[ReservaID],Hoja2!$A51)</f>
        <v>0</v>
      </c>
      <c r="H51">
        <f>+COUNTIFS(ReservaServicio[ServicioID],Hoja2!H$20,ReservaServicio[ReservaID],Hoja2!$A51)</f>
        <v>0</v>
      </c>
      <c r="I51">
        <f>+COUNTIFS(ReservaServicio[ServicioID],Hoja2!I$20,ReservaServicio[ReservaID],Hoja2!$A51)</f>
        <v>0</v>
      </c>
      <c r="J51">
        <f>+COUNTIFS(ReservaServicio[ServicioID],Hoja2!J$20,ReservaServicio[ReservaID],Hoja2!$A51)</f>
        <v>0</v>
      </c>
      <c r="K51">
        <f>+COUNTIFS(ReservaServicio[ServicioID],Hoja2!K$20,ReservaServicio[ReservaID],Hoja2!$A51)</f>
        <v>0</v>
      </c>
      <c r="L51">
        <f t="shared" si="0"/>
        <v>0</v>
      </c>
    </row>
    <row r="52" spans="1:12" x14ac:dyDescent="0.25">
      <c r="A52" s="3">
        <v>28</v>
      </c>
      <c r="B52" s="11">
        <v>17</v>
      </c>
      <c r="C52" t="str">
        <f>+_xlfn.XLOOKUP(B52,Gatos[ID],Gatos[Nombre])</f>
        <v>Max</v>
      </c>
      <c r="D52" s="14" t="s">
        <v>144</v>
      </c>
      <c r="E52">
        <f>+COUNTIFS(ReservaServicio[ServicioID],Hoja2!E$20,ReservaServicio[ReservaID],Hoja2!$A52)</f>
        <v>0</v>
      </c>
      <c r="F52">
        <f>+COUNTIFS(ReservaServicio[ServicioID],Hoja2!F$20,ReservaServicio[ReservaID],Hoja2!$A52)</f>
        <v>0</v>
      </c>
      <c r="G52">
        <f>+COUNTIFS(ReservaServicio[ServicioID],Hoja2!G$20,ReservaServicio[ReservaID],Hoja2!$A52)</f>
        <v>0</v>
      </c>
      <c r="H52">
        <f>+COUNTIFS(ReservaServicio[ServicioID],Hoja2!H$20,ReservaServicio[ReservaID],Hoja2!$A52)</f>
        <v>0</v>
      </c>
      <c r="I52">
        <f>+COUNTIFS(ReservaServicio[ServicioID],Hoja2!I$20,ReservaServicio[ReservaID],Hoja2!$A52)</f>
        <v>0</v>
      </c>
      <c r="J52">
        <f>+COUNTIFS(ReservaServicio[ServicioID],Hoja2!J$20,ReservaServicio[ReservaID],Hoja2!$A52)</f>
        <v>0</v>
      </c>
      <c r="K52">
        <f>+COUNTIFS(ReservaServicio[ServicioID],Hoja2!K$20,ReservaServicio[ReservaID],Hoja2!$A52)</f>
        <v>0</v>
      </c>
      <c r="L52">
        <f t="shared" si="0"/>
        <v>0</v>
      </c>
    </row>
    <row r="53" spans="1:12" x14ac:dyDescent="0.25">
      <c r="A53" s="3">
        <v>42</v>
      </c>
      <c r="B53" s="11">
        <v>15</v>
      </c>
      <c r="C53" t="str">
        <f>+_xlfn.XLOOKUP(B53,Gatos[ID],Gatos[Nombre])</f>
        <v>Yuna</v>
      </c>
      <c r="D53" s="14" t="s">
        <v>144</v>
      </c>
      <c r="E53">
        <f>+COUNTIFS(ReservaServicio[ServicioID],Hoja2!E$20,ReservaServicio[ReservaID],Hoja2!$A53)</f>
        <v>0</v>
      </c>
      <c r="F53">
        <f>+COUNTIFS(ReservaServicio[ServicioID],Hoja2!F$20,ReservaServicio[ReservaID],Hoja2!$A53)</f>
        <v>0</v>
      </c>
      <c r="G53">
        <f>+COUNTIFS(ReservaServicio[ServicioID],Hoja2!G$20,ReservaServicio[ReservaID],Hoja2!$A53)</f>
        <v>0</v>
      </c>
      <c r="H53">
        <f>+COUNTIFS(ReservaServicio[ServicioID],Hoja2!H$20,ReservaServicio[ReservaID],Hoja2!$A53)</f>
        <v>0</v>
      </c>
      <c r="I53">
        <f>+COUNTIFS(ReservaServicio[ServicioID],Hoja2!I$20,ReservaServicio[ReservaID],Hoja2!$A53)</f>
        <v>1</v>
      </c>
      <c r="J53">
        <f>+COUNTIFS(ReservaServicio[ServicioID],Hoja2!J$20,ReservaServicio[ReservaID],Hoja2!$A53)</f>
        <v>0</v>
      </c>
      <c r="K53">
        <f>+COUNTIFS(ReservaServicio[ServicioID],Hoja2!K$20,ReservaServicio[ReservaID],Hoja2!$A53)</f>
        <v>0</v>
      </c>
      <c r="L53">
        <f t="shared" si="0"/>
        <v>1</v>
      </c>
    </row>
    <row r="54" spans="1:12" x14ac:dyDescent="0.25">
      <c r="A54" s="3">
        <v>56</v>
      </c>
      <c r="B54" s="11">
        <v>7</v>
      </c>
      <c r="C54" t="str">
        <f>+_xlfn.XLOOKUP(B54,Gatos[ID],Gatos[Nombre])</f>
        <v>Kitty</v>
      </c>
      <c r="D54" s="14" t="s">
        <v>144</v>
      </c>
      <c r="E54">
        <f>+COUNTIFS(ReservaServicio[ServicioID],Hoja2!E$20,ReservaServicio[ReservaID],Hoja2!$A54)</f>
        <v>0</v>
      </c>
      <c r="F54">
        <f>+COUNTIFS(ReservaServicio[ServicioID],Hoja2!F$20,ReservaServicio[ReservaID],Hoja2!$A54)</f>
        <v>0</v>
      </c>
      <c r="G54">
        <f>+COUNTIFS(ReservaServicio[ServicioID],Hoja2!G$20,ReservaServicio[ReservaID],Hoja2!$A54)</f>
        <v>0</v>
      </c>
      <c r="H54">
        <f>+COUNTIFS(ReservaServicio[ServicioID],Hoja2!H$20,ReservaServicio[ReservaID],Hoja2!$A54)</f>
        <v>0</v>
      </c>
      <c r="I54">
        <f>+COUNTIFS(ReservaServicio[ServicioID],Hoja2!I$20,ReservaServicio[ReservaID],Hoja2!$A54)</f>
        <v>0</v>
      </c>
      <c r="J54">
        <f>+COUNTIFS(ReservaServicio[ServicioID],Hoja2!J$20,ReservaServicio[ReservaID],Hoja2!$A54)</f>
        <v>0</v>
      </c>
      <c r="K54">
        <f>+COUNTIFS(ReservaServicio[ServicioID],Hoja2!K$20,ReservaServicio[ReservaID],Hoja2!$A54)</f>
        <v>0</v>
      </c>
      <c r="L54">
        <f t="shared" si="0"/>
        <v>0</v>
      </c>
    </row>
    <row r="55" spans="1:12" x14ac:dyDescent="0.25">
      <c r="A55" s="2">
        <v>1</v>
      </c>
      <c r="B55" s="12">
        <v>31</v>
      </c>
      <c r="C55" t="str">
        <f>+_xlfn.XLOOKUP(B55,Gatos[ID],Gatos[Nombre])</f>
        <v>Cleo</v>
      </c>
      <c r="D55" s="13" t="s">
        <v>145</v>
      </c>
      <c r="E55">
        <f>+COUNTIFS(ReservaServicio[ServicioID],Hoja2!E$20,ReservaServicio[ReservaID],Hoja2!$A55)</f>
        <v>0</v>
      </c>
      <c r="F55">
        <f>+COUNTIFS(ReservaServicio[ServicioID],Hoja2!F$20,ReservaServicio[ReservaID],Hoja2!$A55)</f>
        <v>0</v>
      </c>
      <c r="G55">
        <f>+COUNTIFS(ReservaServicio[ServicioID],Hoja2!G$20,ReservaServicio[ReservaID],Hoja2!$A55)</f>
        <v>0</v>
      </c>
      <c r="H55">
        <f>+COUNTIFS(ReservaServicio[ServicioID],Hoja2!H$20,ReservaServicio[ReservaID],Hoja2!$A55)</f>
        <v>0</v>
      </c>
      <c r="I55">
        <f>+COUNTIFS(ReservaServicio[ServicioID],Hoja2!I$20,ReservaServicio[ReservaID],Hoja2!$A55)</f>
        <v>0</v>
      </c>
      <c r="J55">
        <f>+COUNTIFS(ReservaServicio[ServicioID],Hoja2!J$20,ReservaServicio[ReservaID],Hoja2!$A55)</f>
        <v>0</v>
      </c>
      <c r="K55">
        <f>+COUNTIFS(ReservaServicio[ServicioID],Hoja2!K$20,ReservaServicio[ReservaID],Hoja2!$A55)</f>
        <v>0</v>
      </c>
      <c r="L55">
        <f t="shared" si="0"/>
        <v>0</v>
      </c>
    </row>
    <row r="56" spans="1:12" x14ac:dyDescent="0.25">
      <c r="A56" s="2">
        <v>3</v>
      </c>
      <c r="B56" s="12">
        <v>25</v>
      </c>
      <c r="C56" t="str">
        <f>+_xlfn.XLOOKUP(B56,Gatos[ID],Gatos[Nombre])</f>
        <v>Alberto</v>
      </c>
      <c r="D56" s="13" t="s">
        <v>145</v>
      </c>
      <c r="E56">
        <f>+COUNTIFS(ReservaServicio[ServicioID],Hoja2!E$20,ReservaServicio[ReservaID],Hoja2!$A56)</f>
        <v>0</v>
      </c>
      <c r="F56">
        <f>+COUNTIFS(ReservaServicio[ServicioID],Hoja2!F$20,ReservaServicio[ReservaID],Hoja2!$A56)</f>
        <v>0</v>
      </c>
      <c r="G56">
        <f>+COUNTIFS(ReservaServicio[ServicioID],Hoja2!G$20,ReservaServicio[ReservaID],Hoja2!$A56)</f>
        <v>0</v>
      </c>
      <c r="H56">
        <f>+COUNTIFS(ReservaServicio[ServicioID],Hoja2!H$20,ReservaServicio[ReservaID],Hoja2!$A56)</f>
        <v>0</v>
      </c>
      <c r="I56">
        <f>+COUNTIFS(ReservaServicio[ServicioID],Hoja2!I$20,ReservaServicio[ReservaID],Hoja2!$A56)</f>
        <v>0</v>
      </c>
      <c r="J56">
        <f>+COUNTIFS(ReservaServicio[ServicioID],Hoja2!J$20,ReservaServicio[ReservaID],Hoja2!$A56)</f>
        <v>1</v>
      </c>
      <c r="K56">
        <f>+COUNTIFS(ReservaServicio[ServicioID],Hoja2!K$20,ReservaServicio[ReservaID],Hoja2!$A56)</f>
        <v>0</v>
      </c>
      <c r="L56">
        <f t="shared" si="0"/>
        <v>1</v>
      </c>
    </row>
    <row r="57" spans="1:12" x14ac:dyDescent="0.25">
      <c r="A57" s="2">
        <v>5</v>
      </c>
      <c r="B57" s="12">
        <v>30</v>
      </c>
      <c r="C57" t="str">
        <f>+_xlfn.XLOOKUP(B57,Gatos[ID],Gatos[Nombre])</f>
        <v>Chloe</v>
      </c>
      <c r="D57" s="13" t="s">
        <v>145</v>
      </c>
      <c r="E57">
        <f>+COUNTIFS(ReservaServicio[ServicioID],Hoja2!E$20,ReservaServicio[ReservaID],Hoja2!$A57)</f>
        <v>1</v>
      </c>
      <c r="F57">
        <f>+COUNTIFS(ReservaServicio[ServicioID],Hoja2!F$20,ReservaServicio[ReservaID],Hoja2!$A57)</f>
        <v>0</v>
      </c>
      <c r="G57">
        <f>+COUNTIFS(ReservaServicio[ServicioID],Hoja2!G$20,ReservaServicio[ReservaID],Hoja2!$A57)</f>
        <v>0</v>
      </c>
      <c r="H57">
        <f>+COUNTIFS(ReservaServicio[ServicioID],Hoja2!H$20,ReservaServicio[ReservaID],Hoja2!$A57)</f>
        <v>0</v>
      </c>
      <c r="I57">
        <f>+COUNTIFS(ReservaServicio[ServicioID],Hoja2!I$20,ReservaServicio[ReservaID],Hoja2!$A57)</f>
        <v>0</v>
      </c>
      <c r="J57">
        <f>+COUNTIFS(ReservaServicio[ServicioID],Hoja2!J$20,ReservaServicio[ReservaID],Hoja2!$A57)</f>
        <v>0</v>
      </c>
      <c r="K57">
        <f>+COUNTIFS(ReservaServicio[ServicioID],Hoja2!K$20,ReservaServicio[ReservaID],Hoja2!$A57)</f>
        <v>0</v>
      </c>
      <c r="L57">
        <f t="shared" si="0"/>
        <v>1</v>
      </c>
    </row>
    <row r="58" spans="1:12" x14ac:dyDescent="0.25">
      <c r="A58" s="2">
        <v>13</v>
      </c>
      <c r="B58" s="12">
        <v>4</v>
      </c>
      <c r="C58" t="str">
        <f>+_xlfn.XLOOKUP(B58,Gatos[ID],Gatos[Nombre])</f>
        <v>Mish</v>
      </c>
      <c r="D58" s="13" t="s">
        <v>145</v>
      </c>
      <c r="E58">
        <f>+COUNTIFS(ReservaServicio[ServicioID],Hoja2!E$20,ReservaServicio[ReservaID],Hoja2!$A58)</f>
        <v>0</v>
      </c>
      <c r="F58">
        <f>+COUNTIFS(ReservaServicio[ServicioID],Hoja2!F$20,ReservaServicio[ReservaID],Hoja2!$A58)</f>
        <v>0</v>
      </c>
      <c r="G58">
        <f>+COUNTIFS(ReservaServicio[ServicioID],Hoja2!G$20,ReservaServicio[ReservaID],Hoja2!$A58)</f>
        <v>0</v>
      </c>
      <c r="H58">
        <f>+COUNTIFS(ReservaServicio[ServicioID],Hoja2!H$20,ReservaServicio[ReservaID],Hoja2!$A58)</f>
        <v>0</v>
      </c>
      <c r="I58">
        <f>+COUNTIFS(ReservaServicio[ServicioID],Hoja2!I$20,ReservaServicio[ReservaID],Hoja2!$A58)</f>
        <v>0</v>
      </c>
      <c r="J58">
        <f>+COUNTIFS(ReservaServicio[ServicioID],Hoja2!J$20,ReservaServicio[ReservaID],Hoja2!$A58)</f>
        <v>0</v>
      </c>
      <c r="K58">
        <f>+COUNTIFS(ReservaServicio[ServicioID],Hoja2!K$20,ReservaServicio[ReservaID],Hoja2!$A58)</f>
        <v>0</v>
      </c>
      <c r="L58">
        <f t="shared" si="0"/>
        <v>0</v>
      </c>
    </row>
    <row r="59" spans="1:12" x14ac:dyDescent="0.25">
      <c r="A59" s="2">
        <v>15</v>
      </c>
      <c r="B59" s="12">
        <v>8</v>
      </c>
      <c r="C59" t="str">
        <f>+_xlfn.XLOOKUP(B59,Gatos[ID],Gatos[Nombre])</f>
        <v>Nala</v>
      </c>
      <c r="D59" s="13" t="s">
        <v>145</v>
      </c>
      <c r="E59">
        <f>+COUNTIFS(ReservaServicio[ServicioID],Hoja2!E$20,ReservaServicio[ReservaID],Hoja2!$A59)</f>
        <v>0</v>
      </c>
      <c r="F59">
        <f>+COUNTIFS(ReservaServicio[ServicioID],Hoja2!F$20,ReservaServicio[ReservaID],Hoja2!$A59)</f>
        <v>0</v>
      </c>
      <c r="G59">
        <f>+COUNTIFS(ReservaServicio[ServicioID],Hoja2!G$20,ReservaServicio[ReservaID],Hoja2!$A59)</f>
        <v>0</v>
      </c>
      <c r="H59">
        <f>+COUNTIFS(ReservaServicio[ServicioID],Hoja2!H$20,ReservaServicio[ReservaID],Hoja2!$A59)</f>
        <v>0</v>
      </c>
      <c r="I59">
        <f>+COUNTIFS(ReservaServicio[ServicioID],Hoja2!I$20,ReservaServicio[ReservaID],Hoja2!$A59)</f>
        <v>0</v>
      </c>
      <c r="J59">
        <f>+COUNTIFS(ReservaServicio[ServicioID],Hoja2!J$20,ReservaServicio[ReservaID],Hoja2!$A59)</f>
        <v>1</v>
      </c>
      <c r="K59">
        <f>+COUNTIFS(ReservaServicio[ServicioID],Hoja2!K$20,ReservaServicio[ReservaID],Hoja2!$A59)</f>
        <v>0</v>
      </c>
      <c r="L59">
        <f t="shared" si="0"/>
        <v>1</v>
      </c>
    </row>
    <row r="60" spans="1:12" x14ac:dyDescent="0.25">
      <c r="A60" s="3">
        <v>16</v>
      </c>
      <c r="B60" s="11">
        <v>4</v>
      </c>
      <c r="C60" t="str">
        <f>+_xlfn.XLOOKUP(B60,Gatos[ID],Gatos[Nombre])</f>
        <v>Mish</v>
      </c>
      <c r="D60" s="14" t="s">
        <v>145</v>
      </c>
      <c r="E60">
        <f>+COUNTIFS(ReservaServicio[ServicioID],Hoja2!E$20,ReservaServicio[ReservaID],Hoja2!$A60)</f>
        <v>0</v>
      </c>
      <c r="F60">
        <f>+COUNTIFS(ReservaServicio[ServicioID],Hoja2!F$20,ReservaServicio[ReservaID],Hoja2!$A60)</f>
        <v>0</v>
      </c>
      <c r="G60">
        <f>+COUNTIFS(ReservaServicio[ServicioID],Hoja2!G$20,ReservaServicio[ReservaID],Hoja2!$A60)</f>
        <v>0</v>
      </c>
      <c r="H60">
        <f>+COUNTIFS(ReservaServicio[ServicioID],Hoja2!H$20,ReservaServicio[ReservaID],Hoja2!$A60)</f>
        <v>0</v>
      </c>
      <c r="I60">
        <f>+COUNTIFS(ReservaServicio[ServicioID],Hoja2!I$20,ReservaServicio[ReservaID],Hoja2!$A60)</f>
        <v>0</v>
      </c>
      <c r="J60">
        <f>+COUNTIFS(ReservaServicio[ServicioID],Hoja2!J$20,ReservaServicio[ReservaID],Hoja2!$A60)</f>
        <v>0</v>
      </c>
      <c r="K60">
        <f>+COUNTIFS(ReservaServicio[ServicioID],Hoja2!K$20,ReservaServicio[ReservaID],Hoja2!$A60)</f>
        <v>0</v>
      </c>
      <c r="L60">
        <f t="shared" si="0"/>
        <v>0</v>
      </c>
    </row>
    <row r="61" spans="1:12" x14ac:dyDescent="0.25">
      <c r="A61" s="2">
        <v>19</v>
      </c>
      <c r="B61" s="12">
        <v>15</v>
      </c>
      <c r="C61" t="str">
        <f>+_xlfn.XLOOKUP(B61,Gatos[ID],Gatos[Nombre])</f>
        <v>Yuna</v>
      </c>
      <c r="D61" s="13" t="s">
        <v>145</v>
      </c>
      <c r="E61">
        <f>+COUNTIFS(ReservaServicio[ServicioID],Hoja2!E$20,ReservaServicio[ReservaID],Hoja2!$A61)</f>
        <v>0</v>
      </c>
      <c r="F61">
        <f>+COUNTIFS(ReservaServicio[ServicioID],Hoja2!F$20,ReservaServicio[ReservaID],Hoja2!$A61)</f>
        <v>0</v>
      </c>
      <c r="G61">
        <f>+COUNTIFS(ReservaServicio[ServicioID],Hoja2!G$20,ReservaServicio[ReservaID],Hoja2!$A61)</f>
        <v>0</v>
      </c>
      <c r="H61">
        <f>+COUNTIFS(ReservaServicio[ServicioID],Hoja2!H$20,ReservaServicio[ReservaID],Hoja2!$A61)</f>
        <v>0</v>
      </c>
      <c r="I61">
        <f>+COUNTIFS(ReservaServicio[ServicioID],Hoja2!I$20,ReservaServicio[ReservaID],Hoja2!$A61)</f>
        <v>0</v>
      </c>
      <c r="J61">
        <f>+COUNTIFS(ReservaServicio[ServicioID],Hoja2!J$20,ReservaServicio[ReservaID],Hoja2!$A61)</f>
        <v>1</v>
      </c>
      <c r="K61">
        <f>+COUNTIFS(ReservaServicio[ServicioID],Hoja2!K$20,ReservaServicio[ReservaID],Hoja2!$A61)</f>
        <v>0</v>
      </c>
      <c r="L61">
        <f t="shared" si="0"/>
        <v>1</v>
      </c>
    </row>
    <row r="62" spans="1:12" x14ac:dyDescent="0.25">
      <c r="A62" s="2">
        <v>33</v>
      </c>
      <c r="B62" s="12">
        <v>7</v>
      </c>
      <c r="C62" t="str">
        <f>+_xlfn.XLOOKUP(B62,Gatos[ID],Gatos[Nombre])</f>
        <v>Kitty</v>
      </c>
      <c r="D62" s="13" t="s">
        <v>145</v>
      </c>
      <c r="E62">
        <f>+COUNTIFS(ReservaServicio[ServicioID],Hoja2!E$20,ReservaServicio[ReservaID],Hoja2!$A62)</f>
        <v>0</v>
      </c>
      <c r="F62">
        <f>+COUNTIFS(ReservaServicio[ServicioID],Hoja2!F$20,ReservaServicio[ReservaID],Hoja2!$A62)</f>
        <v>0</v>
      </c>
      <c r="G62">
        <f>+COUNTIFS(ReservaServicio[ServicioID],Hoja2!G$20,ReservaServicio[ReservaID],Hoja2!$A62)</f>
        <v>0</v>
      </c>
      <c r="H62">
        <f>+COUNTIFS(ReservaServicio[ServicioID],Hoja2!H$20,ReservaServicio[ReservaID],Hoja2!$A62)</f>
        <v>0</v>
      </c>
      <c r="I62">
        <f>+COUNTIFS(ReservaServicio[ServicioID],Hoja2!I$20,ReservaServicio[ReservaID],Hoja2!$A62)</f>
        <v>0</v>
      </c>
      <c r="J62">
        <f>+COUNTIFS(ReservaServicio[ServicioID],Hoja2!J$20,ReservaServicio[ReservaID],Hoja2!$A62)</f>
        <v>0</v>
      </c>
      <c r="K62">
        <f>+COUNTIFS(ReservaServicio[ServicioID],Hoja2!K$20,ReservaServicio[ReservaID],Hoja2!$A62)</f>
        <v>0</v>
      </c>
      <c r="L62">
        <f t="shared" si="0"/>
        <v>0</v>
      </c>
    </row>
    <row r="63" spans="1:12" x14ac:dyDescent="0.25">
      <c r="A63" s="3">
        <v>34</v>
      </c>
      <c r="B63" s="11">
        <v>18</v>
      </c>
      <c r="C63" t="str">
        <f>+_xlfn.XLOOKUP(B63,Gatos[ID],Gatos[Nombre])</f>
        <v>Pepper</v>
      </c>
      <c r="D63" s="14" t="s">
        <v>145</v>
      </c>
      <c r="E63">
        <f>+COUNTIFS(ReservaServicio[ServicioID],Hoja2!E$20,ReservaServicio[ReservaID],Hoja2!$A63)</f>
        <v>1</v>
      </c>
      <c r="F63">
        <f>+COUNTIFS(ReservaServicio[ServicioID],Hoja2!F$20,ReservaServicio[ReservaID],Hoja2!$A63)</f>
        <v>0</v>
      </c>
      <c r="G63">
        <f>+COUNTIFS(ReservaServicio[ServicioID],Hoja2!G$20,ReservaServicio[ReservaID],Hoja2!$A63)</f>
        <v>0</v>
      </c>
      <c r="H63">
        <f>+COUNTIFS(ReservaServicio[ServicioID],Hoja2!H$20,ReservaServicio[ReservaID],Hoja2!$A63)</f>
        <v>0</v>
      </c>
      <c r="I63">
        <f>+COUNTIFS(ReservaServicio[ServicioID],Hoja2!I$20,ReservaServicio[ReservaID],Hoja2!$A63)</f>
        <v>0</v>
      </c>
      <c r="J63">
        <f>+COUNTIFS(ReservaServicio[ServicioID],Hoja2!J$20,ReservaServicio[ReservaID],Hoja2!$A63)</f>
        <v>0</v>
      </c>
      <c r="K63">
        <f>+COUNTIFS(ReservaServicio[ServicioID],Hoja2!K$20,ReservaServicio[ReservaID],Hoja2!$A63)</f>
        <v>0</v>
      </c>
      <c r="L63">
        <f t="shared" si="0"/>
        <v>1</v>
      </c>
    </row>
    <row r="64" spans="1:12" x14ac:dyDescent="0.25">
      <c r="A64" s="2">
        <v>39</v>
      </c>
      <c r="B64" s="12">
        <v>24</v>
      </c>
      <c r="C64" t="str">
        <f>+_xlfn.XLOOKUP(B64,Gatos[ID],Gatos[Nombre])</f>
        <v>Simba</v>
      </c>
      <c r="D64" s="13" t="s">
        <v>145</v>
      </c>
      <c r="E64">
        <f>+COUNTIFS(ReservaServicio[ServicioID],Hoja2!E$20,ReservaServicio[ReservaID],Hoja2!$A64)</f>
        <v>0</v>
      </c>
      <c r="F64">
        <f>+COUNTIFS(ReservaServicio[ServicioID],Hoja2!F$20,ReservaServicio[ReservaID],Hoja2!$A64)</f>
        <v>0</v>
      </c>
      <c r="G64">
        <f>+COUNTIFS(ReservaServicio[ServicioID],Hoja2!G$20,ReservaServicio[ReservaID],Hoja2!$A64)</f>
        <v>0</v>
      </c>
      <c r="H64">
        <f>+COUNTIFS(ReservaServicio[ServicioID],Hoja2!H$20,ReservaServicio[ReservaID],Hoja2!$A64)</f>
        <v>0</v>
      </c>
      <c r="I64">
        <f>+COUNTIFS(ReservaServicio[ServicioID],Hoja2!I$20,ReservaServicio[ReservaID],Hoja2!$A64)</f>
        <v>0</v>
      </c>
      <c r="J64">
        <f>+COUNTIFS(ReservaServicio[ServicioID],Hoja2!J$20,ReservaServicio[ReservaID],Hoja2!$A64)</f>
        <v>0</v>
      </c>
      <c r="K64">
        <f>+COUNTIFS(ReservaServicio[ServicioID],Hoja2!K$20,ReservaServicio[ReservaID],Hoja2!$A64)</f>
        <v>0</v>
      </c>
      <c r="L64">
        <f t="shared" si="0"/>
        <v>0</v>
      </c>
    </row>
    <row r="65" spans="1:12" x14ac:dyDescent="0.25">
      <c r="A65" s="3">
        <v>46</v>
      </c>
      <c r="B65" s="11">
        <v>6</v>
      </c>
      <c r="C65" t="str">
        <f>+_xlfn.XLOOKUP(B65,Gatos[ID],Gatos[Nombre])</f>
        <v>Missy</v>
      </c>
      <c r="D65" s="14" t="s">
        <v>145</v>
      </c>
      <c r="E65">
        <f>+COUNTIFS(ReservaServicio[ServicioID],Hoja2!E$20,ReservaServicio[ReservaID],Hoja2!$A65)</f>
        <v>0</v>
      </c>
      <c r="F65">
        <f>+COUNTIFS(ReservaServicio[ServicioID],Hoja2!F$20,ReservaServicio[ReservaID],Hoja2!$A65)</f>
        <v>0</v>
      </c>
      <c r="G65">
        <f>+COUNTIFS(ReservaServicio[ServicioID],Hoja2!G$20,ReservaServicio[ReservaID],Hoja2!$A65)</f>
        <v>0</v>
      </c>
      <c r="H65">
        <f>+COUNTIFS(ReservaServicio[ServicioID],Hoja2!H$20,ReservaServicio[ReservaID],Hoja2!$A65)</f>
        <v>0</v>
      </c>
      <c r="I65">
        <f>+COUNTIFS(ReservaServicio[ServicioID],Hoja2!I$20,ReservaServicio[ReservaID],Hoja2!$A65)</f>
        <v>0</v>
      </c>
      <c r="J65">
        <f>+COUNTIFS(ReservaServicio[ServicioID],Hoja2!J$20,ReservaServicio[ReservaID],Hoja2!$A65)</f>
        <v>0</v>
      </c>
      <c r="K65">
        <f>+COUNTIFS(ReservaServicio[ServicioID],Hoja2!K$20,ReservaServicio[ReservaID],Hoja2!$A65)</f>
        <v>0</v>
      </c>
      <c r="L65">
        <f t="shared" si="0"/>
        <v>0</v>
      </c>
    </row>
    <row r="66" spans="1:12" x14ac:dyDescent="0.25">
      <c r="A66" s="2">
        <v>53</v>
      </c>
      <c r="B66" s="12">
        <v>7</v>
      </c>
      <c r="C66" t="str">
        <f>+_xlfn.XLOOKUP(B66,Gatos[ID],Gatos[Nombre])</f>
        <v>Kitty</v>
      </c>
      <c r="D66" s="13" t="s">
        <v>145</v>
      </c>
      <c r="E66">
        <f>+COUNTIFS(ReservaServicio[ServicioID],Hoja2!E$20,ReservaServicio[ReservaID],Hoja2!$A66)</f>
        <v>1</v>
      </c>
      <c r="F66">
        <f>+COUNTIFS(ReservaServicio[ServicioID],Hoja2!F$20,ReservaServicio[ReservaID],Hoja2!$A66)</f>
        <v>0</v>
      </c>
      <c r="G66">
        <f>+COUNTIFS(ReservaServicio[ServicioID],Hoja2!G$20,ReservaServicio[ReservaID],Hoja2!$A66)</f>
        <v>0</v>
      </c>
      <c r="H66">
        <f>+COUNTIFS(ReservaServicio[ServicioID],Hoja2!H$20,ReservaServicio[ReservaID],Hoja2!$A66)</f>
        <v>0</v>
      </c>
      <c r="I66">
        <f>+COUNTIFS(ReservaServicio[ServicioID],Hoja2!I$20,ReservaServicio[ReservaID],Hoja2!$A66)</f>
        <v>0</v>
      </c>
      <c r="J66">
        <f>+COUNTIFS(ReservaServicio[ServicioID],Hoja2!J$20,ReservaServicio[ReservaID],Hoja2!$A66)</f>
        <v>0</v>
      </c>
      <c r="K66">
        <f>+COUNTIFS(ReservaServicio[ServicioID],Hoja2!K$20,ReservaServicio[ReservaID],Hoja2!$A66)</f>
        <v>0</v>
      </c>
      <c r="L66">
        <f t="shared" si="0"/>
        <v>1</v>
      </c>
    </row>
    <row r="67" spans="1:12" x14ac:dyDescent="0.25">
      <c r="A67" s="3">
        <v>14</v>
      </c>
      <c r="B67" s="11">
        <v>2</v>
      </c>
      <c r="C67" t="str">
        <f>+_xlfn.XLOOKUP(B67,Gatos[ID],Gatos[Nombre])</f>
        <v>Miau</v>
      </c>
      <c r="D67" s="14" t="s">
        <v>146</v>
      </c>
      <c r="E67">
        <f>+COUNTIFS(ReservaServicio[ServicioID],Hoja2!E$20,ReservaServicio[ReservaID],Hoja2!$A67)</f>
        <v>0</v>
      </c>
      <c r="F67">
        <f>+COUNTIFS(ReservaServicio[ServicioID],Hoja2!F$20,ReservaServicio[ReservaID],Hoja2!$A67)</f>
        <v>0</v>
      </c>
      <c r="G67">
        <f>+COUNTIFS(ReservaServicio[ServicioID],Hoja2!G$20,ReservaServicio[ReservaID],Hoja2!$A67)</f>
        <v>0</v>
      </c>
      <c r="H67">
        <f>+COUNTIFS(ReservaServicio[ServicioID],Hoja2!H$20,ReservaServicio[ReservaID],Hoja2!$A67)</f>
        <v>0</v>
      </c>
      <c r="I67">
        <f>+COUNTIFS(ReservaServicio[ServicioID],Hoja2!I$20,ReservaServicio[ReservaID],Hoja2!$A67)</f>
        <v>0</v>
      </c>
      <c r="J67">
        <f>+COUNTIFS(ReservaServicio[ServicioID],Hoja2!J$20,ReservaServicio[ReservaID],Hoja2!$A67)</f>
        <v>0</v>
      </c>
      <c r="K67">
        <f>+COUNTIFS(ReservaServicio[ServicioID],Hoja2!K$20,ReservaServicio[ReservaID],Hoja2!$A67)</f>
        <v>0</v>
      </c>
      <c r="L67">
        <f t="shared" si="0"/>
        <v>0</v>
      </c>
    </row>
    <row r="68" spans="1:12" x14ac:dyDescent="0.25">
      <c r="A68" s="2">
        <v>23</v>
      </c>
      <c r="B68" s="12">
        <v>7</v>
      </c>
      <c r="C68" t="str">
        <f>+_xlfn.XLOOKUP(B68,Gatos[ID],Gatos[Nombre])</f>
        <v>Kitty</v>
      </c>
      <c r="D68" s="13" t="s">
        <v>146</v>
      </c>
      <c r="E68">
        <f>+COUNTIFS(ReservaServicio[ServicioID],Hoja2!E$20,ReservaServicio[ReservaID],Hoja2!$A68)</f>
        <v>0</v>
      </c>
      <c r="F68">
        <f>+COUNTIFS(ReservaServicio[ServicioID],Hoja2!F$20,ReservaServicio[ReservaID],Hoja2!$A68)</f>
        <v>0</v>
      </c>
      <c r="G68">
        <f>+COUNTIFS(ReservaServicio[ServicioID],Hoja2!G$20,ReservaServicio[ReservaID],Hoja2!$A68)</f>
        <v>0</v>
      </c>
      <c r="H68">
        <f>+COUNTIFS(ReservaServicio[ServicioID],Hoja2!H$20,ReservaServicio[ReservaID],Hoja2!$A68)</f>
        <v>0</v>
      </c>
      <c r="I68">
        <f>+COUNTIFS(ReservaServicio[ServicioID],Hoja2!I$20,ReservaServicio[ReservaID],Hoja2!$A68)</f>
        <v>0</v>
      </c>
      <c r="J68">
        <f>+COUNTIFS(ReservaServicio[ServicioID],Hoja2!J$20,ReservaServicio[ReservaID],Hoja2!$A68)</f>
        <v>0</v>
      </c>
      <c r="K68">
        <f>+COUNTIFS(ReservaServicio[ServicioID],Hoja2!K$20,ReservaServicio[ReservaID],Hoja2!$A68)</f>
        <v>0</v>
      </c>
      <c r="L68">
        <f t="shared" si="0"/>
        <v>0</v>
      </c>
    </row>
    <row r="69" spans="1:12" x14ac:dyDescent="0.25">
      <c r="A69" s="2">
        <v>25</v>
      </c>
      <c r="B69" s="12">
        <v>10</v>
      </c>
      <c r="C69" t="str">
        <f>+_xlfn.XLOOKUP(B69,Gatos[ID],Gatos[Nombre])</f>
        <v>Nina</v>
      </c>
      <c r="D69" s="13" t="s">
        <v>146</v>
      </c>
      <c r="E69">
        <f>+COUNTIFS(ReservaServicio[ServicioID],Hoja2!E$20,ReservaServicio[ReservaID],Hoja2!$A69)</f>
        <v>0</v>
      </c>
      <c r="F69">
        <f>+COUNTIFS(ReservaServicio[ServicioID],Hoja2!F$20,ReservaServicio[ReservaID],Hoja2!$A69)</f>
        <v>0</v>
      </c>
      <c r="G69">
        <f>+COUNTIFS(ReservaServicio[ServicioID],Hoja2!G$20,ReservaServicio[ReservaID],Hoja2!$A69)</f>
        <v>1</v>
      </c>
      <c r="H69">
        <f>+COUNTIFS(ReservaServicio[ServicioID],Hoja2!H$20,ReservaServicio[ReservaID],Hoja2!$A69)</f>
        <v>0</v>
      </c>
      <c r="I69">
        <f>+COUNTIFS(ReservaServicio[ServicioID],Hoja2!I$20,ReservaServicio[ReservaID],Hoja2!$A69)</f>
        <v>0</v>
      </c>
      <c r="J69">
        <f>+COUNTIFS(ReservaServicio[ServicioID],Hoja2!J$20,ReservaServicio[ReservaID],Hoja2!$A69)</f>
        <v>0</v>
      </c>
      <c r="K69">
        <f>+COUNTIFS(ReservaServicio[ServicioID],Hoja2!K$20,ReservaServicio[ReservaID],Hoja2!$A69)</f>
        <v>0</v>
      </c>
      <c r="L69">
        <f t="shared" si="0"/>
        <v>1</v>
      </c>
    </row>
    <row r="70" spans="1:12" x14ac:dyDescent="0.25">
      <c r="A70" s="3">
        <v>30</v>
      </c>
      <c r="B70" s="11">
        <v>2</v>
      </c>
      <c r="C70" t="str">
        <f>+_xlfn.XLOOKUP(B70,Gatos[ID],Gatos[Nombre])</f>
        <v>Miau</v>
      </c>
      <c r="D70" s="14" t="s">
        <v>146</v>
      </c>
      <c r="E70">
        <f>+COUNTIFS(ReservaServicio[ServicioID],Hoja2!E$20,ReservaServicio[ReservaID],Hoja2!$A70)</f>
        <v>0</v>
      </c>
      <c r="F70">
        <f>+COUNTIFS(ReservaServicio[ServicioID],Hoja2!F$20,ReservaServicio[ReservaID],Hoja2!$A70)</f>
        <v>0</v>
      </c>
      <c r="G70">
        <f>+COUNTIFS(ReservaServicio[ServicioID],Hoja2!G$20,ReservaServicio[ReservaID],Hoja2!$A70)</f>
        <v>0</v>
      </c>
      <c r="H70">
        <f>+COUNTIFS(ReservaServicio[ServicioID],Hoja2!H$20,ReservaServicio[ReservaID],Hoja2!$A70)</f>
        <v>0</v>
      </c>
      <c r="I70">
        <f>+COUNTIFS(ReservaServicio[ServicioID],Hoja2!I$20,ReservaServicio[ReservaID],Hoja2!$A70)</f>
        <v>0</v>
      </c>
      <c r="J70">
        <f>+COUNTIFS(ReservaServicio[ServicioID],Hoja2!J$20,ReservaServicio[ReservaID],Hoja2!$A70)</f>
        <v>0</v>
      </c>
      <c r="K70">
        <f>+COUNTIFS(ReservaServicio[ServicioID],Hoja2!K$20,ReservaServicio[ReservaID],Hoja2!$A70)</f>
        <v>0</v>
      </c>
      <c r="L70">
        <f t="shared" si="0"/>
        <v>0</v>
      </c>
    </row>
    <row r="71" spans="1:12" x14ac:dyDescent="0.25">
      <c r="A71" s="2">
        <v>37</v>
      </c>
      <c r="B71" s="12">
        <v>30</v>
      </c>
      <c r="C71" t="str">
        <f>+_xlfn.XLOOKUP(B71,Gatos[ID],Gatos[Nombre])</f>
        <v>Chloe</v>
      </c>
      <c r="D71" s="13" t="s">
        <v>146</v>
      </c>
      <c r="E71">
        <f>+COUNTIFS(ReservaServicio[ServicioID],Hoja2!E$20,ReservaServicio[ReservaID],Hoja2!$A71)</f>
        <v>0</v>
      </c>
      <c r="F71">
        <f>+COUNTIFS(ReservaServicio[ServicioID],Hoja2!F$20,ReservaServicio[ReservaID],Hoja2!$A71)</f>
        <v>0</v>
      </c>
      <c r="G71">
        <f>+COUNTIFS(ReservaServicio[ServicioID],Hoja2!G$20,ReservaServicio[ReservaID],Hoja2!$A71)</f>
        <v>0</v>
      </c>
      <c r="H71">
        <f>+COUNTIFS(ReservaServicio[ServicioID],Hoja2!H$20,ReservaServicio[ReservaID],Hoja2!$A71)</f>
        <v>0</v>
      </c>
      <c r="I71">
        <f>+COUNTIFS(ReservaServicio[ServicioID],Hoja2!I$20,ReservaServicio[ReservaID],Hoja2!$A71)</f>
        <v>0</v>
      </c>
      <c r="J71">
        <f>+COUNTIFS(ReservaServicio[ServicioID],Hoja2!J$20,ReservaServicio[ReservaID],Hoja2!$A71)</f>
        <v>0</v>
      </c>
      <c r="K71">
        <f>+COUNTIFS(ReservaServicio[ServicioID],Hoja2!K$20,ReservaServicio[ReservaID],Hoja2!$A71)</f>
        <v>0</v>
      </c>
      <c r="L71">
        <f t="shared" si="0"/>
        <v>0</v>
      </c>
    </row>
    <row r="72" spans="1:12" x14ac:dyDescent="0.25">
      <c r="A72" s="3">
        <v>44</v>
      </c>
      <c r="B72" s="11">
        <v>24</v>
      </c>
      <c r="C72" t="str">
        <f>+_xlfn.XLOOKUP(B72,Gatos[ID],Gatos[Nombre])</f>
        <v>Simba</v>
      </c>
      <c r="D72" s="14" t="s">
        <v>146</v>
      </c>
      <c r="E72">
        <f>+COUNTIFS(ReservaServicio[ServicioID],Hoja2!E$20,ReservaServicio[ReservaID],Hoja2!$A72)</f>
        <v>0</v>
      </c>
      <c r="F72">
        <f>+COUNTIFS(ReservaServicio[ServicioID],Hoja2!F$20,ReservaServicio[ReservaID],Hoja2!$A72)</f>
        <v>0</v>
      </c>
      <c r="G72">
        <f>+COUNTIFS(ReservaServicio[ServicioID],Hoja2!G$20,ReservaServicio[ReservaID],Hoja2!$A72)</f>
        <v>0</v>
      </c>
      <c r="H72">
        <f>+COUNTIFS(ReservaServicio[ServicioID],Hoja2!H$20,ReservaServicio[ReservaID],Hoja2!$A72)</f>
        <v>1</v>
      </c>
      <c r="I72">
        <f>+COUNTIFS(ReservaServicio[ServicioID],Hoja2!I$20,ReservaServicio[ReservaID],Hoja2!$A72)</f>
        <v>0</v>
      </c>
      <c r="J72">
        <f>+COUNTIFS(ReservaServicio[ServicioID],Hoja2!J$20,ReservaServicio[ReservaID],Hoja2!$A72)</f>
        <v>0</v>
      </c>
      <c r="K72">
        <f>+COUNTIFS(ReservaServicio[ServicioID],Hoja2!K$20,ReservaServicio[ReservaID],Hoja2!$A72)</f>
        <v>0</v>
      </c>
      <c r="L72">
        <f t="shared" si="0"/>
        <v>1</v>
      </c>
    </row>
    <row r="73" spans="1:12" x14ac:dyDescent="0.25">
      <c r="A73" s="2">
        <v>9</v>
      </c>
      <c r="B73" s="12">
        <v>23</v>
      </c>
      <c r="C73" t="str">
        <f>+_xlfn.XLOOKUP(B73,Gatos[ID],Gatos[Nombre])</f>
        <v>Shadow</v>
      </c>
      <c r="D73" s="13" t="s">
        <v>147</v>
      </c>
      <c r="E73">
        <f>+COUNTIFS(ReservaServicio[ServicioID],Hoja2!E$20,ReservaServicio[ReservaID],Hoja2!$A73)</f>
        <v>0</v>
      </c>
      <c r="F73">
        <f>+COUNTIFS(ReservaServicio[ServicioID],Hoja2!F$20,ReservaServicio[ReservaID],Hoja2!$A73)</f>
        <v>1</v>
      </c>
      <c r="G73">
        <f>+COUNTIFS(ReservaServicio[ServicioID],Hoja2!G$20,ReservaServicio[ReservaID],Hoja2!$A73)</f>
        <v>0</v>
      </c>
      <c r="H73">
        <f>+COUNTIFS(ReservaServicio[ServicioID],Hoja2!H$20,ReservaServicio[ReservaID],Hoja2!$A73)</f>
        <v>0</v>
      </c>
      <c r="I73">
        <f>+COUNTIFS(ReservaServicio[ServicioID],Hoja2!I$20,ReservaServicio[ReservaID],Hoja2!$A73)</f>
        <v>0</v>
      </c>
      <c r="J73">
        <f>+COUNTIFS(ReservaServicio[ServicioID],Hoja2!J$20,ReservaServicio[ReservaID],Hoja2!$A73)</f>
        <v>1</v>
      </c>
      <c r="K73">
        <f>+COUNTIFS(ReservaServicio[ServicioID],Hoja2!K$20,ReservaServicio[ReservaID],Hoja2!$A73)</f>
        <v>0</v>
      </c>
      <c r="L73">
        <f t="shared" si="0"/>
        <v>2</v>
      </c>
    </row>
    <row r="74" spans="1:12" x14ac:dyDescent="0.25">
      <c r="A74" s="3">
        <v>22</v>
      </c>
      <c r="B74" s="11">
        <v>25</v>
      </c>
      <c r="C74" t="str">
        <f>+_xlfn.XLOOKUP(B74,Gatos[ID],Gatos[Nombre])</f>
        <v>Alberto</v>
      </c>
      <c r="D74" s="14" t="s">
        <v>147</v>
      </c>
      <c r="E74">
        <f>+COUNTIFS(ReservaServicio[ServicioID],Hoja2!E$20,ReservaServicio[ReservaID],Hoja2!$A74)</f>
        <v>0</v>
      </c>
      <c r="F74">
        <f>+COUNTIFS(ReservaServicio[ServicioID],Hoja2!F$20,ReservaServicio[ReservaID],Hoja2!$A74)</f>
        <v>0</v>
      </c>
      <c r="G74">
        <f>+COUNTIFS(ReservaServicio[ServicioID],Hoja2!G$20,ReservaServicio[ReservaID],Hoja2!$A74)</f>
        <v>0</v>
      </c>
      <c r="H74">
        <f>+COUNTIFS(ReservaServicio[ServicioID],Hoja2!H$20,ReservaServicio[ReservaID],Hoja2!$A74)</f>
        <v>0</v>
      </c>
      <c r="I74">
        <f>+COUNTIFS(ReservaServicio[ServicioID],Hoja2!I$20,ReservaServicio[ReservaID],Hoja2!$A74)</f>
        <v>1</v>
      </c>
      <c r="J74">
        <f>+COUNTIFS(ReservaServicio[ServicioID],Hoja2!J$20,ReservaServicio[ReservaID],Hoja2!$A74)</f>
        <v>0</v>
      </c>
      <c r="K74">
        <f>+COUNTIFS(ReservaServicio[ServicioID],Hoja2!K$20,ReservaServicio[ReservaID],Hoja2!$A74)</f>
        <v>0</v>
      </c>
      <c r="L74">
        <f t="shared" si="0"/>
        <v>1</v>
      </c>
    </row>
    <row r="75" spans="1:12" x14ac:dyDescent="0.25">
      <c r="A75" s="3">
        <v>26</v>
      </c>
      <c r="B75" s="11">
        <v>4</v>
      </c>
      <c r="C75" t="str">
        <f>+_xlfn.XLOOKUP(B75,Gatos[ID],Gatos[Nombre])</f>
        <v>Mish</v>
      </c>
      <c r="D75" s="14" t="s">
        <v>147</v>
      </c>
      <c r="E75">
        <f>+COUNTIFS(ReservaServicio[ServicioID],Hoja2!E$20,ReservaServicio[ReservaID],Hoja2!$A75)</f>
        <v>0</v>
      </c>
      <c r="F75">
        <f>+COUNTIFS(ReservaServicio[ServicioID],Hoja2!F$20,ReservaServicio[ReservaID],Hoja2!$A75)</f>
        <v>0</v>
      </c>
      <c r="G75">
        <f>+COUNTIFS(ReservaServicio[ServicioID],Hoja2!G$20,ReservaServicio[ReservaID],Hoja2!$A75)</f>
        <v>0</v>
      </c>
      <c r="H75">
        <f>+COUNTIFS(ReservaServicio[ServicioID],Hoja2!H$20,ReservaServicio[ReservaID],Hoja2!$A75)</f>
        <v>0</v>
      </c>
      <c r="I75">
        <f>+COUNTIFS(ReservaServicio[ServicioID],Hoja2!I$20,ReservaServicio[ReservaID],Hoja2!$A75)</f>
        <v>0</v>
      </c>
      <c r="J75">
        <f>+COUNTIFS(ReservaServicio[ServicioID],Hoja2!J$20,ReservaServicio[ReservaID],Hoja2!$A75)</f>
        <v>0</v>
      </c>
      <c r="K75">
        <f>+COUNTIFS(ReservaServicio[ServicioID],Hoja2!K$20,ReservaServicio[ReservaID],Hoja2!$A75)</f>
        <v>0</v>
      </c>
      <c r="L75">
        <f t="shared" si="0"/>
        <v>0</v>
      </c>
    </row>
    <row r="76" spans="1:12" x14ac:dyDescent="0.25">
      <c r="A76" s="2">
        <v>45</v>
      </c>
      <c r="B76" s="12">
        <v>7</v>
      </c>
      <c r="C76" t="str">
        <f>+_xlfn.XLOOKUP(B76,Gatos[ID],Gatos[Nombre])</f>
        <v>Kitty</v>
      </c>
      <c r="D76" s="13" t="s">
        <v>147</v>
      </c>
      <c r="E76">
        <f>+COUNTIFS(ReservaServicio[ServicioID],Hoja2!E$20,ReservaServicio[ReservaID],Hoja2!$A76)</f>
        <v>0</v>
      </c>
      <c r="F76">
        <f>+COUNTIFS(ReservaServicio[ServicioID],Hoja2!F$20,ReservaServicio[ReservaID],Hoja2!$A76)</f>
        <v>1</v>
      </c>
      <c r="G76">
        <f>+COUNTIFS(ReservaServicio[ServicioID],Hoja2!G$20,ReservaServicio[ReservaID],Hoja2!$A76)</f>
        <v>0</v>
      </c>
      <c r="H76">
        <f>+COUNTIFS(ReservaServicio[ServicioID],Hoja2!H$20,ReservaServicio[ReservaID],Hoja2!$A76)</f>
        <v>0</v>
      </c>
      <c r="I76">
        <f>+COUNTIFS(ReservaServicio[ServicioID],Hoja2!I$20,ReservaServicio[ReservaID],Hoja2!$A76)</f>
        <v>0</v>
      </c>
      <c r="J76">
        <f>+COUNTIFS(ReservaServicio[ServicioID],Hoja2!J$20,ReservaServicio[ReservaID],Hoja2!$A76)</f>
        <v>0</v>
      </c>
      <c r="K76">
        <f>+COUNTIFS(ReservaServicio[ServicioID],Hoja2!K$20,ReservaServicio[ReservaID],Hoja2!$A76)</f>
        <v>0</v>
      </c>
      <c r="L76">
        <f t="shared" si="0"/>
        <v>1</v>
      </c>
    </row>
    <row r="77" spans="1:12" x14ac:dyDescent="0.25">
      <c r="A77" s="2">
        <v>51</v>
      </c>
      <c r="B77" s="12">
        <v>27</v>
      </c>
      <c r="C77" t="str">
        <f>+_xlfn.XLOOKUP(B77,Gatos[ID],Gatos[Nombre])</f>
        <v>Tom</v>
      </c>
      <c r="D77" s="13" t="s">
        <v>147</v>
      </c>
      <c r="E77">
        <f>+COUNTIFS(ReservaServicio[ServicioID],Hoja2!E$20,ReservaServicio[ReservaID],Hoja2!$A77)</f>
        <v>0</v>
      </c>
      <c r="F77">
        <f>+COUNTIFS(ReservaServicio[ServicioID],Hoja2!F$20,ReservaServicio[ReservaID],Hoja2!$A77)</f>
        <v>0</v>
      </c>
      <c r="G77">
        <f>+COUNTIFS(ReservaServicio[ServicioID],Hoja2!G$20,ReservaServicio[ReservaID],Hoja2!$A77)</f>
        <v>0</v>
      </c>
      <c r="H77">
        <f>+COUNTIFS(ReservaServicio[ServicioID],Hoja2!H$20,ReservaServicio[ReservaID],Hoja2!$A77)</f>
        <v>0</v>
      </c>
      <c r="I77">
        <f>+COUNTIFS(ReservaServicio[ServicioID],Hoja2!I$20,ReservaServicio[ReservaID],Hoja2!$A77)</f>
        <v>0</v>
      </c>
      <c r="J77">
        <f>+COUNTIFS(ReservaServicio[ServicioID],Hoja2!J$20,ReservaServicio[ReservaID],Hoja2!$A77)</f>
        <v>0</v>
      </c>
      <c r="K77">
        <f>+COUNTIFS(ReservaServicio[ServicioID],Hoja2!K$20,ReservaServicio[ReservaID],Hoja2!$A77)</f>
        <v>0</v>
      </c>
      <c r="L77">
        <f t="shared" si="0"/>
        <v>0</v>
      </c>
    </row>
    <row r="78" spans="1:12" x14ac:dyDescent="0.25">
      <c r="A78" s="3">
        <v>58</v>
      </c>
      <c r="B78" s="11">
        <v>13</v>
      </c>
      <c r="C78" t="str">
        <f>+_xlfn.XLOOKUP(B78,Gatos[ID],Gatos[Nombre])</f>
        <v>Luna</v>
      </c>
      <c r="D78" s="14" t="s">
        <v>147</v>
      </c>
      <c r="E78">
        <f>+COUNTIFS(ReservaServicio[ServicioID],Hoja2!E$20,ReservaServicio[ReservaID],Hoja2!$A78)</f>
        <v>0</v>
      </c>
      <c r="F78">
        <f>+COUNTIFS(ReservaServicio[ServicioID],Hoja2!F$20,ReservaServicio[ReservaID],Hoja2!$A78)</f>
        <v>0</v>
      </c>
      <c r="G78">
        <f>+COUNTIFS(ReservaServicio[ServicioID],Hoja2!G$20,ReservaServicio[ReservaID],Hoja2!$A78)</f>
        <v>0</v>
      </c>
      <c r="H78">
        <f>+COUNTIFS(ReservaServicio[ServicioID],Hoja2!H$20,ReservaServicio[ReservaID],Hoja2!$A78)</f>
        <v>0</v>
      </c>
      <c r="I78">
        <f>+COUNTIFS(ReservaServicio[ServicioID],Hoja2!I$20,ReservaServicio[ReservaID],Hoja2!$A78)</f>
        <v>0</v>
      </c>
      <c r="J78">
        <f>+COUNTIFS(ReservaServicio[ServicioID],Hoja2!J$20,ReservaServicio[ReservaID],Hoja2!$A78)</f>
        <v>0</v>
      </c>
      <c r="K78">
        <f>+COUNTIFS(ReservaServicio[ServicioID],Hoja2!K$20,ReservaServicio[ReservaID],Hoja2!$A78)</f>
        <v>0</v>
      </c>
      <c r="L78">
        <f t="shared" si="0"/>
        <v>0</v>
      </c>
    </row>
    <row r="79" spans="1:12" x14ac:dyDescent="0.25">
      <c r="E79">
        <f>+SUM(E21:E78)</f>
        <v>11</v>
      </c>
      <c r="F79">
        <f t="shared" ref="F79:K79" si="1">+SUM(F21:F78)</f>
        <v>5</v>
      </c>
      <c r="G79">
        <f t="shared" si="1"/>
        <v>7</v>
      </c>
      <c r="H79">
        <f t="shared" si="1"/>
        <v>6</v>
      </c>
      <c r="I79">
        <f t="shared" si="1"/>
        <v>9</v>
      </c>
      <c r="J79">
        <f t="shared" si="1"/>
        <v>12</v>
      </c>
      <c r="K79">
        <f t="shared" si="1"/>
        <v>2</v>
      </c>
    </row>
    <row r="82" spans="1:5" x14ac:dyDescent="0.25">
      <c r="A82" s="15" t="s">
        <v>114</v>
      </c>
      <c r="B82" s="16" t="s">
        <v>14</v>
      </c>
      <c r="C82" s="16" t="s">
        <v>48</v>
      </c>
      <c r="D82" s="17" t="s">
        <v>162</v>
      </c>
      <c r="E82" s="17" t="s">
        <v>163</v>
      </c>
    </row>
    <row r="83" spans="1:5" x14ac:dyDescent="0.25">
      <c r="A83" s="2">
        <v>1</v>
      </c>
      <c r="B83" s="12" t="s">
        <v>137</v>
      </c>
      <c r="C83" s="12" t="s">
        <v>39</v>
      </c>
      <c r="D83">
        <f>+SUMIFS(Reservas[[ reservaMonto]],Reservas[gatoID],Hoja2!A83)</f>
        <v>2280</v>
      </c>
      <c r="E83">
        <f>+SUMIFS(Reservas[[ reservaMonto]],Reservas[gatoID],Hoja2!A83,'Reservas'!$G$3:$G$93,2024)</f>
        <v>360</v>
      </c>
    </row>
    <row r="84" spans="1:5" x14ac:dyDescent="0.25">
      <c r="A84" s="3">
        <v>2</v>
      </c>
      <c r="B84" s="11" t="s">
        <v>138</v>
      </c>
      <c r="C84" s="11" t="s">
        <v>39</v>
      </c>
      <c r="D84">
        <f>+SUMIFS(Reservas[[ reservaMonto]],Reservas[gatoID],Hoja2!A84)</f>
        <v>5370</v>
      </c>
      <c r="E84">
        <f>+SUMIFS(Reservas[[ reservaMonto]],Reservas[gatoID],Hoja2!A84,'Reservas'!$G$3:$G$93,2024)</f>
        <v>1870</v>
      </c>
    </row>
    <row r="88" spans="1:5" x14ac:dyDescent="0.25">
      <c r="A88" t="s">
        <v>377</v>
      </c>
    </row>
    <row r="89" spans="1:5" x14ac:dyDescent="0.25">
      <c r="A89" t="s">
        <v>378</v>
      </c>
    </row>
    <row r="90" spans="1:5" x14ac:dyDescent="0.25">
      <c r="A90" t="s">
        <v>379</v>
      </c>
    </row>
    <row r="91" spans="1:5" x14ac:dyDescent="0.25">
      <c r="A91" t="s">
        <v>380</v>
      </c>
    </row>
    <row r="92" spans="1:5" x14ac:dyDescent="0.25">
      <c r="A92" t="s">
        <v>381</v>
      </c>
    </row>
    <row r="93" spans="1:5" x14ac:dyDescent="0.25">
      <c r="A93" t="s">
        <v>382</v>
      </c>
    </row>
    <row r="94" spans="1:5" x14ac:dyDescent="0.25">
      <c r="A94" t="s">
        <v>383</v>
      </c>
    </row>
    <row r="95" spans="1:5" x14ac:dyDescent="0.25">
      <c r="A95" t="s">
        <v>384</v>
      </c>
    </row>
    <row r="96" spans="1:5" x14ac:dyDescent="0.25">
      <c r="A96" t="s">
        <v>385</v>
      </c>
    </row>
    <row r="97" spans="1:1" x14ac:dyDescent="0.25">
      <c r="A97" t="s">
        <v>386</v>
      </c>
    </row>
    <row r="98" spans="1:1" x14ac:dyDescent="0.25">
      <c r="A98" t="s">
        <v>387</v>
      </c>
    </row>
    <row r="99" spans="1:1" x14ac:dyDescent="0.25">
      <c r="A99" t="s">
        <v>388</v>
      </c>
    </row>
  </sheetData>
  <autoFilter ref="A20:L79" xr:uid="{A6485302-0B9F-4415-A681-24375513FCB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0DC8-BD63-4ED9-94A9-4D97FADD7030}">
  <dimension ref="A1:E13"/>
  <sheetViews>
    <sheetView workbookViewId="0">
      <selection activeCell="A2" sqref="A2"/>
    </sheetView>
  </sheetViews>
  <sheetFormatPr baseColWidth="10" defaultRowHeight="15" x14ac:dyDescent="0.25"/>
  <cols>
    <col min="1" max="1" width="13.7109375" customWidth="1"/>
    <col min="2" max="2" width="21.42578125" bestFit="1" customWidth="1"/>
    <col min="3" max="3" width="14.28515625" bestFit="1" customWidth="1"/>
    <col min="4" max="4" width="31.7109375" bestFit="1" customWidth="1"/>
    <col min="5" max="5" width="75.7109375" bestFit="1" customWidth="1"/>
  </cols>
  <sheetData>
    <row r="1" spans="1:5" x14ac:dyDescent="0.25">
      <c r="A1" s="1" t="s">
        <v>0</v>
      </c>
      <c r="B1" s="1" t="s">
        <v>14</v>
      </c>
      <c r="C1" s="1" t="s">
        <v>26</v>
      </c>
      <c r="D1" s="1" t="s">
        <v>37</v>
      </c>
      <c r="E1" s="1" t="s">
        <v>113</v>
      </c>
    </row>
    <row r="2" spans="1:5" x14ac:dyDescent="0.25">
      <c r="A2">
        <v>12345672</v>
      </c>
      <c r="B2" t="s">
        <v>2</v>
      </c>
      <c r="C2" t="s">
        <v>15</v>
      </c>
      <c r="D2" t="s">
        <v>27</v>
      </c>
      <c r="E2" t="str">
        <f>+"('"&amp;Propietarios[[#This Row],[Documento]]&amp;"',"&amp;"'"&amp;Propietarios[[#This Row],[Nombre]]&amp;"',"&amp;"'"&amp;Propietarios[[#This Row],[Telefono]]&amp;"',"&amp;"'"&amp;Propietarios[[#This Row],[Email]]&amp;"',"</f>
        <v>('12345672','Alejandro Torres','+598 91 234 567','alejandro.torres@gmail.com',</v>
      </c>
    </row>
    <row r="3" spans="1:5" x14ac:dyDescent="0.25">
      <c r="A3">
        <v>14406662</v>
      </c>
      <c r="B3" t="s">
        <v>4</v>
      </c>
      <c r="C3" t="s">
        <v>17</v>
      </c>
      <c r="D3" t="s">
        <v>29</v>
      </c>
      <c r="E3" t="str">
        <f>+"('"&amp;Propietarios[[#This Row],[Documento]]&amp;"',"&amp;"'"&amp;Propietarios[[#This Row],[Nombre]]&amp;"',"&amp;"'"&amp;Propietarios[[#This Row],[Telefono]]&amp;"',"&amp;"'"&amp;Propietarios[[#This Row],[Email]]&amp;"',"</f>
        <v>('14406662','Camila Rodríguez','+598 93 456 789','camila.rodriguez@outlook.com',</v>
      </c>
    </row>
    <row r="4" spans="1:5" x14ac:dyDescent="0.25">
      <c r="A4">
        <v>15450103</v>
      </c>
      <c r="B4" t="s">
        <v>13</v>
      </c>
      <c r="C4" t="s">
        <v>25</v>
      </c>
      <c r="D4" t="s">
        <v>36</v>
      </c>
      <c r="E4" t="str">
        <f>+"('"&amp;Propietarios[[#This Row],[Documento]]&amp;"',"&amp;"'"&amp;Propietarios[[#This Row],[Nombre]]&amp;"',"&amp;"'"&amp;Propietarios[[#This Row],[Telefono]]&amp;"',"&amp;"'"&amp;Propietarios[[#This Row],[Email]]&amp;"',"</f>
        <v>('15450103','Luis Ortega','+598 2201 2345','luis.ortega@outlook.com',</v>
      </c>
    </row>
    <row r="5" spans="1:5" x14ac:dyDescent="0.25">
      <c r="A5">
        <v>30240527</v>
      </c>
      <c r="B5" t="s">
        <v>6</v>
      </c>
      <c r="C5" t="s">
        <v>136</v>
      </c>
      <c r="D5" t="s">
        <v>31</v>
      </c>
      <c r="E5" t="str">
        <f>+"('"&amp;Propietarios[[#This Row],[Documento]]&amp;"',"&amp;"'"&amp;Propietarios[[#This Row],[Nombre]]&amp;"',"&amp;"'"&amp;Propietarios[[#This Row],[Telefono]]&amp;"',"&amp;"'"&amp;Propietarios[[#This Row],[Email]]&amp;"',"</f>
        <v>('30240527','Elena Jiménez','NULL','elena.jimenez@hotmail.com',</v>
      </c>
    </row>
    <row r="6" spans="1:5" x14ac:dyDescent="0.25">
      <c r="A6">
        <v>35569956</v>
      </c>
      <c r="B6" t="s">
        <v>5</v>
      </c>
      <c r="C6" t="s">
        <v>18</v>
      </c>
      <c r="D6" t="s">
        <v>30</v>
      </c>
      <c r="E6" t="str">
        <f>+"('"&amp;Propietarios[[#This Row],[Documento]]&amp;"',"&amp;"'"&amp;Propietarios[[#This Row],[Nombre]]&amp;"',"&amp;"'"&amp;Propietarios[[#This Row],[Telefono]]&amp;"',"&amp;"'"&amp;Propietarios[[#This Row],[Email]]&amp;"',"</f>
        <v>('35569956','Daniel Herrera','+598 94 567 890','daniel.herrera@gmail.com',</v>
      </c>
    </row>
    <row r="7" spans="1:5" x14ac:dyDescent="0.25">
      <c r="A7">
        <v>51953448</v>
      </c>
      <c r="B7" t="s">
        <v>3</v>
      </c>
      <c r="C7" t="s">
        <v>16</v>
      </c>
      <c r="D7" t="s">
        <v>28</v>
      </c>
      <c r="E7" t="str">
        <f>+"('"&amp;Propietarios[[#This Row],[Documento]]&amp;"',"&amp;"'"&amp;Propietarios[[#This Row],[Nombre]]&amp;"',"&amp;"'"&amp;Propietarios[[#This Row],[Telefono]]&amp;"',"&amp;"'"&amp;Propietarios[[#This Row],[Email]]&amp;"',"</f>
        <v>('51953448','Beatriz Mendoza','+598 92 345 678','beatriz.mendoza@hotmail.com',</v>
      </c>
    </row>
    <row r="8" spans="1:5" x14ac:dyDescent="0.25">
      <c r="A8">
        <v>53468374</v>
      </c>
      <c r="B8" t="s">
        <v>7</v>
      </c>
      <c r="C8" t="s">
        <v>19</v>
      </c>
      <c r="D8" t="s">
        <v>32</v>
      </c>
      <c r="E8" t="str">
        <f>+"('"&amp;Propietarios[[#This Row],[Documento]]&amp;"',"&amp;"'"&amp;Propietarios[[#This Row],[Nombre]]&amp;"',"&amp;"'"&amp;Propietarios[[#This Row],[Telefono]]&amp;"',"&amp;"'"&amp;Propietarios[[#This Row],[Email]]&amp;"',"</f>
        <v>('53468374','Francisco Morales','+598 96 789 012','francisco.morales@outlook.com',</v>
      </c>
    </row>
    <row r="9" spans="1:5" x14ac:dyDescent="0.25">
      <c r="A9">
        <v>55525512</v>
      </c>
      <c r="B9" t="s">
        <v>10</v>
      </c>
      <c r="C9" t="s">
        <v>22</v>
      </c>
      <c r="D9" t="s">
        <v>34</v>
      </c>
      <c r="E9" t="str">
        <f>+"('"&amp;Propietarios[[#This Row],[Documento]]&amp;"',"&amp;"'"&amp;Propietarios[[#This Row],[Nombre]]&amp;"',"&amp;"'"&amp;Propietarios[[#This Row],[Telefono]]&amp;"',"&amp;"'"&amp;Propietarios[[#This Row],[Email]]&amp;"',"</f>
        <v>('55525512','Inés Romero','+598 99 012 345','ines.romero@outlook.com',</v>
      </c>
    </row>
    <row r="10" spans="1:5" x14ac:dyDescent="0.25">
      <c r="A10">
        <v>56779790</v>
      </c>
      <c r="B10" t="s">
        <v>8</v>
      </c>
      <c r="C10" t="s">
        <v>20</v>
      </c>
      <c r="D10" t="s">
        <v>33</v>
      </c>
      <c r="E10" t="str">
        <f>+"('"&amp;Propietarios[[#This Row],[Documento]]&amp;"',"&amp;"'"&amp;Propietarios[[#This Row],[Nombre]]&amp;"',"&amp;"'"&amp;Propietarios[[#This Row],[Telefono]]&amp;"',"&amp;"'"&amp;Propietarios[[#This Row],[Email]]&amp;"',"</f>
        <v>('56779790','Gabriela Castro','+598 97 890 123','gabriela.castro@gmail.com',</v>
      </c>
    </row>
    <row r="11" spans="1:5" x14ac:dyDescent="0.25">
      <c r="A11">
        <v>60150754</v>
      </c>
      <c r="B11" t="s">
        <v>12</v>
      </c>
      <c r="C11" t="s">
        <v>24</v>
      </c>
      <c r="D11" t="s">
        <v>136</v>
      </c>
      <c r="E11" t="str">
        <f>+"('"&amp;Propietarios[[#This Row],[Documento]]&amp;"',"&amp;"'"&amp;Propietarios[[#This Row],[Nombre]]&amp;"',"&amp;"'"&amp;Propietarios[[#This Row],[Telefono]]&amp;"',"&amp;"'"&amp;Propietarios[[#This Row],[Email]]&amp;"',"</f>
        <v>('60150754','Karina Paredes','+598 2623 4567','NULL',</v>
      </c>
    </row>
    <row r="12" spans="1:5" x14ac:dyDescent="0.25">
      <c r="A12">
        <v>68047090</v>
      </c>
      <c r="B12" t="s">
        <v>9</v>
      </c>
      <c r="C12" t="s">
        <v>21</v>
      </c>
      <c r="D12" t="s">
        <v>136</v>
      </c>
      <c r="E12" t="str">
        <f>+"('"&amp;Propietarios[[#This Row],[Documento]]&amp;"',"&amp;"'"&amp;Propietarios[[#This Row],[Nombre]]&amp;"',"&amp;"'"&amp;Propietarios[[#This Row],[Telefono]]&amp;"',"&amp;"'"&amp;Propietarios[[#This Row],[Email]]&amp;"',"</f>
        <v>('68047090','Héctor Vargas','+598 98 901 234','NULL',</v>
      </c>
    </row>
    <row r="13" spans="1:5" x14ac:dyDescent="0.25">
      <c r="A13">
        <v>75984413</v>
      </c>
      <c r="B13" t="s">
        <v>11</v>
      </c>
      <c r="C13" t="s">
        <v>23</v>
      </c>
      <c r="D13" t="s">
        <v>35</v>
      </c>
      <c r="E13" t="str">
        <f>+"('"&amp;Propietarios[[#This Row],[Documento]]&amp;"',"&amp;"'"&amp;Propietarios[[#This Row],[Nombre]]&amp;"',"&amp;"'"&amp;Propietarios[[#This Row],[Telefono]]&amp;"',"&amp;"'"&amp;Propietarios[[#This Row],[Email]]&amp;"',"</f>
        <v>('75984413','Jorge Salazar','+598 2612 3456','jorge.salazar@gmail.com',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3DDC-806E-4283-A879-9DE2C3ADFB19}">
  <dimension ref="B1:AC94"/>
  <sheetViews>
    <sheetView tabSelected="1" topLeftCell="M58" workbookViewId="0">
      <selection activeCell="AA1" sqref="AA1:AC94"/>
    </sheetView>
  </sheetViews>
  <sheetFormatPr baseColWidth="10" defaultRowHeight="15" x14ac:dyDescent="0.25"/>
  <cols>
    <col min="2" max="2" width="11.5703125" bestFit="1" customWidth="1"/>
    <col min="3" max="3" width="17.85546875" bestFit="1" customWidth="1"/>
    <col min="4" max="4" width="14.7109375" bestFit="1" customWidth="1"/>
    <col min="5" max="5" width="30.85546875" bestFit="1" customWidth="1"/>
    <col min="7" max="7" width="12.85546875" bestFit="1" customWidth="1"/>
    <col min="8" max="8" width="15.7109375" bestFit="1" customWidth="1"/>
    <col min="9" max="10" width="10" bestFit="1" customWidth="1"/>
    <col min="11" max="11" width="19.140625" bestFit="1" customWidth="1"/>
    <col min="13" max="13" width="12.85546875" bestFit="1" customWidth="1"/>
    <col min="14" max="14" width="15" bestFit="1" customWidth="1"/>
    <col min="15" max="15" width="11.28515625" bestFit="1" customWidth="1"/>
    <col min="16" max="16" width="11.85546875" bestFit="1" customWidth="1"/>
    <col min="18" max="18" width="11.85546875" bestFit="1" customWidth="1"/>
    <col min="19" max="19" width="23.140625" bestFit="1" customWidth="1"/>
    <col min="20" max="20" width="18.28515625" bestFit="1" customWidth="1"/>
    <col min="21" max="21" width="15.85546875" bestFit="1" customWidth="1"/>
    <col min="22" max="22" width="13.42578125" bestFit="1" customWidth="1"/>
    <col min="24" max="24" width="23.28515625" bestFit="1" customWidth="1"/>
    <col min="25" max="25" width="13.85546875" bestFit="1" customWidth="1"/>
    <col min="27" max="27" width="14.85546875" bestFit="1" customWidth="1"/>
    <col min="28" max="28" width="23.28515625" bestFit="1" customWidth="1"/>
    <col min="29" max="29" width="13.7109375" bestFit="1" customWidth="1"/>
  </cols>
  <sheetData>
    <row r="1" spans="2:29" x14ac:dyDescent="0.25">
      <c r="B1" s="23" t="s">
        <v>0</v>
      </c>
      <c r="C1" s="23" t="s">
        <v>14</v>
      </c>
      <c r="D1" s="23" t="s">
        <v>26</v>
      </c>
      <c r="E1" s="23" t="s">
        <v>37</v>
      </c>
      <c r="G1" s="25" t="s">
        <v>14</v>
      </c>
      <c r="H1" s="25" t="s">
        <v>48</v>
      </c>
      <c r="I1" s="25" t="s">
        <v>49</v>
      </c>
      <c r="J1" s="25" t="s">
        <v>50</v>
      </c>
      <c r="K1" s="25" t="s">
        <v>442</v>
      </c>
      <c r="M1" s="25" t="s">
        <v>14</v>
      </c>
      <c r="N1" s="25" t="s">
        <v>100</v>
      </c>
      <c r="O1" s="25" t="s">
        <v>111</v>
      </c>
      <c r="P1" s="24" t="s">
        <v>102</v>
      </c>
      <c r="R1" s="25" t="s">
        <v>153</v>
      </c>
      <c r="S1" s="25" t="s">
        <v>444</v>
      </c>
      <c r="T1" s="25" t="s">
        <v>445</v>
      </c>
      <c r="U1" s="25" t="s">
        <v>446</v>
      </c>
      <c r="V1" s="25" t="s">
        <v>447</v>
      </c>
      <c r="X1" s="25" t="s">
        <v>14</v>
      </c>
      <c r="Y1" s="25" t="s">
        <v>111</v>
      </c>
      <c r="AA1" s="25" t="s">
        <v>123</v>
      </c>
      <c r="AB1" s="25" t="s">
        <v>110</v>
      </c>
      <c r="AC1" s="25" t="s">
        <v>125</v>
      </c>
    </row>
    <row r="2" spans="2:29" x14ac:dyDescent="0.25">
      <c r="B2" s="22">
        <v>12345672</v>
      </c>
      <c r="C2" s="22" t="s">
        <v>390</v>
      </c>
      <c r="D2" s="22" t="s">
        <v>391</v>
      </c>
      <c r="E2" s="22" t="s">
        <v>392</v>
      </c>
      <c r="G2" s="22" t="s">
        <v>137</v>
      </c>
      <c r="H2" s="22" t="s">
        <v>422</v>
      </c>
      <c r="I2" s="22">
        <v>11</v>
      </c>
      <c r="J2" s="22">
        <v>8.1999999999999993</v>
      </c>
      <c r="K2" s="22">
        <v>55525512</v>
      </c>
      <c r="M2" s="26" t="s">
        <v>88</v>
      </c>
      <c r="N2" s="22">
        <v>3</v>
      </c>
      <c r="O2" s="22">
        <v>80</v>
      </c>
      <c r="P2" s="22" t="s">
        <v>443</v>
      </c>
      <c r="R2" s="22">
        <v>24</v>
      </c>
      <c r="S2" s="22" t="s">
        <v>96</v>
      </c>
      <c r="T2" s="27">
        <v>45114</v>
      </c>
      <c r="U2" s="27">
        <v>45125</v>
      </c>
      <c r="V2" s="22">
        <v>840</v>
      </c>
      <c r="X2" s="26" t="s">
        <v>103</v>
      </c>
      <c r="Y2" s="22">
        <v>35</v>
      </c>
      <c r="AA2" s="22">
        <v>3</v>
      </c>
      <c r="AB2" s="22" t="s">
        <v>105</v>
      </c>
      <c r="AC2" s="22">
        <v>5</v>
      </c>
    </row>
    <row r="3" spans="2:29" x14ac:dyDescent="0.25">
      <c r="B3" s="22">
        <v>51953448</v>
      </c>
      <c r="C3" s="22" t="s">
        <v>393</v>
      </c>
      <c r="D3" s="22" t="s">
        <v>394</v>
      </c>
      <c r="E3" s="22" t="s">
        <v>395</v>
      </c>
      <c r="G3" s="22" t="s">
        <v>138</v>
      </c>
      <c r="H3" s="22" t="s">
        <v>422</v>
      </c>
      <c r="I3" s="22">
        <v>12</v>
      </c>
      <c r="J3" s="22">
        <v>5.2</v>
      </c>
      <c r="K3" s="22">
        <v>30240527</v>
      </c>
      <c r="M3" s="26" t="s">
        <v>89</v>
      </c>
      <c r="N3" s="22">
        <v>2</v>
      </c>
      <c r="O3" s="22">
        <v>100</v>
      </c>
      <c r="P3" s="22" t="s">
        <v>443</v>
      </c>
      <c r="R3" s="22">
        <v>7</v>
      </c>
      <c r="S3" s="22" t="s">
        <v>88</v>
      </c>
      <c r="T3" s="27">
        <v>45125</v>
      </c>
      <c r="U3" s="27">
        <v>45136</v>
      </c>
      <c r="V3" s="22">
        <v>960</v>
      </c>
      <c r="X3" s="26" t="s">
        <v>104</v>
      </c>
      <c r="Y3" s="22">
        <v>50</v>
      </c>
      <c r="AA3" s="22">
        <v>5</v>
      </c>
      <c r="AB3" s="22" t="s">
        <v>108</v>
      </c>
      <c r="AC3" s="22">
        <v>2</v>
      </c>
    </row>
    <row r="4" spans="2:29" x14ac:dyDescent="0.25">
      <c r="B4" s="22">
        <v>14406662</v>
      </c>
      <c r="C4" s="22" t="s">
        <v>396</v>
      </c>
      <c r="D4" s="22" t="s">
        <v>397</v>
      </c>
      <c r="E4" s="22" t="s">
        <v>398</v>
      </c>
      <c r="G4" s="22" t="s">
        <v>46</v>
      </c>
      <c r="H4" s="22" t="s">
        <v>423</v>
      </c>
      <c r="I4" s="22">
        <v>5</v>
      </c>
      <c r="J4" s="22">
        <v>8</v>
      </c>
      <c r="K4" s="22">
        <v>30240527</v>
      </c>
      <c r="M4" s="26" t="s">
        <v>90</v>
      </c>
      <c r="N4" s="22">
        <v>4</v>
      </c>
      <c r="O4" s="22">
        <v>70</v>
      </c>
      <c r="P4" s="22" t="s">
        <v>443</v>
      </c>
      <c r="R4" s="22">
        <v>16</v>
      </c>
      <c r="S4" s="22" t="s">
        <v>93</v>
      </c>
      <c r="T4" s="27">
        <v>45160</v>
      </c>
      <c r="U4" s="27">
        <v>45166</v>
      </c>
      <c r="V4" s="22">
        <v>840</v>
      </c>
      <c r="X4" s="26" t="s">
        <v>105</v>
      </c>
      <c r="Y4" s="22">
        <v>30</v>
      </c>
      <c r="AA4" s="22">
        <v>6</v>
      </c>
      <c r="AB4" s="22" t="s">
        <v>103</v>
      </c>
      <c r="AC4" s="22">
        <v>6</v>
      </c>
    </row>
    <row r="5" spans="2:29" x14ac:dyDescent="0.25">
      <c r="B5" s="22">
        <v>35569956</v>
      </c>
      <c r="C5" s="22" t="s">
        <v>399</v>
      </c>
      <c r="D5" s="22" t="s">
        <v>400</v>
      </c>
      <c r="E5" s="22" t="s">
        <v>401</v>
      </c>
      <c r="G5" s="22" t="s">
        <v>43</v>
      </c>
      <c r="H5" s="22" t="s">
        <v>424</v>
      </c>
      <c r="I5" s="22">
        <v>2</v>
      </c>
      <c r="J5" s="22">
        <v>4.5</v>
      </c>
      <c r="K5" s="22">
        <v>14406662</v>
      </c>
      <c r="M5" s="26" t="s">
        <v>91</v>
      </c>
      <c r="N5" s="22">
        <v>2</v>
      </c>
      <c r="O5" s="22">
        <v>100</v>
      </c>
      <c r="P5" s="22" t="s">
        <v>443</v>
      </c>
      <c r="R5" s="22">
        <v>23</v>
      </c>
      <c r="S5" s="22" t="s">
        <v>93</v>
      </c>
      <c r="T5" s="27">
        <v>45165</v>
      </c>
      <c r="U5" s="27">
        <v>45172</v>
      </c>
      <c r="V5" s="22">
        <v>960</v>
      </c>
      <c r="X5" s="26" t="s">
        <v>106</v>
      </c>
      <c r="Y5" s="22">
        <v>20</v>
      </c>
      <c r="AA5" s="22">
        <v>6</v>
      </c>
      <c r="AB5" s="22" t="s">
        <v>109</v>
      </c>
      <c r="AC5" s="22">
        <v>8</v>
      </c>
    </row>
    <row r="6" spans="2:29" x14ac:dyDescent="0.25">
      <c r="B6" s="22">
        <v>30240527</v>
      </c>
      <c r="C6" s="22" t="s">
        <v>402</v>
      </c>
      <c r="D6" s="22" t="s">
        <v>389</v>
      </c>
      <c r="E6" s="22" t="s">
        <v>403</v>
      </c>
      <c r="G6" s="22" t="s">
        <v>63</v>
      </c>
      <c r="H6" s="22" t="s">
        <v>425</v>
      </c>
      <c r="I6" s="22">
        <v>3</v>
      </c>
      <c r="J6" s="22">
        <v>4.5999999999999996</v>
      </c>
      <c r="K6" s="22">
        <v>53468374</v>
      </c>
      <c r="M6" s="26" t="s">
        <v>92</v>
      </c>
      <c r="N6" s="22">
        <v>6</v>
      </c>
      <c r="O6" s="22">
        <v>40</v>
      </c>
      <c r="P6" s="22" t="s">
        <v>443</v>
      </c>
      <c r="R6" s="22">
        <v>24</v>
      </c>
      <c r="S6" s="22" t="s">
        <v>91</v>
      </c>
      <c r="T6" s="27">
        <v>45169</v>
      </c>
      <c r="U6" s="27">
        <v>45179</v>
      </c>
      <c r="V6" s="22">
        <v>1100</v>
      </c>
      <c r="X6" s="26" t="s">
        <v>107</v>
      </c>
      <c r="Y6" s="22">
        <v>15</v>
      </c>
      <c r="AA6" s="22">
        <v>7</v>
      </c>
      <c r="AB6" s="22" t="s">
        <v>107</v>
      </c>
      <c r="AC6" s="22">
        <v>7</v>
      </c>
    </row>
    <row r="7" spans="2:29" x14ac:dyDescent="0.25">
      <c r="B7" s="22">
        <v>53468374</v>
      </c>
      <c r="C7" s="22" t="s">
        <v>404</v>
      </c>
      <c r="D7" s="22" t="s">
        <v>405</v>
      </c>
      <c r="E7" s="22" t="s">
        <v>406</v>
      </c>
      <c r="G7" s="22" t="s">
        <v>66</v>
      </c>
      <c r="H7" s="22" t="s">
        <v>423</v>
      </c>
      <c r="I7" s="22">
        <v>3</v>
      </c>
      <c r="J7" s="22">
        <v>6.1</v>
      </c>
      <c r="K7" s="22">
        <v>35569956</v>
      </c>
      <c r="M7" s="26" t="s">
        <v>93</v>
      </c>
      <c r="N7" s="22">
        <v>1</v>
      </c>
      <c r="O7" s="22">
        <v>120</v>
      </c>
      <c r="P7" s="22" t="s">
        <v>443</v>
      </c>
      <c r="R7" s="22">
        <v>2</v>
      </c>
      <c r="S7" s="22" t="s">
        <v>93</v>
      </c>
      <c r="T7" s="27">
        <v>45172</v>
      </c>
      <c r="U7" s="27">
        <v>45178</v>
      </c>
      <c r="V7" s="22">
        <v>840</v>
      </c>
      <c r="X7" s="26" t="s">
        <v>108</v>
      </c>
      <c r="Y7" s="22">
        <v>25</v>
      </c>
      <c r="AA7" s="22">
        <v>9</v>
      </c>
      <c r="AB7" s="22" t="s">
        <v>106</v>
      </c>
      <c r="AC7" s="22">
        <v>3</v>
      </c>
    </row>
    <row r="8" spans="2:29" x14ac:dyDescent="0.25">
      <c r="B8" s="22">
        <v>56779790</v>
      </c>
      <c r="C8" s="22" t="s">
        <v>407</v>
      </c>
      <c r="D8" s="22" t="s">
        <v>408</v>
      </c>
      <c r="E8" s="22" t="s">
        <v>409</v>
      </c>
      <c r="G8" s="22" t="s">
        <v>69</v>
      </c>
      <c r="H8" s="22" t="s">
        <v>426</v>
      </c>
      <c r="I8" s="22">
        <v>3</v>
      </c>
      <c r="J8" s="22">
        <v>4.9000000000000004</v>
      </c>
      <c r="K8" s="22">
        <v>56779790</v>
      </c>
      <c r="M8" s="26" t="s">
        <v>94</v>
      </c>
      <c r="N8" s="22">
        <v>5</v>
      </c>
      <c r="O8" s="22">
        <v>50</v>
      </c>
      <c r="P8" s="22" t="s">
        <v>443</v>
      </c>
      <c r="R8" s="22">
        <v>15</v>
      </c>
      <c r="S8" s="22" t="s">
        <v>96</v>
      </c>
      <c r="T8" s="27">
        <v>45190</v>
      </c>
      <c r="U8" s="27">
        <v>45192</v>
      </c>
      <c r="V8" s="22">
        <v>210</v>
      </c>
      <c r="X8" s="26" t="s">
        <v>109</v>
      </c>
      <c r="Y8" s="22">
        <v>10</v>
      </c>
      <c r="AA8" s="22">
        <v>9</v>
      </c>
      <c r="AB8" s="22" t="s">
        <v>105</v>
      </c>
      <c r="AC8" s="22">
        <v>8</v>
      </c>
    </row>
    <row r="9" spans="2:29" x14ac:dyDescent="0.25">
      <c r="B9" s="22">
        <v>68047090</v>
      </c>
      <c r="C9" s="22" t="s">
        <v>410</v>
      </c>
      <c r="D9" s="22" t="s">
        <v>411</v>
      </c>
      <c r="E9" s="22" t="s">
        <v>389</v>
      </c>
      <c r="G9" s="22" t="s">
        <v>51</v>
      </c>
      <c r="H9" s="22" t="s">
        <v>424</v>
      </c>
      <c r="I9" s="22">
        <v>2</v>
      </c>
      <c r="J9" s="22">
        <v>4.2</v>
      </c>
      <c r="K9" s="22">
        <v>30240527</v>
      </c>
      <c r="M9" s="26" t="s">
        <v>95</v>
      </c>
      <c r="N9" s="22">
        <v>7</v>
      </c>
      <c r="O9" s="22">
        <v>30</v>
      </c>
      <c r="P9" s="22" t="s">
        <v>443</v>
      </c>
      <c r="R9" s="22">
        <v>2</v>
      </c>
      <c r="S9" s="22" t="s">
        <v>91</v>
      </c>
      <c r="T9" s="27">
        <v>45211</v>
      </c>
      <c r="U9" s="27">
        <v>45221</v>
      </c>
      <c r="V9" s="22">
        <v>1100</v>
      </c>
      <c r="AA9" s="22">
        <v>10</v>
      </c>
      <c r="AB9" s="22" t="s">
        <v>107</v>
      </c>
      <c r="AC9" s="22">
        <v>4</v>
      </c>
    </row>
    <row r="10" spans="2:29" x14ac:dyDescent="0.25">
      <c r="B10" s="22">
        <v>55525512</v>
      </c>
      <c r="C10" s="22" t="s">
        <v>412</v>
      </c>
      <c r="D10" s="22" t="s">
        <v>413</v>
      </c>
      <c r="E10" s="22" t="s">
        <v>414</v>
      </c>
      <c r="G10" s="22" t="s">
        <v>65</v>
      </c>
      <c r="H10" s="22" t="s">
        <v>427</v>
      </c>
      <c r="I10" s="22">
        <v>4</v>
      </c>
      <c r="J10" s="22">
        <v>5.3</v>
      </c>
      <c r="K10" s="22">
        <v>68047090</v>
      </c>
      <c r="M10" s="26" t="s">
        <v>96</v>
      </c>
      <c r="N10" s="22">
        <v>4</v>
      </c>
      <c r="O10" s="22">
        <v>70</v>
      </c>
      <c r="P10" s="22" t="s">
        <v>443</v>
      </c>
      <c r="R10" s="22">
        <v>23</v>
      </c>
      <c r="S10" s="22" t="s">
        <v>93</v>
      </c>
      <c r="T10" s="27">
        <v>45238</v>
      </c>
      <c r="U10" s="27">
        <v>45242</v>
      </c>
      <c r="V10" s="22">
        <v>600</v>
      </c>
      <c r="AA10" s="22">
        <v>11</v>
      </c>
      <c r="AB10" s="22" t="s">
        <v>108</v>
      </c>
      <c r="AC10" s="22">
        <v>2</v>
      </c>
    </row>
    <row r="11" spans="2:29" x14ac:dyDescent="0.25">
      <c r="B11" s="22">
        <v>75984413</v>
      </c>
      <c r="C11" s="22" t="s">
        <v>415</v>
      </c>
      <c r="D11" s="22" t="s">
        <v>416</v>
      </c>
      <c r="E11" s="22" t="s">
        <v>417</v>
      </c>
      <c r="G11" s="22" t="s">
        <v>71</v>
      </c>
      <c r="H11" s="22" t="s">
        <v>428</v>
      </c>
      <c r="I11" s="22">
        <v>2</v>
      </c>
      <c r="J11" s="22">
        <v>5.8</v>
      </c>
      <c r="K11" s="22">
        <v>53468374</v>
      </c>
      <c r="R11" s="22">
        <v>7</v>
      </c>
      <c r="S11" s="22" t="s">
        <v>89</v>
      </c>
      <c r="T11" s="27">
        <v>45251</v>
      </c>
      <c r="U11" s="27">
        <v>45252</v>
      </c>
      <c r="V11" s="22">
        <v>200</v>
      </c>
      <c r="AA11" s="22">
        <v>11</v>
      </c>
      <c r="AB11" s="22" t="s">
        <v>105</v>
      </c>
      <c r="AC11" s="22">
        <v>1</v>
      </c>
    </row>
    <row r="12" spans="2:29" x14ac:dyDescent="0.25">
      <c r="B12" s="22">
        <v>60150754</v>
      </c>
      <c r="C12" s="22" t="s">
        <v>418</v>
      </c>
      <c r="D12" s="22" t="s">
        <v>419</v>
      </c>
      <c r="E12" s="22" t="s">
        <v>389</v>
      </c>
      <c r="G12" s="22" t="s">
        <v>55</v>
      </c>
      <c r="H12" s="22" t="s">
        <v>429</v>
      </c>
      <c r="I12" s="22">
        <v>2</v>
      </c>
      <c r="J12" s="22">
        <v>4</v>
      </c>
      <c r="K12" s="22">
        <v>55525512</v>
      </c>
      <c r="R12" s="22">
        <v>13</v>
      </c>
      <c r="S12" s="22" t="s">
        <v>90</v>
      </c>
      <c r="T12" s="27">
        <v>45259</v>
      </c>
      <c r="U12" s="27">
        <v>45264</v>
      </c>
      <c r="V12" s="22">
        <v>420</v>
      </c>
      <c r="AA12" s="22">
        <v>11</v>
      </c>
      <c r="AB12" s="22" t="s">
        <v>104</v>
      </c>
      <c r="AC12" s="22">
        <v>8</v>
      </c>
    </row>
    <row r="13" spans="2:29" x14ac:dyDescent="0.25">
      <c r="B13" s="22">
        <v>15450103</v>
      </c>
      <c r="C13" s="22" t="s">
        <v>420</v>
      </c>
      <c r="D13" s="22" t="s">
        <v>421</v>
      </c>
      <c r="E13" s="22" t="s">
        <v>441</v>
      </c>
      <c r="G13" s="22" t="s">
        <v>52</v>
      </c>
      <c r="H13" s="22" t="s">
        <v>422</v>
      </c>
      <c r="I13" s="22">
        <v>4</v>
      </c>
      <c r="J13" s="22">
        <v>5.8</v>
      </c>
      <c r="K13" s="22">
        <v>56779790</v>
      </c>
      <c r="R13" s="22">
        <v>29</v>
      </c>
      <c r="S13" s="22" t="s">
        <v>93</v>
      </c>
      <c r="T13" s="27">
        <v>45267</v>
      </c>
      <c r="U13" s="27">
        <v>45277</v>
      </c>
      <c r="V13" s="22">
        <v>1320</v>
      </c>
      <c r="AA13" s="22">
        <v>12</v>
      </c>
      <c r="AB13" s="22" t="s">
        <v>109</v>
      </c>
      <c r="AC13" s="22">
        <v>7</v>
      </c>
    </row>
    <row r="14" spans="2:29" x14ac:dyDescent="0.25">
      <c r="G14" s="22" t="s">
        <v>45</v>
      </c>
      <c r="H14" s="22" t="s">
        <v>430</v>
      </c>
      <c r="I14" s="22">
        <v>3</v>
      </c>
      <c r="J14" s="22">
        <v>5.7</v>
      </c>
      <c r="K14" s="22">
        <v>60150754</v>
      </c>
      <c r="R14" s="22">
        <v>28</v>
      </c>
      <c r="S14" s="22" t="s">
        <v>90</v>
      </c>
      <c r="T14" s="27">
        <v>45295</v>
      </c>
      <c r="U14" s="27">
        <v>45306</v>
      </c>
      <c r="V14" s="22">
        <v>840</v>
      </c>
      <c r="AA14" s="22">
        <v>15</v>
      </c>
      <c r="AB14" s="22" t="s">
        <v>105</v>
      </c>
      <c r="AC14" s="22">
        <v>4</v>
      </c>
    </row>
    <row r="15" spans="2:29" x14ac:dyDescent="0.25">
      <c r="G15" s="22" t="s">
        <v>62</v>
      </c>
      <c r="H15" s="22" t="s">
        <v>431</v>
      </c>
      <c r="I15" s="22">
        <v>5</v>
      </c>
      <c r="J15" s="22">
        <v>7</v>
      </c>
      <c r="K15" s="22">
        <v>68047090</v>
      </c>
      <c r="R15" s="22">
        <v>27</v>
      </c>
      <c r="S15" s="22" t="s">
        <v>90</v>
      </c>
      <c r="T15" s="27">
        <v>45296</v>
      </c>
      <c r="U15" s="27">
        <v>45299</v>
      </c>
      <c r="V15" s="22">
        <v>280</v>
      </c>
      <c r="AA15" s="22">
        <v>17</v>
      </c>
      <c r="AB15" s="22" t="s">
        <v>108</v>
      </c>
      <c r="AC15" s="22">
        <v>3</v>
      </c>
    </row>
    <row r="16" spans="2:29" x14ac:dyDescent="0.25">
      <c r="G16" s="22" t="s">
        <v>115</v>
      </c>
      <c r="H16" s="22" t="s">
        <v>432</v>
      </c>
      <c r="I16" s="22">
        <v>1</v>
      </c>
      <c r="J16" s="22">
        <v>6.8</v>
      </c>
      <c r="K16" s="22">
        <v>75984413</v>
      </c>
      <c r="R16" s="22">
        <v>4</v>
      </c>
      <c r="S16" s="22" t="s">
        <v>95</v>
      </c>
      <c r="T16" s="27">
        <v>45327</v>
      </c>
      <c r="U16" s="27">
        <v>45330</v>
      </c>
      <c r="V16" s="22">
        <v>120</v>
      </c>
      <c r="AA16" s="22">
        <v>17</v>
      </c>
      <c r="AB16" s="22" t="s">
        <v>106</v>
      </c>
      <c r="AC16" s="22">
        <v>3</v>
      </c>
    </row>
    <row r="17" spans="7:29" x14ac:dyDescent="0.25">
      <c r="G17" s="22" t="s">
        <v>44</v>
      </c>
      <c r="H17" s="22" t="s">
        <v>422</v>
      </c>
      <c r="I17" s="22">
        <v>3</v>
      </c>
      <c r="J17" s="22">
        <v>5.2</v>
      </c>
      <c r="K17" s="22">
        <v>55525512</v>
      </c>
      <c r="R17" s="22">
        <v>8</v>
      </c>
      <c r="S17" s="22" t="s">
        <v>92</v>
      </c>
      <c r="T17" s="27">
        <v>45333</v>
      </c>
      <c r="U17" s="27">
        <v>45336</v>
      </c>
      <c r="V17" s="22">
        <v>160</v>
      </c>
      <c r="AA17" s="22">
        <v>17</v>
      </c>
      <c r="AB17" s="22" t="s">
        <v>103</v>
      </c>
      <c r="AC17" s="22">
        <v>1</v>
      </c>
    </row>
    <row r="18" spans="7:29" x14ac:dyDescent="0.25">
      <c r="G18" s="22" t="s">
        <v>60</v>
      </c>
      <c r="H18" s="22" t="s">
        <v>423</v>
      </c>
      <c r="I18" s="22">
        <v>2</v>
      </c>
      <c r="J18" s="22">
        <v>5.9</v>
      </c>
      <c r="K18" s="22">
        <v>15450103</v>
      </c>
      <c r="R18" s="22">
        <v>17</v>
      </c>
      <c r="S18" s="22" t="s">
        <v>93</v>
      </c>
      <c r="T18" s="27">
        <v>45341</v>
      </c>
      <c r="U18" s="27">
        <v>45349</v>
      </c>
      <c r="V18" s="22">
        <v>1080</v>
      </c>
      <c r="AA18" s="22">
        <v>17</v>
      </c>
      <c r="AB18" s="22" t="s">
        <v>107</v>
      </c>
      <c r="AC18" s="22">
        <v>2</v>
      </c>
    </row>
    <row r="19" spans="7:29" x14ac:dyDescent="0.25">
      <c r="G19" s="22" t="s">
        <v>68</v>
      </c>
      <c r="H19" s="22" t="s">
        <v>433</v>
      </c>
      <c r="I19" s="22">
        <v>2</v>
      </c>
      <c r="J19" s="22">
        <v>4.0999999999999996</v>
      </c>
      <c r="K19" s="22">
        <v>75984413</v>
      </c>
      <c r="R19" s="22">
        <v>18</v>
      </c>
      <c r="S19" s="22" t="s">
        <v>96</v>
      </c>
      <c r="T19" s="27">
        <v>45341</v>
      </c>
      <c r="U19" s="27">
        <v>45351</v>
      </c>
      <c r="V19" s="22">
        <v>770</v>
      </c>
      <c r="AA19" s="22">
        <v>17</v>
      </c>
      <c r="AB19" s="22" t="s">
        <v>109</v>
      </c>
      <c r="AC19" s="22">
        <v>5</v>
      </c>
    </row>
    <row r="20" spans="7:29" x14ac:dyDescent="0.25">
      <c r="G20" s="22" t="s">
        <v>64</v>
      </c>
      <c r="H20" s="22" t="s">
        <v>434</v>
      </c>
      <c r="I20" s="22">
        <v>2</v>
      </c>
      <c r="J20" s="22">
        <v>4.7</v>
      </c>
      <c r="K20" s="22">
        <v>12345672</v>
      </c>
      <c r="R20" s="22">
        <v>4</v>
      </c>
      <c r="S20" s="22" t="s">
        <v>96</v>
      </c>
      <c r="T20" s="27">
        <v>45350</v>
      </c>
      <c r="U20" s="27">
        <v>45358</v>
      </c>
      <c r="V20" s="22">
        <v>630</v>
      </c>
      <c r="AA20" s="22">
        <v>17</v>
      </c>
      <c r="AB20" s="22" t="s">
        <v>105</v>
      </c>
      <c r="AC20" s="22">
        <v>2</v>
      </c>
    </row>
    <row r="21" spans="7:29" x14ac:dyDescent="0.25">
      <c r="G21" s="22" t="s">
        <v>67</v>
      </c>
      <c r="H21" s="22" t="s">
        <v>424</v>
      </c>
      <c r="I21" s="22">
        <v>5</v>
      </c>
      <c r="J21" s="22">
        <v>7.5</v>
      </c>
      <c r="K21" s="22">
        <v>60150754</v>
      </c>
      <c r="R21" s="22">
        <v>31</v>
      </c>
      <c r="S21" s="22" t="s">
        <v>96</v>
      </c>
      <c r="T21" s="27">
        <v>45374</v>
      </c>
      <c r="U21" s="27">
        <v>45386</v>
      </c>
      <c r="V21" s="22">
        <v>910</v>
      </c>
      <c r="AA21" s="22">
        <v>17</v>
      </c>
      <c r="AB21" s="22" t="s">
        <v>104</v>
      </c>
      <c r="AC21" s="22">
        <v>3</v>
      </c>
    </row>
    <row r="22" spans="7:29" x14ac:dyDescent="0.25">
      <c r="G22" s="22" t="s">
        <v>56</v>
      </c>
      <c r="H22" s="22" t="s">
        <v>432</v>
      </c>
      <c r="I22" s="22">
        <v>1</v>
      </c>
      <c r="J22" s="22">
        <v>7.2</v>
      </c>
      <c r="K22" s="22">
        <v>51953448</v>
      </c>
      <c r="R22" s="22">
        <v>30</v>
      </c>
      <c r="S22" s="22" t="s">
        <v>91</v>
      </c>
      <c r="T22" s="27">
        <v>45415</v>
      </c>
      <c r="U22" s="27">
        <v>45422</v>
      </c>
      <c r="V22" s="22">
        <v>800</v>
      </c>
      <c r="AA22" s="22">
        <v>18</v>
      </c>
      <c r="AB22" s="22" t="s">
        <v>109</v>
      </c>
      <c r="AC22" s="22">
        <v>6</v>
      </c>
    </row>
    <row r="23" spans="7:29" x14ac:dyDescent="0.25">
      <c r="G23" s="22" t="s">
        <v>58</v>
      </c>
      <c r="H23" s="22" t="s">
        <v>435</v>
      </c>
      <c r="I23" s="22">
        <v>4</v>
      </c>
      <c r="J23" s="22">
        <v>5.5</v>
      </c>
      <c r="K23" s="22">
        <v>15450103</v>
      </c>
      <c r="R23" s="22">
        <v>22</v>
      </c>
      <c r="S23" s="22" t="s">
        <v>93</v>
      </c>
      <c r="T23" s="27">
        <v>45419</v>
      </c>
      <c r="U23" s="27">
        <v>45420</v>
      </c>
      <c r="V23" s="22">
        <v>240</v>
      </c>
      <c r="AA23" s="22">
        <v>19</v>
      </c>
      <c r="AB23" s="22" t="s">
        <v>105</v>
      </c>
      <c r="AC23" s="22">
        <v>1</v>
      </c>
    </row>
    <row r="24" spans="7:29" x14ac:dyDescent="0.25">
      <c r="G24" s="22" t="s">
        <v>72</v>
      </c>
      <c r="H24" s="22" t="s">
        <v>435</v>
      </c>
      <c r="I24" s="22">
        <v>3</v>
      </c>
      <c r="J24" s="22">
        <v>6.2</v>
      </c>
      <c r="K24" s="22">
        <v>12345672</v>
      </c>
      <c r="R24" s="22">
        <v>11</v>
      </c>
      <c r="S24" s="22" t="s">
        <v>90</v>
      </c>
      <c r="T24" s="27">
        <v>45461</v>
      </c>
      <c r="U24" s="27">
        <v>45472</v>
      </c>
      <c r="V24" s="22">
        <v>840</v>
      </c>
      <c r="AA24" s="22">
        <v>20</v>
      </c>
      <c r="AB24" s="22" t="s">
        <v>108</v>
      </c>
      <c r="AC24" s="22">
        <v>3</v>
      </c>
    </row>
    <row r="25" spans="7:29" x14ac:dyDescent="0.25">
      <c r="G25" s="22" t="s">
        <v>47</v>
      </c>
      <c r="H25" s="22" t="s">
        <v>436</v>
      </c>
      <c r="I25" s="22">
        <v>2</v>
      </c>
      <c r="J25" s="22">
        <v>6</v>
      </c>
      <c r="K25" s="22">
        <v>14406662</v>
      </c>
      <c r="R25" s="22">
        <v>20</v>
      </c>
      <c r="S25" s="22" t="s">
        <v>92</v>
      </c>
      <c r="T25" s="27">
        <v>45468</v>
      </c>
      <c r="U25" s="27">
        <v>45475</v>
      </c>
      <c r="V25" s="22">
        <v>320</v>
      </c>
      <c r="AA25" s="22">
        <v>22</v>
      </c>
      <c r="AB25" s="22" t="s">
        <v>109</v>
      </c>
      <c r="AC25" s="22">
        <v>6</v>
      </c>
    </row>
    <row r="26" spans="7:29" x14ac:dyDescent="0.25">
      <c r="G26" s="22" t="s">
        <v>116</v>
      </c>
      <c r="H26" s="22" t="s">
        <v>436</v>
      </c>
      <c r="I26" s="22">
        <v>4</v>
      </c>
      <c r="J26" s="22">
        <v>7.1</v>
      </c>
      <c r="K26" s="22">
        <v>51953448</v>
      </c>
      <c r="R26" s="22">
        <v>32</v>
      </c>
      <c r="S26" s="22" t="s">
        <v>88</v>
      </c>
      <c r="T26" s="27">
        <v>45496</v>
      </c>
      <c r="U26" s="27">
        <v>45505</v>
      </c>
      <c r="V26" s="22">
        <v>800</v>
      </c>
      <c r="AA26" s="22">
        <v>25</v>
      </c>
      <c r="AB26" s="22" t="s">
        <v>103</v>
      </c>
      <c r="AC26" s="22">
        <v>2</v>
      </c>
    </row>
    <row r="27" spans="7:29" x14ac:dyDescent="0.25">
      <c r="G27" s="22" t="s">
        <v>59</v>
      </c>
      <c r="H27" s="22" t="s">
        <v>437</v>
      </c>
      <c r="I27" s="22">
        <v>4</v>
      </c>
      <c r="J27" s="22">
        <v>4.8</v>
      </c>
      <c r="K27" s="22">
        <v>35569956</v>
      </c>
      <c r="R27" s="22">
        <v>16</v>
      </c>
      <c r="S27" s="22" t="s">
        <v>88</v>
      </c>
      <c r="T27" s="27">
        <v>45496</v>
      </c>
      <c r="U27" s="27">
        <v>45505</v>
      </c>
      <c r="V27" s="22">
        <v>800</v>
      </c>
      <c r="AA27" s="22">
        <v>27</v>
      </c>
      <c r="AB27" s="22" t="s">
        <v>109</v>
      </c>
      <c r="AC27" s="22">
        <v>5</v>
      </c>
    </row>
    <row r="28" spans="7:29" x14ac:dyDescent="0.25">
      <c r="G28" s="22" t="s">
        <v>70</v>
      </c>
      <c r="H28" s="22" t="s">
        <v>438</v>
      </c>
      <c r="I28" s="22">
        <v>4</v>
      </c>
      <c r="J28" s="22">
        <v>5.4</v>
      </c>
      <c r="K28" s="22">
        <v>30240527</v>
      </c>
      <c r="R28" s="22">
        <v>17</v>
      </c>
      <c r="S28" s="22" t="s">
        <v>89</v>
      </c>
      <c r="T28" s="27">
        <v>45519</v>
      </c>
      <c r="U28" s="27">
        <v>45529</v>
      </c>
      <c r="V28" s="22">
        <v>1100</v>
      </c>
      <c r="AA28" s="22">
        <v>29</v>
      </c>
      <c r="AB28" s="22" t="s">
        <v>108</v>
      </c>
      <c r="AC28" s="22">
        <v>4</v>
      </c>
    </row>
    <row r="29" spans="7:29" x14ac:dyDescent="0.25">
      <c r="G29" s="22" t="s">
        <v>73</v>
      </c>
      <c r="H29" s="22" t="s">
        <v>430</v>
      </c>
      <c r="I29" s="22">
        <v>1</v>
      </c>
      <c r="J29" s="22">
        <v>4.5</v>
      </c>
      <c r="K29" s="22">
        <v>53468374</v>
      </c>
      <c r="R29" s="22">
        <v>16</v>
      </c>
      <c r="S29" s="22" t="s">
        <v>93</v>
      </c>
      <c r="T29" s="27">
        <v>45520</v>
      </c>
      <c r="U29" s="27">
        <v>45530</v>
      </c>
      <c r="V29" s="22">
        <v>1320</v>
      </c>
      <c r="AA29" s="22">
        <v>29</v>
      </c>
      <c r="AB29" s="22" t="s">
        <v>105</v>
      </c>
      <c r="AC29" s="22">
        <v>2</v>
      </c>
    </row>
    <row r="30" spans="7:29" x14ac:dyDescent="0.25">
      <c r="G30" s="22" t="s">
        <v>61</v>
      </c>
      <c r="H30" s="22" t="s">
        <v>439</v>
      </c>
      <c r="I30" s="22">
        <v>1</v>
      </c>
      <c r="J30" s="22">
        <v>4.4000000000000004</v>
      </c>
      <c r="K30" s="22">
        <v>12345672</v>
      </c>
      <c r="R30" s="22">
        <v>7</v>
      </c>
      <c r="S30" s="22" t="s">
        <v>95</v>
      </c>
      <c r="T30" s="27">
        <v>45523</v>
      </c>
      <c r="U30" s="27">
        <v>45531</v>
      </c>
      <c r="V30" s="22">
        <v>270</v>
      </c>
      <c r="AA30" s="22">
        <v>32</v>
      </c>
      <c r="AB30" s="22" t="s">
        <v>108</v>
      </c>
      <c r="AC30" s="22">
        <v>2</v>
      </c>
    </row>
    <row r="31" spans="7:29" x14ac:dyDescent="0.25">
      <c r="G31" s="22" t="s">
        <v>54</v>
      </c>
      <c r="H31" s="22" t="s">
        <v>440</v>
      </c>
      <c r="I31" s="22">
        <v>5</v>
      </c>
      <c r="J31" s="22">
        <v>6.9</v>
      </c>
      <c r="K31" s="22">
        <v>51953448</v>
      </c>
      <c r="R31" s="22">
        <v>7</v>
      </c>
      <c r="S31" s="22" t="s">
        <v>88</v>
      </c>
      <c r="T31" s="27">
        <v>45528</v>
      </c>
      <c r="U31" s="27">
        <v>45530</v>
      </c>
      <c r="V31" s="22">
        <v>240</v>
      </c>
      <c r="AA31" s="22">
        <v>32</v>
      </c>
      <c r="AB31" s="22" t="s">
        <v>106</v>
      </c>
      <c r="AC31" s="22">
        <v>4</v>
      </c>
    </row>
    <row r="32" spans="7:29" x14ac:dyDescent="0.25">
      <c r="G32" s="22" t="s">
        <v>57</v>
      </c>
      <c r="H32" s="22" t="s">
        <v>424</v>
      </c>
      <c r="I32" s="22">
        <v>3</v>
      </c>
      <c r="J32" s="22">
        <v>4.3</v>
      </c>
      <c r="K32" s="22">
        <v>14406662</v>
      </c>
      <c r="R32" s="22">
        <v>30</v>
      </c>
      <c r="S32" s="22" t="s">
        <v>96</v>
      </c>
      <c r="T32" s="27">
        <v>45529</v>
      </c>
      <c r="U32" s="27">
        <v>45532</v>
      </c>
      <c r="V32" s="22">
        <v>280</v>
      </c>
      <c r="AA32" s="22">
        <v>32</v>
      </c>
      <c r="AB32" s="22" t="s">
        <v>105</v>
      </c>
      <c r="AC32" s="22">
        <v>2</v>
      </c>
    </row>
    <row r="33" spans="7:29" x14ac:dyDescent="0.25">
      <c r="G33" s="22" t="s">
        <v>53</v>
      </c>
      <c r="H33" s="22" t="s">
        <v>436</v>
      </c>
      <c r="I33" s="22">
        <v>3</v>
      </c>
      <c r="J33" s="22">
        <v>6.5</v>
      </c>
      <c r="K33" s="22">
        <v>35569956</v>
      </c>
      <c r="R33" s="22">
        <v>6</v>
      </c>
      <c r="S33" s="22" t="s">
        <v>96</v>
      </c>
      <c r="T33" s="27">
        <v>45542</v>
      </c>
      <c r="U33" s="27">
        <v>45546</v>
      </c>
      <c r="V33" s="22">
        <v>350</v>
      </c>
      <c r="AA33" s="22">
        <v>34</v>
      </c>
      <c r="AB33" s="22" t="s">
        <v>108</v>
      </c>
      <c r="AC33" s="22">
        <v>4</v>
      </c>
    </row>
    <row r="34" spans="7:29" x14ac:dyDescent="0.25">
      <c r="R34" s="22">
        <v>25</v>
      </c>
      <c r="S34" s="22" t="s">
        <v>95</v>
      </c>
      <c r="T34" s="27">
        <v>45561</v>
      </c>
      <c r="U34" s="27">
        <v>45573</v>
      </c>
      <c r="V34" s="22">
        <v>390</v>
      </c>
      <c r="AA34" s="22">
        <v>35</v>
      </c>
      <c r="AB34" s="22" t="s">
        <v>108</v>
      </c>
      <c r="AC34" s="22">
        <v>2</v>
      </c>
    </row>
    <row r="35" spans="7:29" x14ac:dyDescent="0.25">
      <c r="R35" s="22">
        <v>1</v>
      </c>
      <c r="S35" s="22" t="s">
        <v>95</v>
      </c>
      <c r="T35" s="27">
        <v>45566</v>
      </c>
      <c r="U35" s="27">
        <v>45569</v>
      </c>
      <c r="V35" s="22">
        <v>120</v>
      </c>
      <c r="AA35" s="22">
        <v>35</v>
      </c>
      <c r="AB35" s="22" t="s">
        <v>109</v>
      </c>
      <c r="AC35" s="22">
        <v>3</v>
      </c>
    </row>
    <row r="36" spans="7:29" x14ac:dyDescent="0.25">
      <c r="R36" s="22">
        <v>2</v>
      </c>
      <c r="S36" s="22" t="s">
        <v>89</v>
      </c>
      <c r="T36" s="27">
        <v>45575</v>
      </c>
      <c r="U36" s="27">
        <v>45590</v>
      </c>
      <c r="V36" s="22">
        <v>1600</v>
      </c>
      <c r="AA36" s="22">
        <v>36</v>
      </c>
      <c r="AB36" s="22" t="s">
        <v>105</v>
      </c>
      <c r="AC36" s="22">
        <v>4</v>
      </c>
    </row>
    <row r="37" spans="7:29" x14ac:dyDescent="0.25">
      <c r="R37" s="22">
        <v>1</v>
      </c>
      <c r="S37" s="22" t="s">
        <v>88</v>
      </c>
      <c r="T37" s="27">
        <v>44936</v>
      </c>
      <c r="U37" s="27">
        <v>44943</v>
      </c>
      <c r="V37" s="22">
        <v>640</v>
      </c>
      <c r="AA37" s="22">
        <v>40</v>
      </c>
      <c r="AB37" s="22" t="s">
        <v>103</v>
      </c>
      <c r="AC37" s="22">
        <v>2</v>
      </c>
    </row>
    <row r="38" spans="7:29" x14ac:dyDescent="0.25">
      <c r="R38" s="22">
        <v>1</v>
      </c>
      <c r="S38" s="22" t="s">
        <v>93</v>
      </c>
      <c r="T38" s="27">
        <v>44941</v>
      </c>
      <c r="U38" s="27">
        <v>44946</v>
      </c>
      <c r="V38" s="22">
        <v>720</v>
      </c>
      <c r="AA38" s="22">
        <v>41</v>
      </c>
      <c r="AB38" s="22" t="s">
        <v>103</v>
      </c>
      <c r="AC38" s="22">
        <v>6</v>
      </c>
    </row>
    <row r="39" spans="7:29" x14ac:dyDescent="0.25">
      <c r="R39" s="22">
        <v>9</v>
      </c>
      <c r="S39" s="22" t="s">
        <v>94</v>
      </c>
      <c r="T39" s="27">
        <v>44941</v>
      </c>
      <c r="U39" s="27">
        <v>44948</v>
      </c>
      <c r="V39" s="22">
        <v>400</v>
      </c>
      <c r="AA39" s="22">
        <v>41</v>
      </c>
      <c r="AB39" s="22" t="s">
        <v>107</v>
      </c>
      <c r="AC39" s="22">
        <v>6</v>
      </c>
    </row>
    <row r="40" spans="7:29" x14ac:dyDescent="0.25">
      <c r="R40" s="22">
        <v>2</v>
      </c>
      <c r="S40" s="22" t="s">
        <v>89</v>
      </c>
      <c r="T40" s="27">
        <v>44962</v>
      </c>
      <c r="U40" s="27">
        <v>44967</v>
      </c>
      <c r="V40" s="22">
        <v>600</v>
      </c>
      <c r="AA40" s="22">
        <v>42</v>
      </c>
      <c r="AB40" s="22" t="s">
        <v>109</v>
      </c>
      <c r="AC40" s="22">
        <v>6</v>
      </c>
    </row>
    <row r="41" spans="7:29" x14ac:dyDescent="0.25">
      <c r="R41" s="22">
        <v>2</v>
      </c>
      <c r="S41" s="22" t="s">
        <v>90</v>
      </c>
      <c r="T41" s="27">
        <v>44962</v>
      </c>
      <c r="U41" s="27">
        <v>44969</v>
      </c>
      <c r="V41" s="22">
        <v>560</v>
      </c>
      <c r="AA41" s="22">
        <v>43</v>
      </c>
      <c r="AB41" s="22" t="s">
        <v>108</v>
      </c>
      <c r="AC41" s="22">
        <v>8</v>
      </c>
    </row>
    <row r="42" spans="7:29" x14ac:dyDescent="0.25">
      <c r="R42" s="22">
        <v>10</v>
      </c>
      <c r="S42" s="22" t="s">
        <v>92</v>
      </c>
      <c r="T42" s="27">
        <v>44967</v>
      </c>
      <c r="U42" s="27">
        <v>44974</v>
      </c>
      <c r="V42" s="22">
        <v>320</v>
      </c>
      <c r="AA42" s="22">
        <v>43</v>
      </c>
      <c r="AB42" s="22" t="s">
        <v>106</v>
      </c>
      <c r="AC42" s="22">
        <v>7</v>
      </c>
    </row>
    <row r="43" spans="7:29" x14ac:dyDescent="0.25">
      <c r="R43" s="22">
        <v>3</v>
      </c>
      <c r="S43" s="22" t="s">
        <v>96</v>
      </c>
      <c r="T43" s="27">
        <v>44986</v>
      </c>
      <c r="U43" s="27">
        <v>44993</v>
      </c>
      <c r="V43" s="22">
        <v>560</v>
      </c>
      <c r="AA43" s="22">
        <v>43</v>
      </c>
      <c r="AB43" s="22" t="s">
        <v>103</v>
      </c>
      <c r="AC43" s="22">
        <v>3</v>
      </c>
    </row>
    <row r="44" spans="7:29" x14ac:dyDescent="0.25">
      <c r="R44" s="22">
        <v>11</v>
      </c>
      <c r="S44" s="22" t="s">
        <v>95</v>
      </c>
      <c r="T44" s="27">
        <v>44990</v>
      </c>
      <c r="U44" s="27">
        <v>44997</v>
      </c>
      <c r="V44" s="22">
        <v>240</v>
      </c>
      <c r="AA44" s="22">
        <v>44</v>
      </c>
      <c r="AB44" s="22" t="s">
        <v>107</v>
      </c>
      <c r="AC44" s="22">
        <v>6</v>
      </c>
    </row>
    <row r="45" spans="7:29" x14ac:dyDescent="0.25">
      <c r="R45" s="22">
        <v>3</v>
      </c>
      <c r="S45" s="22" t="s">
        <v>91</v>
      </c>
      <c r="T45" s="27">
        <v>44997</v>
      </c>
      <c r="U45" s="27">
        <v>45003</v>
      </c>
      <c r="V45" s="22">
        <v>700</v>
      </c>
      <c r="AA45" s="22">
        <v>45</v>
      </c>
      <c r="AB45" s="22" t="s">
        <v>106</v>
      </c>
      <c r="AC45" s="22">
        <v>5</v>
      </c>
    </row>
    <row r="46" spans="7:29" x14ac:dyDescent="0.25">
      <c r="R46" s="22">
        <v>4</v>
      </c>
      <c r="S46" s="22" t="s">
        <v>88</v>
      </c>
      <c r="T46" s="27">
        <v>45017</v>
      </c>
      <c r="U46" s="27">
        <v>45023</v>
      </c>
      <c r="V46" s="22">
        <v>560</v>
      </c>
      <c r="AA46" s="22">
        <v>47</v>
      </c>
      <c r="AB46" s="22" t="s">
        <v>107</v>
      </c>
      <c r="AC46" s="22">
        <v>2</v>
      </c>
    </row>
    <row r="47" spans="7:29" x14ac:dyDescent="0.25">
      <c r="R47" s="22">
        <v>12</v>
      </c>
      <c r="S47" s="22" t="s">
        <v>93</v>
      </c>
      <c r="T47" s="27">
        <v>45031</v>
      </c>
      <c r="U47" s="27">
        <v>45038</v>
      </c>
      <c r="V47" s="22">
        <v>960</v>
      </c>
      <c r="AA47" s="22">
        <v>48</v>
      </c>
      <c r="AB47" s="22" t="s">
        <v>103</v>
      </c>
      <c r="AC47" s="22">
        <v>1</v>
      </c>
    </row>
    <row r="48" spans="7:29" x14ac:dyDescent="0.25">
      <c r="R48" s="22">
        <v>4</v>
      </c>
      <c r="S48" s="22" t="s">
        <v>94</v>
      </c>
      <c r="T48" s="27">
        <v>45031</v>
      </c>
      <c r="U48" s="27">
        <v>45038</v>
      </c>
      <c r="V48" s="22">
        <v>400</v>
      </c>
      <c r="AA48" s="22">
        <v>49</v>
      </c>
      <c r="AB48" s="22" t="s">
        <v>105</v>
      </c>
      <c r="AC48" s="22">
        <v>8</v>
      </c>
    </row>
    <row r="49" spans="18:29" x14ac:dyDescent="0.25">
      <c r="R49" s="22">
        <v>13</v>
      </c>
      <c r="S49" s="22" t="s">
        <v>89</v>
      </c>
      <c r="T49" s="27">
        <v>45051</v>
      </c>
      <c r="U49" s="27">
        <v>45058</v>
      </c>
      <c r="V49" s="22">
        <v>800</v>
      </c>
      <c r="AA49" s="22">
        <v>53</v>
      </c>
      <c r="AB49" s="22" t="s">
        <v>108</v>
      </c>
      <c r="AC49" s="22">
        <v>3</v>
      </c>
    </row>
    <row r="50" spans="18:29" x14ac:dyDescent="0.25">
      <c r="R50" s="22">
        <v>5</v>
      </c>
      <c r="S50" s="22" t="s">
        <v>92</v>
      </c>
      <c r="T50" s="27">
        <v>45051</v>
      </c>
      <c r="U50" s="27">
        <v>45058</v>
      </c>
      <c r="V50" s="22">
        <v>320</v>
      </c>
      <c r="AA50" s="22">
        <v>54</v>
      </c>
      <c r="AB50" s="22" t="s">
        <v>108</v>
      </c>
      <c r="AC50" s="22">
        <v>1</v>
      </c>
    </row>
    <row r="51" spans="18:29" x14ac:dyDescent="0.25">
      <c r="R51" s="22">
        <v>5</v>
      </c>
      <c r="S51" s="22" t="s">
        <v>90</v>
      </c>
      <c r="T51" s="27">
        <v>45056</v>
      </c>
      <c r="U51" s="27">
        <v>45061</v>
      </c>
      <c r="V51" s="22">
        <v>420</v>
      </c>
      <c r="AA51" s="22">
        <v>54</v>
      </c>
      <c r="AB51" s="22" t="s">
        <v>109</v>
      </c>
      <c r="AC51" s="22">
        <v>3</v>
      </c>
    </row>
    <row r="52" spans="18:29" x14ac:dyDescent="0.25">
      <c r="R52" s="22">
        <v>14</v>
      </c>
      <c r="S52" s="22" t="s">
        <v>91</v>
      </c>
      <c r="T52" s="27">
        <v>45078</v>
      </c>
      <c r="U52" s="27">
        <v>45085</v>
      </c>
      <c r="V52" s="22">
        <v>800</v>
      </c>
      <c r="AA52" s="22">
        <v>54</v>
      </c>
      <c r="AB52" s="22" t="s">
        <v>105</v>
      </c>
      <c r="AC52" s="22">
        <v>3</v>
      </c>
    </row>
    <row r="53" spans="18:29" x14ac:dyDescent="0.25">
      <c r="R53" s="22">
        <v>6</v>
      </c>
      <c r="S53" s="22" t="s">
        <v>95</v>
      </c>
      <c r="T53" s="27">
        <v>45078</v>
      </c>
      <c r="U53" s="27">
        <v>45085</v>
      </c>
      <c r="V53" s="22">
        <v>240</v>
      </c>
      <c r="AA53" s="22">
        <v>55</v>
      </c>
      <c r="AB53" s="22" t="s">
        <v>105</v>
      </c>
      <c r="AC53" s="22">
        <v>3</v>
      </c>
    </row>
    <row r="54" spans="18:29" x14ac:dyDescent="0.25">
      <c r="R54" s="22">
        <v>6</v>
      </c>
      <c r="S54" s="22" t="s">
        <v>96</v>
      </c>
      <c r="T54" s="27">
        <v>45097</v>
      </c>
      <c r="U54" s="27">
        <v>45102</v>
      </c>
      <c r="V54" s="22">
        <v>420</v>
      </c>
      <c r="AA54" s="22">
        <v>60</v>
      </c>
      <c r="AB54" s="22" t="s">
        <v>108</v>
      </c>
      <c r="AC54" s="22">
        <v>2</v>
      </c>
    </row>
    <row r="55" spans="18:29" x14ac:dyDescent="0.25">
      <c r="R55" s="22">
        <v>7</v>
      </c>
      <c r="S55" s="22" t="s">
        <v>94</v>
      </c>
      <c r="T55" s="27">
        <v>45112</v>
      </c>
      <c r="U55" s="27">
        <v>45119</v>
      </c>
      <c r="V55" s="22">
        <v>400</v>
      </c>
      <c r="AA55" s="22">
        <v>60</v>
      </c>
      <c r="AB55" s="22" t="s">
        <v>106</v>
      </c>
      <c r="AC55" s="22">
        <v>1</v>
      </c>
    </row>
    <row r="56" spans="18:29" x14ac:dyDescent="0.25">
      <c r="R56" s="22">
        <v>15</v>
      </c>
      <c r="S56" s="22" t="s">
        <v>88</v>
      </c>
      <c r="T56" s="27">
        <v>45117</v>
      </c>
      <c r="U56" s="27">
        <v>45124</v>
      </c>
      <c r="V56" s="22">
        <v>640</v>
      </c>
      <c r="AA56" s="22">
        <v>61</v>
      </c>
      <c r="AB56" s="22" t="s">
        <v>103</v>
      </c>
      <c r="AC56" s="22">
        <v>1</v>
      </c>
    </row>
    <row r="57" spans="18:29" x14ac:dyDescent="0.25">
      <c r="R57" s="22">
        <v>7</v>
      </c>
      <c r="S57" s="22" t="s">
        <v>93</v>
      </c>
      <c r="T57" s="27">
        <v>45117</v>
      </c>
      <c r="U57" s="27">
        <v>45124</v>
      </c>
      <c r="V57" s="22">
        <v>960</v>
      </c>
      <c r="AA57" s="22">
        <v>61</v>
      </c>
      <c r="AB57" s="22" t="s">
        <v>109</v>
      </c>
      <c r="AC57" s="22">
        <v>3</v>
      </c>
    </row>
    <row r="58" spans="18:29" x14ac:dyDescent="0.25">
      <c r="R58" s="22">
        <v>8</v>
      </c>
      <c r="S58" s="22" t="s">
        <v>92</v>
      </c>
      <c r="T58" s="27">
        <v>45139</v>
      </c>
      <c r="U58" s="27">
        <v>45146</v>
      </c>
      <c r="V58" s="22">
        <v>320</v>
      </c>
      <c r="AA58" s="22">
        <v>62</v>
      </c>
      <c r="AB58" s="22" t="s">
        <v>105</v>
      </c>
      <c r="AC58" s="22">
        <v>1</v>
      </c>
    </row>
    <row r="59" spans="18:29" x14ac:dyDescent="0.25">
      <c r="R59" s="22">
        <v>8</v>
      </c>
      <c r="S59" s="22" t="s">
        <v>89</v>
      </c>
      <c r="T59" s="27">
        <v>45153</v>
      </c>
      <c r="U59" s="27">
        <v>45160</v>
      </c>
      <c r="V59" s="22">
        <v>800</v>
      </c>
      <c r="AA59" s="22">
        <v>62</v>
      </c>
      <c r="AB59" s="22" t="s">
        <v>107</v>
      </c>
      <c r="AC59" s="22">
        <v>2</v>
      </c>
    </row>
    <row r="60" spans="18:29" x14ac:dyDescent="0.25">
      <c r="R60" s="22">
        <v>16</v>
      </c>
      <c r="S60" s="22" t="s">
        <v>90</v>
      </c>
      <c r="T60" s="27">
        <v>45158</v>
      </c>
      <c r="U60" s="27">
        <v>45165</v>
      </c>
      <c r="V60" s="22">
        <v>560</v>
      </c>
      <c r="AA60" s="22">
        <v>63</v>
      </c>
      <c r="AB60" s="22" t="s">
        <v>104</v>
      </c>
      <c r="AC60" s="22">
        <v>1</v>
      </c>
    </row>
    <row r="61" spans="18:29" x14ac:dyDescent="0.25">
      <c r="R61" s="22">
        <v>1</v>
      </c>
      <c r="S61" s="22" t="s">
        <v>96</v>
      </c>
      <c r="T61" s="27">
        <v>45174</v>
      </c>
      <c r="U61" s="27">
        <v>45181</v>
      </c>
      <c r="V61" s="22">
        <v>560</v>
      </c>
      <c r="AA61" s="22">
        <v>64</v>
      </c>
      <c r="AB61" s="22" t="s">
        <v>108</v>
      </c>
      <c r="AC61" s="22">
        <v>3</v>
      </c>
    </row>
    <row r="62" spans="18:29" x14ac:dyDescent="0.25">
      <c r="R62" s="22">
        <v>9</v>
      </c>
      <c r="S62" s="22" t="s">
        <v>95</v>
      </c>
      <c r="T62" s="27">
        <v>45184</v>
      </c>
      <c r="U62" s="27">
        <v>45191</v>
      </c>
      <c r="V62" s="22">
        <v>240</v>
      </c>
      <c r="AA62" s="22">
        <v>65</v>
      </c>
      <c r="AB62" s="22" t="s">
        <v>109</v>
      </c>
      <c r="AC62" s="22">
        <v>2</v>
      </c>
    </row>
    <row r="63" spans="18:29" x14ac:dyDescent="0.25">
      <c r="R63" s="22">
        <v>10</v>
      </c>
      <c r="S63" s="22" t="s">
        <v>93</v>
      </c>
      <c r="T63" s="27">
        <v>45209</v>
      </c>
      <c r="U63" s="27">
        <v>45216</v>
      </c>
      <c r="V63" s="22">
        <v>960</v>
      </c>
      <c r="AA63" s="22">
        <v>65</v>
      </c>
      <c r="AB63" s="22" t="s">
        <v>105</v>
      </c>
      <c r="AC63" s="22">
        <v>1</v>
      </c>
    </row>
    <row r="64" spans="18:29" x14ac:dyDescent="0.25">
      <c r="R64" s="22">
        <v>2</v>
      </c>
      <c r="S64" s="22" t="s">
        <v>94</v>
      </c>
      <c r="T64" s="27">
        <v>45214</v>
      </c>
      <c r="U64" s="27">
        <v>45221</v>
      </c>
      <c r="V64" s="22">
        <v>400</v>
      </c>
      <c r="AA64" s="22">
        <v>66</v>
      </c>
      <c r="AB64" s="22" t="s">
        <v>103</v>
      </c>
      <c r="AC64" s="22">
        <v>1</v>
      </c>
    </row>
    <row r="65" spans="18:29" x14ac:dyDescent="0.25">
      <c r="R65" s="22">
        <v>3</v>
      </c>
      <c r="S65" s="22" t="s">
        <v>92</v>
      </c>
      <c r="T65" s="27">
        <v>45231</v>
      </c>
      <c r="U65" s="27">
        <v>45238</v>
      </c>
      <c r="V65" s="22">
        <v>320</v>
      </c>
      <c r="AA65" s="22">
        <v>67</v>
      </c>
      <c r="AB65" s="22" t="s">
        <v>107</v>
      </c>
      <c r="AC65" s="22">
        <v>2</v>
      </c>
    </row>
    <row r="66" spans="18:29" x14ac:dyDescent="0.25">
      <c r="R66" s="22">
        <v>11</v>
      </c>
      <c r="S66" s="22" t="s">
        <v>89</v>
      </c>
      <c r="T66" s="27">
        <v>45235</v>
      </c>
      <c r="U66" s="27">
        <v>45242</v>
      </c>
      <c r="V66" s="22">
        <v>800</v>
      </c>
      <c r="AA66" s="22">
        <v>68</v>
      </c>
      <c r="AB66" s="22" t="s">
        <v>104</v>
      </c>
      <c r="AC66" s="22">
        <v>1</v>
      </c>
    </row>
    <row r="67" spans="18:29" x14ac:dyDescent="0.25">
      <c r="R67" s="22">
        <v>12</v>
      </c>
      <c r="S67" s="22" t="s">
        <v>91</v>
      </c>
      <c r="T67" s="27">
        <v>45261</v>
      </c>
      <c r="U67" s="27">
        <v>45268</v>
      </c>
      <c r="V67" s="22">
        <v>800</v>
      </c>
      <c r="AA67" s="22">
        <v>69</v>
      </c>
      <c r="AB67" s="22" t="s">
        <v>108</v>
      </c>
      <c r="AC67" s="22">
        <v>2</v>
      </c>
    </row>
    <row r="68" spans="18:29" x14ac:dyDescent="0.25">
      <c r="R68" s="22">
        <v>4</v>
      </c>
      <c r="S68" s="22" t="s">
        <v>95</v>
      </c>
      <c r="T68" s="27">
        <v>45265</v>
      </c>
      <c r="U68" s="27">
        <v>45272</v>
      </c>
      <c r="V68" s="22">
        <v>240</v>
      </c>
      <c r="AA68" s="22">
        <v>69</v>
      </c>
      <c r="AB68" s="22" t="s">
        <v>106</v>
      </c>
      <c r="AC68" s="22">
        <v>1</v>
      </c>
    </row>
    <row r="69" spans="18:29" x14ac:dyDescent="0.25">
      <c r="R69" s="22">
        <v>13</v>
      </c>
      <c r="S69" s="22" t="s">
        <v>88</v>
      </c>
      <c r="T69" s="27">
        <v>45296</v>
      </c>
      <c r="U69" s="27">
        <v>45301</v>
      </c>
      <c r="V69" s="22">
        <v>480</v>
      </c>
      <c r="AA69" s="22">
        <v>70</v>
      </c>
      <c r="AB69" s="22" t="s">
        <v>103</v>
      </c>
      <c r="AC69" s="22">
        <v>3</v>
      </c>
    </row>
    <row r="70" spans="18:29" x14ac:dyDescent="0.25">
      <c r="R70" s="22">
        <v>5</v>
      </c>
      <c r="S70" s="22" t="s">
        <v>93</v>
      </c>
      <c r="T70" s="27">
        <v>45306</v>
      </c>
      <c r="U70" s="27">
        <v>45313</v>
      </c>
      <c r="V70" s="22">
        <v>960</v>
      </c>
      <c r="AA70" s="22">
        <v>71</v>
      </c>
      <c r="AB70" s="22" t="s">
        <v>109</v>
      </c>
      <c r="AC70" s="22">
        <v>1</v>
      </c>
    </row>
    <row r="71" spans="18:29" x14ac:dyDescent="0.25">
      <c r="R71" s="22">
        <v>14</v>
      </c>
      <c r="S71" s="22" t="s">
        <v>90</v>
      </c>
      <c r="T71" s="27">
        <v>45323</v>
      </c>
      <c r="U71" s="27">
        <v>45328</v>
      </c>
      <c r="V71" s="22">
        <v>420</v>
      </c>
      <c r="AA71" s="22">
        <v>72</v>
      </c>
      <c r="AB71" s="22" t="s">
        <v>105</v>
      </c>
      <c r="AC71" s="22">
        <v>1</v>
      </c>
    </row>
    <row r="72" spans="18:29" x14ac:dyDescent="0.25">
      <c r="R72" s="22">
        <v>6</v>
      </c>
      <c r="S72" s="22" t="s">
        <v>89</v>
      </c>
      <c r="T72" s="27">
        <v>45327</v>
      </c>
      <c r="U72" s="27">
        <v>45334</v>
      </c>
      <c r="V72" s="22">
        <v>800</v>
      </c>
      <c r="AA72" s="22">
        <v>73</v>
      </c>
      <c r="AB72" s="22" t="s">
        <v>108</v>
      </c>
      <c r="AC72" s="22">
        <v>4</v>
      </c>
    </row>
    <row r="73" spans="18:29" x14ac:dyDescent="0.25">
      <c r="R73" s="22">
        <v>15</v>
      </c>
      <c r="S73" s="22" t="s">
        <v>96</v>
      </c>
      <c r="T73" s="27">
        <v>45352</v>
      </c>
      <c r="U73" s="27">
        <v>45359</v>
      </c>
      <c r="V73" s="22">
        <v>560</v>
      </c>
      <c r="AA73" s="22">
        <v>74</v>
      </c>
      <c r="AB73" s="22" t="s">
        <v>104</v>
      </c>
      <c r="AC73" s="22">
        <v>2</v>
      </c>
    </row>
    <row r="74" spans="18:29" x14ac:dyDescent="0.25">
      <c r="R74" s="22">
        <v>7</v>
      </c>
      <c r="S74" s="22" t="s">
        <v>91</v>
      </c>
      <c r="T74" s="27">
        <v>45352</v>
      </c>
      <c r="U74" s="27">
        <v>45359</v>
      </c>
      <c r="V74" s="22">
        <v>800</v>
      </c>
      <c r="AA74" s="22">
        <v>75</v>
      </c>
      <c r="AB74" s="22" t="s">
        <v>109</v>
      </c>
      <c r="AC74" s="22">
        <v>3</v>
      </c>
    </row>
    <row r="75" spans="18:29" x14ac:dyDescent="0.25">
      <c r="R75" s="22">
        <v>16</v>
      </c>
      <c r="S75" s="22" t="s">
        <v>94</v>
      </c>
      <c r="T75" s="27">
        <v>45392</v>
      </c>
      <c r="U75" s="27">
        <v>45397</v>
      </c>
      <c r="V75" s="22">
        <v>300</v>
      </c>
      <c r="AA75" s="22">
        <v>76</v>
      </c>
      <c r="AB75" s="22" t="s">
        <v>107</v>
      </c>
      <c r="AC75" s="22">
        <v>2</v>
      </c>
    </row>
    <row r="76" spans="18:29" x14ac:dyDescent="0.25">
      <c r="R76" s="22">
        <v>8</v>
      </c>
      <c r="S76" s="22" t="s">
        <v>88</v>
      </c>
      <c r="T76" s="27">
        <v>45397</v>
      </c>
      <c r="U76" s="27">
        <v>45404</v>
      </c>
      <c r="V76" s="22">
        <v>640</v>
      </c>
      <c r="AA76" s="22">
        <v>77</v>
      </c>
      <c r="AB76" s="22" t="s">
        <v>103</v>
      </c>
      <c r="AC76" s="22">
        <v>1</v>
      </c>
    </row>
    <row r="77" spans="18:29" x14ac:dyDescent="0.25">
      <c r="R77" s="22">
        <v>9</v>
      </c>
      <c r="S77" s="22" t="s">
        <v>90</v>
      </c>
      <c r="T77" s="27">
        <v>45417</v>
      </c>
      <c r="U77" s="27">
        <v>45424</v>
      </c>
      <c r="V77" s="22">
        <v>560</v>
      </c>
      <c r="AA77" s="22">
        <v>77</v>
      </c>
      <c r="AB77" s="22" t="s">
        <v>105</v>
      </c>
      <c r="AC77" s="22">
        <v>2</v>
      </c>
    </row>
    <row r="78" spans="18:29" x14ac:dyDescent="0.25">
      <c r="R78" s="22">
        <v>1</v>
      </c>
      <c r="S78" s="22" t="s">
        <v>92</v>
      </c>
      <c r="T78" s="27">
        <v>45432</v>
      </c>
      <c r="U78" s="27">
        <v>45437</v>
      </c>
      <c r="V78" s="22">
        <v>240</v>
      </c>
      <c r="AA78" s="22">
        <v>78</v>
      </c>
      <c r="AB78" s="22" t="s">
        <v>108</v>
      </c>
      <c r="AC78" s="22">
        <v>3</v>
      </c>
    </row>
    <row r="79" spans="18:29" x14ac:dyDescent="0.25">
      <c r="R79" s="22">
        <v>10</v>
      </c>
      <c r="S79" s="22" t="s">
        <v>96</v>
      </c>
      <c r="T79" s="27">
        <v>45444</v>
      </c>
      <c r="U79" s="27">
        <v>45451</v>
      </c>
      <c r="V79" s="22">
        <v>560</v>
      </c>
      <c r="AA79" s="22">
        <v>79</v>
      </c>
      <c r="AB79" s="22" t="s">
        <v>104</v>
      </c>
      <c r="AC79" s="22">
        <v>1</v>
      </c>
    </row>
    <row r="80" spans="18:29" x14ac:dyDescent="0.25">
      <c r="R80" s="22">
        <v>2</v>
      </c>
      <c r="S80" s="22" t="s">
        <v>95</v>
      </c>
      <c r="T80" s="27">
        <v>45453</v>
      </c>
      <c r="U80" s="27">
        <v>45461</v>
      </c>
      <c r="V80" s="22">
        <v>270</v>
      </c>
      <c r="AA80" s="22">
        <v>80</v>
      </c>
      <c r="AB80" s="22" t="s">
        <v>109</v>
      </c>
      <c r="AC80" s="22">
        <v>2</v>
      </c>
    </row>
    <row r="81" spans="18:29" x14ac:dyDescent="0.25">
      <c r="R81" s="22">
        <v>3</v>
      </c>
      <c r="S81" s="22" t="s">
        <v>93</v>
      </c>
      <c r="T81" s="27">
        <v>45474</v>
      </c>
      <c r="U81" s="27">
        <v>45481</v>
      </c>
      <c r="V81" s="22">
        <v>960</v>
      </c>
      <c r="AA81" s="22">
        <v>81</v>
      </c>
      <c r="AB81" s="22" t="s">
        <v>106</v>
      </c>
      <c r="AC81" s="22">
        <v>1</v>
      </c>
    </row>
    <row r="82" spans="18:29" x14ac:dyDescent="0.25">
      <c r="R82" s="22">
        <v>11</v>
      </c>
      <c r="S82" s="22" t="s">
        <v>94</v>
      </c>
      <c r="T82" s="27">
        <v>45483</v>
      </c>
      <c r="U82" s="27">
        <v>45490</v>
      </c>
      <c r="V82" s="22">
        <v>400</v>
      </c>
      <c r="AA82" s="22">
        <v>81</v>
      </c>
      <c r="AB82" s="22" t="s">
        <v>103</v>
      </c>
      <c r="AC82" s="22">
        <v>1</v>
      </c>
    </row>
    <row r="83" spans="18:29" x14ac:dyDescent="0.25">
      <c r="R83" s="22">
        <v>4</v>
      </c>
      <c r="S83" s="22" t="s">
        <v>89</v>
      </c>
      <c r="T83" s="27">
        <v>45519</v>
      </c>
      <c r="U83" s="27">
        <v>45526</v>
      </c>
      <c r="V83" s="22">
        <v>800</v>
      </c>
      <c r="AA83" s="22">
        <v>82</v>
      </c>
      <c r="AB83" s="22" t="s">
        <v>105</v>
      </c>
      <c r="AC83" s="22">
        <v>2</v>
      </c>
    </row>
    <row r="84" spans="18:29" x14ac:dyDescent="0.25">
      <c r="R84" s="22">
        <v>12</v>
      </c>
      <c r="S84" s="22" t="s">
        <v>92</v>
      </c>
      <c r="T84" s="27">
        <v>45519</v>
      </c>
      <c r="U84" s="27">
        <v>45526</v>
      </c>
      <c r="V84" s="22">
        <v>320</v>
      </c>
      <c r="AA84" s="22">
        <v>83</v>
      </c>
      <c r="AB84" s="22" t="s">
        <v>107</v>
      </c>
      <c r="AC84" s="22">
        <v>1</v>
      </c>
    </row>
    <row r="85" spans="18:29" x14ac:dyDescent="0.25">
      <c r="R85" s="22">
        <v>13</v>
      </c>
      <c r="S85" s="22" t="s">
        <v>95</v>
      </c>
      <c r="T85" s="27">
        <v>45536</v>
      </c>
      <c r="U85" s="27">
        <v>45543</v>
      </c>
      <c r="V85" s="22">
        <v>240</v>
      </c>
      <c r="AA85" s="22">
        <v>84</v>
      </c>
      <c r="AB85" s="22" t="s">
        <v>109</v>
      </c>
      <c r="AC85" s="22">
        <v>1</v>
      </c>
    </row>
    <row r="86" spans="18:29" x14ac:dyDescent="0.25">
      <c r="R86" s="22">
        <v>5</v>
      </c>
      <c r="S86" s="22" t="s">
        <v>91</v>
      </c>
      <c r="T86" s="27">
        <v>45545</v>
      </c>
      <c r="U86" s="27">
        <v>45552</v>
      </c>
      <c r="V86" s="22">
        <v>800</v>
      </c>
      <c r="AA86" s="22">
        <v>85</v>
      </c>
      <c r="AB86" s="22" t="s">
        <v>104</v>
      </c>
      <c r="AC86" s="22">
        <v>3</v>
      </c>
    </row>
    <row r="87" spans="18:29" x14ac:dyDescent="0.25">
      <c r="R87" s="22">
        <v>6</v>
      </c>
      <c r="S87" s="22" t="s">
        <v>88</v>
      </c>
      <c r="T87" s="27">
        <v>45570</v>
      </c>
      <c r="U87" s="27">
        <v>45577</v>
      </c>
      <c r="V87" s="22">
        <v>640</v>
      </c>
      <c r="AA87" s="22">
        <v>86</v>
      </c>
      <c r="AB87" s="22" t="s">
        <v>108</v>
      </c>
      <c r="AC87" s="22">
        <v>2</v>
      </c>
    </row>
    <row r="88" spans="18:29" x14ac:dyDescent="0.25">
      <c r="R88" s="22">
        <v>14</v>
      </c>
      <c r="S88" s="22" t="s">
        <v>93</v>
      </c>
      <c r="T88" s="27">
        <v>45570</v>
      </c>
      <c r="U88" s="27">
        <v>45577</v>
      </c>
      <c r="V88" s="22">
        <v>960</v>
      </c>
      <c r="AA88" s="22">
        <v>86</v>
      </c>
      <c r="AB88" s="22" t="s">
        <v>106</v>
      </c>
      <c r="AC88" s="22">
        <v>1</v>
      </c>
    </row>
    <row r="89" spans="18:29" x14ac:dyDescent="0.25">
      <c r="R89" s="22">
        <v>7</v>
      </c>
      <c r="S89" s="22" t="s">
        <v>90</v>
      </c>
      <c r="T89" s="27">
        <v>45597</v>
      </c>
      <c r="U89" s="27">
        <v>45603</v>
      </c>
      <c r="V89" s="22">
        <v>490</v>
      </c>
      <c r="AA89" s="22">
        <v>87</v>
      </c>
      <c r="AB89" s="22" t="s">
        <v>103</v>
      </c>
      <c r="AC89" s="22">
        <v>4</v>
      </c>
    </row>
    <row r="90" spans="18:29" x14ac:dyDescent="0.25">
      <c r="R90" s="22">
        <v>15</v>
      </c>
      <c r="S90" s="22" t="s">
        <v>89</v>
      </c>
      <c r="T90" s="27">
        <v>45597</v>
      </c>
      <c r="U90" s="27">
        <v>45603</v>
      </c>
      <c r="V90" s="22">
        <v>700</v>
      </c>
      <c r="AA90" s="22">
        <v>88</v>
      </c>
      <c r="AB90" s="22" t="s">
        <v>105</v>
      </c>
      <c r="AC90" s="22">
        <v>1</v>
      </c>
    </row>
    <row r="91" spans="18:29" x14ac:dyDescent="0.25">
      <c r="R91" s="22">
        <v>8</v>
      </c>
      <c r="S91" s="22" t="s">
        <v>96</v>
      </c>
      <c r="T91" s="27">
        <v>45627</v>
      </c>
      <c r="U91" s="27">
        <v>45633</v>
      </c>
      <c r="V91" s="22">
        <v>490</v>
      </c>
      <c r="AA91" s="22">
        <v>89</v>
      </c>
      <c r="AB91" s="22" t="s">
        <v>109</v>
      </c>
      <c r="AC91" s="22">
        <v>2</v>
      </c>
    </row>
    <row r="92" spans="18:29" x14ac:dyDescent="0.25">
      <c r="R92" s="22">
        <v>16</v>
      </c>
      <c r="S92" s="22" t="s">
        <v>91</v>
      </c>
      <c r="T92" s="27">
        <v>45627</v>
      </c>
      <c r="U92" s="27">
        <v>45634</v>
      </c>
      <c r="V92" s="22">
        <v>800</v>
      </c>
      <c r="AA92" s="22">
        <v>90</v>
      </c>
      <c r="AB92" s="22" t="s">
        <v>104</v>
      </c>
      <c r="AC92" s="22">
        <v>1</v>
      </c>
    </row>
    <row r="93" spans="18:29" x14ac:dyDescent="0.25">
      <c r="AA93" s="22">
        <v>90</v>
      </c>
      <c r="AB93" s="22" t="s">
        <v>107</v>
      </c>
      <c r="AC93" s="22">
        <v>1</v>
      </c>
    </row>
    <row r="94" spans="18:29" x14ac:dyDescent="0.25">
      <c r="AA94" s="22">
        <v>91</v>
      </c>
      <c r="AB94" s="22" t="s">
        <v>108</v>
      </c>
      <c r="AC94" s="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4824-BFAD-4B1B-A242-FF660E971EC6}">
  <dimension ref="A2:N34"/>
  <sheetViews>
    <sheetView topLeftCell="A2" workbookViewId="0">
      <selection activeCell="A2" sqref="A2:A18"/>
    </sheetView>
  </sheetViews>
  <sheetFormatPr baseColWidth="10" defaultRowHeight="15" x14ac:dyDescent="0.25"/>
  <sheetData>
    <row r="2" spans="1:14" ht="15" customHeight="1" x14ac:dyDescent="0.25">
      <c r="A2" s="4" t="s">
        <v>114</v>
      </c>
      <c r="B2" s="4" t="s">
        <v>14</v>
      </c>
      <c r="C2" s="4" t="s">
        <v>48</v>
      </c>
      <c r="D2" s="4" t="s">
        <v>49</v>
      </c>
      <c r="E2" s="4" t="s">
        <v>50</v>
      </c>
      <c r="F2" s="4" t="s">
        <v>112</v>
      </c>
      <c r="I2" s="5" t="s">
        <v>114</v>
      </c>
      <c r="J2" s="5" t="s">
        <v>14</v>
      </c>
      <c r="K2" s="5" t="s">
        <v>0</v>
      </c>
    </row>
    <row r="3" spans="1:14" ht="15" customHeight="1" x14ac:dyDescent="0.25">
      <c r="A3">
        <v>1</v>
      </c>
      <c r="B3" t="s">
        <v>137</v>
      </c>
      <c r="C3" t="s">
        <v>39</v>
      </c>
      <c r="D3">
        <v>11</v>
      </c>
      <c r="E3">
        <v>8.1999999999999993</v>
      </c>
      <c r="F3">
        <v>55525512</v>
      </c>
      <c r="I3" s="6">
        <v>1</v>
      </c>
      <c r="J3" s="6" t="s">
        <v>43</v>
      </c>
      <c r="K3" s="6">
        <v>12345672</v>
      </c>
      <c r="N3" s="2">
        <v>12345672</v>
      </c>
    </row>
    <row r="4" spans="1:14" ht="15" customHeight="1" x14ac:dyDescent="0.25">
      <c r="A4">
        <v>2</v>
      </c>
      <c r="B4" t="s">
        <v>138</v>
      </c>
      <c r="C4" t="s">
        <v>39</v>
      </c>
      <c r="D4">
        <v>12</v>
      </c>
      <c r="E4">
        <v>5.2</v>
      </c>
      <c r="F4">
        <v>30240527</v>
      </c>
      <c r="I4" s="6">
        <v>2</v>
      </c>
      <c r="J4" s="6" t="s">
        <v>44</v>
      </c>
      <c r="K4" s="6">
        <v>51953448</v>
      </c>
      <c r="N4" s="3">
        <v>51953448</v>
      </c>
    </row>
    <row r="5" spans="1:14" ht="15" customHeight="1" x14ac:dyDescent="0.25">
      <c r="A5">
        <v>3</v>
      </c>
      <c r="B5" t="s">
        <v>46</v>
      </c>
      <c r="C5" t="s">
        <v>41</v>
      </c>
      <c r="D5">
        <v>5</v>
      </c>
      <c r="E5">
        <v>8</v>
      </c>
      <c r="F5">
        <v>30240527</v>
      </c>
      <c r="I5" s="6">
        <v>3</v>
      </c>
      <c r="J5" s="6" t="s">
        <v>45</v>
      </c>
      <c r="K5" s="6">
        <v>14406662</v>
      </c>
      <c r="N5" s="2">
        <v>14406662</v>
      </c>
    </row>
    <row r="6" spans="1:14" ht="15" customHeight="1" x14ac:dyDescent="0.25">
      <c r="A6">
        <v>4</v>
      </c>
      <c r="B6" t="s">
        <v>43</v>
      </c>
      <c r="C6" t="s">
        <v>38</v>
      </c>
      <c r="D6">
        <v>2</v>
      </c>
      <c r="E6">
        <v>4.5</v>
      </c>
      <c r="F6">
        <v>14406662</v>
      </c>
      <c r="I6" s="6">
        <v>4</v>
      </c>
      <c r="J6" s="6" t="s">
        <v>46</v>
      </c>
      <c r="K6" s="6">
        <v>35569956</v>
      </c>
      <c r="N6" s="3">
        <v>35569956</v>
      </c>
    </row>
    <row r="7" spans="1:14" ht="15" customHeight="1" x14ac:dyDescent="0.25">
      <c r="A7">
        <v>5</v>
      </c>
      <c r="B7" t="s">
        <v>63</v>
      </c>
      <c r="C7" t="s">
        <v>81</v>
      </c>
      <c r="D7">
        <v>3</v>
      </c>
      <c r="E7">
        <v>4.5999999999999996</v>
      </c>
      <c r="F7">
        <v>53468374</v>
      </c>
      <c r="I7" s="6">
        <v>5</v>
      </c>
      <c r="J7" s="6" t="s">
        <v>47</v>
      </c>
      <c r="K7" s="6">
        <v>30240527</v>
      </c>
      <c r="N7" s="2">
        <v>30240527</v>
      </c>
    </row>
    <row r="8" spans="1:14" ht="15" customHeight="1" x14ac:dyDescent="0.25">
      <c r="A8">
        <v>6</v>
      </c>
      <c r="B8" t="s">
        <v>66</v>
      </c>
      <c r="C8" t="s">
        <v>41</v>
      </c>
      <c r="D8">
        <v>3</v>
      </c>
      <c r="E8">
        <v>6.1</v>
      </c>
      <c r="F8">
        <v>35569956</v>
      </c>
      <c r="I8" s="6">
        <v>6</v>
      </c>
      <c r="J8" s="6" t="s">
        <v>51</v>
      </c>
      <c r="K8" s="6">
        <v>53468374</v>
      </c>
      <c r="N8" s="3">
        <v>53468374</v>
      </c>
    </row>
    <row r="9" spans="1:14" ht="15" customHeight="1" x14ac:dyDescent="0.25">
      <c r="A9">
        <v>7</v>
      </c>
      <c r="B9" t="s">
        <v>69</v>
      </c>
      <c r="C9" t="s">
        <v>85</v>
      </c>
      <c r="D9">
        <v>3</v>
      </c>
      <c r="E9">
        <v>4.9000000000000004</v>
      </c>
      <c r="F9">
        <v>56779790</v>
      </c>
      <c r="I9" s="6">
        <v>7</v>
      </c>
      <c r="J9" s="6" t="s">
        <v>52</v>
      </c>
      <c r="K9" s="6">
        <v>56779790</v>
      </c>
      <c r="N9" s="2">
        <v>56779790</v>
      </c>
    </row>
    <row r="10" spans="1:14" ht="15" customHeight="1" x14ac:dyDescent="0.25">
      <c r="A10">
        <v>8</v>
      </c>
      <c r="B10" t="s">
        <v>51</v>
      </c>
      <c r="C10" t="s">
        <v>38</v>
      </c>
      <c r="D10">
        <v>2</v>
      </c>
      <c r="E10">
        <v>4.2</v>
      </c>
      <c r="F10">
        <v>30240527</v>
      </c>
      <c r="I10" s="6">
        <v>8</v>
      </c>
      <c r="J10" s="6" t="s">
        <v>53</v>
      </c>
      <c r="K10" s="6">
        <v>68047090</v>
      </c>
      <c r="N10" s="3">
        <v>68047090</v>
      </c>
    </row>
    <row r="11" spans="1:14" ht="15" customHeight="1" x14ac:dyDescent="0.25">
      <c r="A11">
        <v>9</v>
      </c>
      <c r="B11" t="s">
        <v>65</v>
      </c>
      <c r="C11" t="s">
        <v>83</v>
      </c>
      <c r="D11">
        <v>4</v>
      </c>
      <c r="E11">
        <v>5.3</v>
      </c>
      <c r="F11">
        <v>68047090</v>
      </c>
      <c r="I11" s="6">
        <v>9</v>
      </c>
      <c r="J11" s="6" t="s">
        <v>54</v>
      </c>
      <c r="K11" s="6">
        <v>55525512</v>
      </c>
      <c r="N11" s="2">
        <v>55525512</v>
      </c>
    </row>
    <row r="12" spans="1:14" ht="15" customHeight="1" x14ac:dyDescent="0.25">
      <c r="A12">
        <v>10</v>
      </c>
      <c r="B12" t="s">
        <v>71</v>
      </c>
      <c r="C12" t="s">
        <v>87</v>
      </c>
      <c r="D12">
        <v>2</v>
      </c>
      <c r="E12">
        <v>5.8</v>
      </c>
      <c r="F12">
        <v>53468374</v>
      </c>
      <c r="I12" s="6">
        <v>10</v>
      </c>
      <c r="J12" s="6" t="s">
        <v>55</v>
      </c>
      <c r="K12" s="6">
        <v>75984413</v>
      </c>
      <c r="N12" s="3">
        <v>75984413</v>
      </c>
    </row>
    <row r="13" spans="1:14" ht="15" customHeight="1" x14ac:dyDescent="0.25">
      <c r="A13">
        <v>11</v>
      </c>
      <c r="B13" t="s">
        <v>55</v>
      </c>
      <c r="C13" t="s">
        <v>75</v>
      </c>
      <c r="D13">
        <v>2</v>
      </c>
      <c r="E13">
        <v>4</v>
      </c>
      <c r="F13">
        <v>55525512</v>
      </c>
      <c r="I13" s="6">
        <v>11</v>
      </c>
      <c r="J13" s="6" t="s">
        <v>56</v>
      </c>
      <c r="K13" s="6">
        <v>60150754</v>
      </c>
      <c r="N13" s="2">
        <v>60150754</v>
      </c>
    </row>
    <row r="14" spans="1:14" ht="15" customHeight="1" x14ac:dyDescent="0.25">
      <c r="A14">
        <v>12</v>
      </c>
      <c r="B14" t="s">
        <v>52</v>
      </c>
      <c r="C14" t="s">
        <v>39</v>
      </c>
      <c r="D14">
        <v>4</v>
      </c>
      <c r="E14">
        <v>5.8</v>
      </c>
      <c r="F14">
        <v>56779790</v>
      </c>
      <c r="I14" s="6">
        <v>12</v>
      </c>
      <c r="J14" s="6" t="s">
        <v>57</v>
      </c>
      <c r="K14" s="6">
        <v>15450103</v>
      </c>
      <c r="N14" s="3">
        <v>15450103</v>
      </c>
    </row>
    <row r="15" spans="1:14" ht="15" customHeight="1" x14ac:dyDescent="0.25">
      <c r="A15">
        <v>13</v>
      </c>
      <c r="B15" t="s">
        <v>45</v>
      </c>
      <c r="C15" t="s">
        <v>77</v>
      </c>
      <c r="D15">
        <v>3</v>
      </c>
      <c r="E15">
        <v>5.7</v>
      </c>
      <c r="F15">
        <v>60150754</v>
      </c>
      <c r="I15" s="6">
        <v>13</v>
      </c>
      <c r="J15" s="6" t="s">
        <v>58</v>
      </c>
      <c r="K15" s="6">
        <v>12345672</v>
      </c>
    </row>
    <row r="16" spans="1:14" ht="15" customHeight="1" x14ac:dyDescent="0.25">
      <c r="A16">
        <v>14</v>
      </c>
      <c r="B16" t="s">
        <v>62</v>
      </c>
      <c r="C16" t="s">
        <v>80</v>
      </c>
      <c r="D16">
        <v>5</v>
      </c>
      <c r="E16">
        <v>7</v>
      </c>
      <c r="F16">
        <v>68047090</v>
      </c>
      <c r="I16" s="6">
        <v>14</v>
      </c>
      <c r="J16" s="6" t="s">
        <v>47</v>
      </c>
      <c r="K16" s="6">
        <v>51953448</v>
      </c>
    </row>
    <row r="17" spans="1:11" ht="15" customHeight="1" x14ac:dyDescent="0.25">
      <c r="A17">
        <v>15</v>
      </c>
      <c r="B17" t="s">
        <v>115</v>
      </c>
      <c r="C17" t="s">
        <v>40</v>
      </c>
      <c r="D17">
        <v>1</v>
      </c>
      <c r="E17">
        <v>6.8</v>
      </c>
      <c r="F17">
        <v>75984413</v>
      </c>
      <c r="I17" s="6">
        <v>15</v>
      </c>
      <c r="J17" s="6" t="s">
        <v>45</v>
      </c>
      <c r="K17" s="6">
        <v>14406662</v>
      </c>
    </row>
    <row r="18" spans="1:11" ht="15" customHeight="1" x14ac:dyDescent="0.25">
      <c r="A18">
        <v>16</v>
      </c>
      <c r="B18" t="s">
        <v>44</v>
      </c>
      <c r="C18" t="s">
        <v>39</v>
      </c>
      <c r="D18">
        <v>3</v>
      </c>
      <c r="E18">
        <v>5.2</v>
      </c>
      <c r="F18">
        <v>55525512</v>
      </c>
      <c r="I18" s="6">
        <v>16</v>
      </c>
      <c r="J18" s="6" t="s">
        <v>59</v>
      </c>
      <c r="K18" s="6">
        <v>35569956</v>
      </c>
    </row>
    <row r="19" spans="1:11" ht="15" customHeight="1" x14ac:dyDescent="0.25">
      <c r="A19">
        <v>17</v>
      </c>
      <c r="B19" t="s">
        <v>60</v>
      </c>
      <c r="C19" t="s">
        <v>41</v>
      </c>
      <c r="D19">
        <v>2</v>
      </c>
      <c r="E19">
        <v>5.9</v>
      </c>
      <c r="F19">
        <v>15450103</v>
      </c>
      <c r="I19" s="6">
        <v>17</v>
      </c>
      <c r="J19" s="6" t="s">
        <v>60</v>
      </c>
      <c r="K19" s="6">
        <v>30240527</v>
      </c>
    </row>
    <row r="20" spans="1:11" ht="15" customHeight="1" x14ac:dyDescent="0.25">
      <c r="A20">
        <v>18</v>
      </c>
      <c r="B20" t="s">
        <v>68</v>
      </c>
      <c r="C20" t="s">
        <v>84</v>
      </c>
      <c r="D20">
        <v>2</v>
      </c>
      <c r="E20">
        <v>4.0999999999999996</v>
      </c>
      <c r="F20">
        <v>75984413</v>
      </c>
      <c r="I20" s="6">
        <v>18</v>
      </c>
      <c r="J20" s="6" t="s">
        <v>61</v>
      </c>
      <c r="K20" s="6">
        <v>53468374</v>
      </c>
    </row>
    <row r="21" spans="1:11" ht="15" customHeight="1" x14ac:dyDescent="0.25">
      <c r="A21">
        <v>19</v>
      </c>
      <c r="B21" t="s">
        <v>64</v>
      </c>
      <c r="C21" t="s">
        <v>82</v>
      </c>
      <c r="D21">
        <v>2</v>
      </c>
      <c r="E21">
        <v>4.7</v>
      </c>
      <c r="F21">
        <v>12345672</v>
      </c>
      <c r="I21" s="6">
        <v>19</v>
      </c>
      <c r="J21" s="6" t="s">
        <v>62</v>
      </c>
      <c r="K21" s="6">
        <v>56779790</v>
      </c>
    </row>
    <row r="22" spans="1:11" ht="15" customHeight="1" x14ac:dyDescent="0.25">
      <c r="A22">
        <v>20</v>
      </c>
      <c r="B22" t="s">
        <v>67</v>
      </c>
      <c r="C22" t="s">
        <v>38</v>
      </c>
      <c r="D22">
        <v>5</v>
      </c>
      <c r="E22">
        <v>7.5</v>
      </c>
      <c r="F22">
        <v>60150754</v>
      </c>
      <c r="I22" s="6">
        <v>20</v>
      </c>
      <c r="J22" s="6" t="s">
        <v>63</v>
      </c>
      <c r="K22" s="6">
        <v>68047090</v>
      </c>
    </row>
    <row r="23" spans="1:11" ht="15" customHeight="1" x14ac:dyDescent="0.25">
      <c r="A23">
        <v>21</v>
      </c>
      <c r="B23" t="s">
        <v>56</v>
      </c>
      <c r="C23" t="s">
        <v>40</v>
      </c>
      <c r="D23">
        <v>1</v>
      </c>
      <c r="E23">
        <v>7.2</v>
      </c>
      <c r="F23">
        <v>51953448</v>
      </c>
      <c r="I23" s="6">
        <v>21</v>
      </c>
      <c r="J23" s="6" t="s">
        <v>64</v>
      </c>
      <c r="K23" s="6">
        <v>55525512</v>
      </c>
    </row>
    <row r="24" spans="1:11" ht="15" customHeight="1" x14ac:dyDescent="0.25">
      <c r="A24">
        <v>22</v>
      </c>
      <c r="B24" t="s">
        <v>58</v>
      </c>
      <c r="C24" t="s">
        <v>76</v>
      </c>
      <c r="D24">
        <v>4</v>
      </c>
      <c r="E24">
        <v>5.5</v>
      </c>
      <c r="F24">
        <v>15450103</v>
      </c>
      <c r="I24" s="6">
        <v>22</v>
      </c>
      <c r="J24" s="6" t="s">
        <v>65</v>
      </c>
      <c r="K24" s="6">
        <v>75984413</v>
      </c>
    </row>
    <row r="25" spans="1:11" ht="15" customHeight="1" x14ac:dyDescent="0.25">
      <c r="A25">
        <v>23</v>
      </c>
      <c r="B25" t="s">
        <v>72</v>
      </c>
      <c r="C25" t="s">
        <v>76</v>
      </c>
      <c r="D25">
        <v>3</v>
      </c>
      <c r="E25">
        <v>6.2</v>
      </c>
      <c r="F25">
        <v>12345672</v>
      </c>
      <c r="I25" s="6">
        <v>23</v>
      </c>
      <c r="J25" s="6" t="s">
        <v>66</v>
      </c>
      <c r="K25" s="6">
        <v>60150754</v>
      </c>
    </row>
    <row r="26" spans="1:11" ht="15" customHeight="1" x14ac:dyDescent="0.25">
      <c r="A26">
        <v>24</v>
      </c>
      <c r="B26" t="s">
        <v>47</v>
      </c>
      <c r="C26" t="s">
        <v>42</v>
      </c>
      <c r="D26">
        <v>2</v>
      </c>
      <c r="E26">
        <v>6</v>
      </c>
      <c r="F26">
        <v>14406662</v>
      </c>
      <c r="I26" s="6">
        <v>24</v>
      </c>
      <c r="J26" s="6" t="s">
        <v>67</v>
      </c>
      <c r="K26" s="6">
        <v>15450103</v>
      </c>
    </row>
    <row r="27" spans="1:11" ht="15" customHeight="1" x14ac:dyDescent="0.25">
      <c r="A27">
        <v>25</v>
      </c>
      <c r="B27" t="s">
        <v>116</v>
      </c>
      <c r="C27" t="s">
        <v>42</v>
      </c>
      <c r="D27">
        <v>4</v>
      </c>
      <c r="E27">
        <v>7.1</v>
      </c>
      <c r="F27">
        <v>51953448</v>
      </c>
      <c r="I27" s="6">
        <v>25</v>
      </c>
      <c r="J27" s="6" t="s">
        <v>68</v>
      </c>
      <c r="K27" s="6">
        <v>12345672</v>
      </c>
    </row>
    <row r="28" spans="1:11" ht="15" customHeight="1" x14ac:dyDescent="0.25">
      <c r="A28">
        <v>26</v>
      </c>
      <c r="B28" t="s">
        <v>59</v>
      </c>
      <c r="C28" t="s">
        <v>78</v>
      </c>
      <c r="D28">
        <v>4</v>
      </c>
      <c r="E28">
        <v>4.8</v>
      </c>
      <c r="F28">
        <v>35569956</v>
      </c>
      <c r="I28" s="6">
        <v>26</v>
      </c>
      <c r="J28" s="6" t="s">
        <v>69</v>
      </c>
      <c r="K28" s="6">
        <v>51953448</v>
      </c>
    </row>
    <row r="29" spans="1:11" ht="15" customHeight="1" x14ac:dyDescent="0.25">
      <c r="A29">
        <v>27</v>
      </c>
      <c r="B29" t="s">
        <v>70</v>
      </c>
      <c r="C29" t="s">
        <v>86</v>
      </c>
      <c r="D29">
        <v>4</v>
      </c>
      <c r="E29">
        <v>5.4</v>
      </c>
      <c r="F29">
        <v>30240527</v>
      </c>
      <c r="I29" s="6">
        <v>27</v>
      </c>
      <c r="J29" s="6" t="s">
        <v>70</v>
      </c>
      <c r="K29" s="6">
        <v>14406662</v>
      </c>
    </row>
    <row r="30" spans="1:11" ht="15" customHeight="1" x14ac:dyDescent="0.25">
      <c r="A30">
        <v>28</v>
      </c>
      <c r="B30" t="s">
        <v>73</v>
      </c>
      <c r="C30" t="s">
        <v>77</v>
      </c>
      <c r="D30">
        <v>1</v>
      </c>
      <c r="E30">
        <v>4.5</v>
      </c>
      <c r="F30">
        <v>53468374</v>
      </c>
      <c r="I30" s="6">
        <v>28</v>
      </c>
      <c r="J30" s="6" t="s">
        <v>71</v>
      </c>
      <c r="K30" s="6">
        <v>35569956</v>
      </c>
    </row>
    <row r="31" spans="1:11" ht="15" customHeight="1" x14ac:dyDescent="0.25">
      <c r="A31">
        <v>29</v>
      </c>
      <c r="B31" t="s">
        <v>61</v>
      </c>
      <c r="C31" t="s">
        <v>79</v>
      </c>
      <c r="D31">
        <v>1</v>
      </c>
      <c r="E31">
        <v>4.4000000000000004</v>
      </c>
      <c r="F31">
        <v>12345672</v>
      </c>
      <c r="I31" s="6">
        <v>29</v>
      </c>
      <c r="J31" s="6" t="s">
        <v>72</v>
      </c>
      <c r="K31" s="6">
        <v>30240527</v>
      </c>
    </row>
    <row r="32" spans="1:11" ht="15" customHeight="1" x14ac:dyDescent="0.25">
      <c r="A32">
        <v>30</v>
      </c>
      <c r="B32" t="s">
        <v>54</v>
      </c>
      <c r="C32" t="s">
        <v>74</v>
      </c>
      <c r="D32">
        <v>5</v>
      </c>
      <c r="E32">
        <v>6.9</v>
      </c>
      <c r="F32">
        <v>51953448</v>
      </c>
      <c r="I32" s="6">
        <v>30</v>
      </c>
      <c r="J32" s="6" t="s">
        <v>73</v>
      </c>
      <c r="K32" s="6">
        <v>53468374</v>
      </c>
    </row>
    <row r="33" spans="1:6" x14ac:dyDescent="0.25">
      <c r="A33">
        <v>31</v>
      </c>
      <c r="B33" t="s">
        <v>57</v>
      </c>
      <c r="C33" t="s">
        <v>38</v>
      </c>
      <c r="D33">
        <v>3</v>
      </c>
      <c r="E33">
        <v>4.3</v>
      </c>
      <c r="F33">
        <v>14406662</v>
      </c>
    </row>
    <row r="34" spans="1:6" x14ac:dyDescent="0.25">
      <c r="A34">
        <v>32</v>
      </c>
      <c r="B34" t="s">
        <v>53</v>
      </c>
      <c r="C34" t="s">
        <v>42</v>
      </c>
      <c r="D34">
        <v>3</v>
      </c>
      <c r="E34">
        <v>6.5</v>
      </c>
      <c r="F34">
        <v>35569956</v>
      </c>
    </row>
  </sheetData>
  <conditionalFormatting sqref="N3:N1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6F03-C78F-4BEE-A57E-20E41723B5D8}">
  <dimension ref="A2:G25"/>
  <sheetViews>
    <sheetView topLeftCell="A2" workbookViewId="0">
      <selection activeCell="A2" sqref="A2:A11"/>
    </sheetView>
  </sheetViews>
  <sheetFormatPr baseColWidth="10" defaultRowHeight="15" x14ac:dyDescent="0.25"/>
  <cols>
    <col min="1" max="1" width="12.5703125" bestFit="1" customWidth="1"/>
    <col min="2" max="2" width="12.5703125" customWidth="1"/>
    <col min="3" max="3" width="8.5703125" customWidth="1"/>
  </cols>
  <sheetData>
    <row r="2" spans="1:7" x14ac:dyDescent="0.25">
      <c r="A2" t="s">
        <v>14</v>
      </c>
      <c r="B2" t="s">
        <v>100</v>
      </c>
      <c r="C2" t="s">
        <v>101</v>
      </c>
      <c r="D2" t="s">
        <v>102</v>
      </c>
      <c r="E2" t="s">
        <v>122</v>
      </c>
    </row>
    <row r="3" spans="1:7" x14ac:dyDescent="0.25">
      <c r="A3" t="s">
        <v>93</v>
      </c>
      <c r="B3">
        <v>1</v>
      </c>
      <c r="C3">
        <v>120</v>
      </c>
      <c r="D3" t="s">
        <v>97</v>
      </c>
      <c r="E3">
        <v>5</v>
      </c>
      <c r="G3" t="str">
        <f>+TRIM(Habitaciones[[#This Row],[Nombre]])</f>
        <v>El Solarium</v>
      </c>
    </row>
    <row r="4" spans="1:7" x14ac:dyDescent="0.25">
      <c r="A4" t="s">
        <v>89</v>
      </c>
      <c r="B4">
        <v>2</v>
      </c>
      <c r="C4">
        <v>100</v>
      </c>
      <c r="D4" t="s">
        <v>98</v>
      </c>
      <c r="E4">
        <v>6</v>
      </c>
      <c r="G4" t="str">
        <f>+TRIM(Habitaciones[[#This Row],[Nombre]])</f>
        <v>La Almohada</v>
      </c>
    </row>
    <row r="5" spans="1:7" x14ac:dyDescent="0.25">
      <c r="A5" t="s">
        <v>91</v>
      </c>
      <c r="B5">
        <v>2</v>
      </c>
      <c r="C5">
        <v>100</v>
      </c>
      <c r="D5" t="s">
        <v>97</v>
      </c>
      <c r="E5">
        <v>8</v>
      </c>
      <c r="G5" t="str">
        <f>+TRIM(Habitaciones[[#This Row],[Nombre]])</f>
        <v>La Cueva</v>
      </c>
    </row>
    <row r="6" spans="1:7" x14ac:dyDescent="0.25">
      <c r="A6" t="s">
        <v>88</v>
      </c>
      <c r="B6">
        <v>3</v>
      </c>
      <c r="C6">
        <v>80</v>
      </c>
      <c r="D6" t="s">
        <v>97</v>
      </c>
      <c r="E6">
        <v>4</v>
      </c>
      <c r="G6" t="str">
        <f>+TRIM(Habitaciones[[#This Row],[Nombre]])</f>
        <v>El Rascador</v>
      </c>
    </row>
    <row r="7" spans="1:7" x14ac:dyDescent="0.25">
      <c r="A7" t="s">
        <v>90</v>
      </c>
      <c r="B7">
        <v>4</v>
      </c>
      <c r="C7">
        <v>70</v>
      </c>
      <c r="D7" t="s">
        <v>99</v>
      </c>
      <c r="E7">
        <v>3</v>
      </c>
      <c r="G7" t="str">
        <f>+TRIM(Habitaciones[[#This Row],[Nombre]])</f>
        <v>El Mirador</v>
      </c>
    </row>
    <row r="8" spans="1:7" x14ac:dyDescent="0.25">
      <c r="A8" t="s">
        <v>96</v>
      </c>
      <c r="B8">
        <v>4</v>
      </c>
      <c r="C8">
        <v>70</v>
      </c>
      <c r="D8" t="s">
        <v>97</v>
      </c>
      <c r="E8">
        <v>7</v>
      </c>
      <c r="G8" t="str">
        <f>+TRIM(Habitaciones[[#This Row],[Nombre]])</f>
        <v>La Caja</v>
      </c>
    </row>
    <row r="9" spans="1:7" x14ac:dyDescent="0.25">
      <c r="A9" t="s">
        <v>94</v>
      </c>
      <c r="B9">
        <v>5</v>
      </c>
      <c r="C9">
        <v>50</v>
      </c>
      <c r="D9" t="s">
        <v>97</v>
      </c>
      <c r="E9">
        <v>1</v>
      </c>
      <c r="G9" t="str">
        <f>+TRIM(Habitaciones[[#This Row],[Nombre]])</f>
        <v>El Árbol</v>
      </c>
    </row>
    <row r="10" spans="1:7" x14ac:dyDescent="0.25">
      <c r="A10" t="s">
        <v>92</v>
      </c>
      <c r="B10">
        <v>6</v>
      </c>
      <c r="C10">
        <v>40</v>
      </c>
      <c r="D10" t="s">
        <v>97</v>
      </c>
      <c r="E10">
        <v>2</v>
      </c>
      <c r="G10" t="str">
        <f>+TRIM(Habitaciones[[#This Row],[Nombre]])</f>
        <v>El Jardín</v>
      </c>
    </row>
    <row r="11" spans="1:7" x14ac:dyDescent="0.25">
      <c r="A11" t="s">
        <v>95</v>
      </c>
      <c r="B11">
        <v>7</v>
      </c>
      <c r="C11">
        <v>30</v>
      </c>
      <c r="D11" t="s">
        <v>98</v>
      </c>
      <c r="E11">
        <v>9</v>
      </c>
      <c r="G11" t="str">
        <f>+TRIM(Habitaciones[[#This Row],[Nombre]])</f>
        <v>La Estantería</v>
      </c>
    </row>
    <row r="17" spans="1:4" x14ac:dyDescent="0.25">
      <c r="A17" t="s">
        <v>139</v>
      </c>
      <c r="B17">
        <v>5</v>
      </c>
      <c r="C17">
        <v>50</v>
      </c>
      <c r="D17" t="s">
        <v>97</v>
      </c>
    </row>
    <row r="18" spans="1:4" x14ac:dyDescent="0.25">
      <c r="A18" t="s">
        <v>140</v>
      </c>
      <c r="B18">
        <v>6</v>
      </c>
      <c r="C18">
        <v>40</v>
      </c>
      <c r="D18" t="s">
        <v>97</v>
      </c>
    </row>
    <row r="19" spans="1:4" x14ac:dyDescent="0.25">
      <c r="A19" t="s">
        <v>141</v>
      </c>
      <c r="B19">
        <v>4</v>
      </c>
      <c r="C19">
        <v>70</v>
      </c>
      <c r="D19" t="s">
        <v>99</v>
      </c>
    </row>
    <row r="20" spans="1:4" x14ac:dyDescent="0.25">
      <c r="A20" t="s">
        <v>142</v>
      </c>
      <c r="B20">
        <v>3</v>
      </c>
      <c r="C20">
        <v>80</v>
      </c>
      <c r="D20" t="s">
        <v>97</v>
      </c>
    </row>
    <row r="21" spans="1:4" x14ac:dyDescent="0.25">
      <c r="A21" t="s">
        <v>143</v>
      </c>
      <c r="B21">
        <v>1</v>
      </c>
      <c r="C21">
        <v>120</v>
      </c>
      <c r="D21" t="s">
        <v>97</v>
      </c>
    </row>
    <row r="22" spans="1:4" x14ac:dyDescent="0.25">
      <c r="A22" t="s">
        <v>144</v>
      </c>
      <c r="B22">
        <v>2</v>
      </c>
      <c r="C22">
        <v>100</v>
      </c>
      <c r="D22" t="s">
        <v>98</v>
      </c>
    </row>
    <row r="23" spans="1:4" x14ac:dyDescent="0.25">
      <c r="A23" t="s">
        <v>145</v>
      </c>
      <c r="B23">
        <v>4</v>
      </c>
      <c r="C23">
        <v>70</v>
      </c>
      <c r="D23" t="s">
        <v>97</v>
      </c>
    </row>
    <row r="24" spans="1:4" x14ac:dyDescent="0.25">
      <c r="A24" t="s">
        <v>146</v>
      </c>
      <c r="B24">
        <v>2</v>
      </c>
      <c r="C24">
        <v>100</v>
      </c>
      <c r="D24" t="s">
        <v>97</v>
      </c>
    </row>
    <row r="25" spans="1:4" x14ac:dyDescent="0.25">
      <c r="A25" t="s">
        <v>147</v>
      </c>
      <c r="B25">
        <v>7</v>
      </c>
      <c r="C25">
        <v>30</v>
      </c>
      <c r="D25" t="s">
        <v>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A1E4-174F-40AE-A6C6-60B97B98EED8}">
  <dimension ref="A1:C8"/>
  <sheetViews>
    <sheetView workbookViewId="0">
      <selection activeCell="A2" sqref="A2:A8"/>
    </sheetView>
  </sheetViews>
  <sheetFormatPr baseColWidth="10" defaultRowHeight="15" x14ac:dyDescent="0.25"/>
  <cols>
    <col min="1" max="1" width="23.28515625" bestFit="1" customWidth="1"/>
    <col min="2" max="2" width="8.85546875" customWidth="1"/>
  </cols>
  <sheetData>
    <row r="1" spans="1:3" x14ac:dyDescent="0.25">
      <c r="A1" t="s">
        <v>110</v>
      </c>
      <c r="B1" t="s">
        <v>111</v>
      </c>
      <c r="C1" t="s">
        <v>113</v>
      </c>
    </row>
    <row r="2" spans="1:3" x14ac:dyDescent="0.25">
      <c r="A2" t="s">
        <v>108</v>
      </c>
      <c r="B2">
        <v>25</v>
      </c>
      <c r="C2">
        <v>1</v>
      </c>
    </row>
    <row r="3" spans="1:3" x14ac:dyDescent="0.25">
      <c r="A3" t="s">
        <v>106</v>
      </c>
      <c r="B3">
        <v>20</v>
      </c>
      <c r="C3">
        <f>+C2+1</f>
        <v>2</v>
      </c>
    </row>
    <row r="4" spans="1:3" x14ac:dyDescent="0.25">
      <c r="A4" t="s">
        <v>103</v>
      </c>
      <c r="B4">
        <v>35</v>
      </c>
      <c r="C4">
        <f t="shared" ref="C4:C8" si="0">+C3+1</f>
        <v>3</v>
      </c>
    </row>
    <row r="5" spans="1:3" x14ac:dyDescent="0.25">
      <c r="A5" t="s">
        <v>107</v>
      </c>
      <c r="B5">
        <v>15</v>
      </c>
      <c r="C5">
        <f t="shared" si="0"/>
        <v>4</v>
      </c>
    </row>
    <row r="6" spans="1:3" x14ac:dyDescent="0.25">
      <c r="A6" t="s">
        <v>109</v>
      </c>
      <c r="B6">
        <v>10</v>
      </c>
      <c r="C6">
        <f t="shared" si="0"/>
        <v>5</v>
      </c>
    </row>
    <row r="7" spans="1:3" x14ac:dyDescent="0.25">
      <c r="A7" t="s">
        <v>105</v>
      </c>
      <c r="B7">
        <v>30</v>
      </c>
      <c r="C7">
        <f t="shared" si="0"/>
        <v>6</v>
      </c>
    </row>
    <row r="8" spans="1:3" x14ac:dyDescent="0.25">
      <c r="A8" t="s">
        <v>104</v>
      </c>
      <c r="B8">
        <v>50</v>
      </c>
      <c r="C8">
        <f t="shared" si="0"/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D704-2958-4FC7-AA15-89D33F13C8C1}">
  <dimension ref="A2:Y100"/>
  <sheetViews>
    <sheetView topLeftCell="M74" workbookViewId="0">
      <selection activeCell="Y3" sqref="Y3:Y93"/>
    </sheetView>
  </sheetViews>
  <sheetFormatPr baseColWidth="10" defaultRowHeight="15" x14ac:dyDescent="0.25"/>
  <cols>
    <col min="1" max="1" width="12.5703125" bestFit="1" customWidth="1"/>
    <col min="2" max="2" width="9.140625" bestFit="1" customWidth="1"/>
    <col min="3" max="3" width="20.5703125" style="7" customWidth="1"/>
    <col min="4" max="4" width="20.85546875" bestFit="1" customWidth="1"/>
    <col min="5" max="5" width="18.5703125" bestFit="1" customWidth="1"/>
    <col min="6" max="6" width="16.140625" bestFit="1" customWidth="1"/>
    <col min="7" max="7" width="12.42578125" bestFit="1" customWidth="1"/>
    <col min="8" max="8" width="12.28515625" bestFit="1" customWidth="1"/>
    <col min="9" max="9" width="9.42578125" bestFit="1" customWidth="1"/>
    <col min="11" max="11" width="9.42578125" bestFit="1" customWidth="1"/>
  </cols>
  <sheetData>
    <row r="2" spans="1:25" x14ac:dyDescent="0.25">
      <c r="A2" t="s">
        <v>123</v>
      </c>
      <c r="B2" t="s">
        <v>117</v>
      </c>
      <c r="C2" t="s">
        <v>118</v>
      </c>
      <c r="D2" s="7" t="s">
        <v>119</v>
      </c>
      <c r="E2" t="s">
        <v>120</v>
      </c>
      <c r="F2" t="s">
        <v>121</v>
      </c>
      <c r="G2" t="s">
        <v>113</v>
      </c>
      <c r="I2" t="s">
        <v>126</v>
      </c>
    </row>
    <row r="3" spans="1:25" x14ac:dyDescent="0.25">
      <c r="A3">
        <v>1</v>
      </c>
      <c r="B3">
        <v>24</v>
      </c>
      <c r="C3" s="7" t="s">
        <v>96</v>
      </c>
      <c r="D3" s="7">
        <v>45114</v>
      </c>
      <c r="E3" s="7">
        <v>45125</v>
      </c>
      <c r="F3">
        <v>840</v>
      </c>
      <c r="G3" s="18">
        <f>+YEAR(Reservas[[#This Row],[ reservaFechaInicio]])</f>
        <v>2023</v>
      </c>
      <c r="I3" s="18">
        <f>+Reservas[[#This Row],[ reservaFechaFin]]-Reservas[[#This Row],[ reservaFechaInicio]]+1</f>
        <v>12</v>
      </c>
      <c r="J3" s="8">
        <f>+_xlfn.XLOOKUP(Reservas[[#This Row],[ habitacionNombre]],Habitaciones[Nombre],Habitaciones[Costo])</f>
        <v>70</v>
      </c>
      <c r="K3" s="19">
        <f>+Reservas[[#This Row],[ reservaMonto]]/I3</f>
        <v>70</v>
      </c>
      <c r="L3" s="20">
        <f t="shared" ref="L3:L36" si="0">+K3-J3</f>
        <v>0</v>
      </c>
      <c r="M3" t="str">
        <f>+TRIM(Reservas[[#This Row],[ habitacionNombre]])</f>
        <v>La Caja</v>
      </c>
      <c r="N3" t="s">
        <v>372</v>
      </c>
      <c r="O3">
        <f>+Reservas[[#This Row],[gatoID]]</f>
        <v>24</v>
      </c>
      <c r="P3" t="s">
        <v>374</v>
      </c>
      <c r="Q3" t="str">
        <f>+Reservas[[#This Row],[ habitacionNombre]]</f>
        <v>La Caja</v>
      </c>
      <c r="R3" s="21" t="s">
        <v>375</v>
      </c>
      <c r="S3" t="str">
        <f>+TEXT(Reservas[[#This Row],[ reservaFechaInicio]],"yyyy-mm-dd")</f>
        <v>2023-07-07</v>
      </c>
      <c r="T3" s="21" t="s">
        <v>375</v>
      </c>
      <c r="U3" t="str">
        <f>+TEXT(Reservas[[#This Row],[ reservaFechaFin]],"yyyy-mm-dd")</f>
        <v>2023-07-18</v>
      </c>
      <c r="V3" s="21" t="s">
        <v>376</v>
      </c>
      <c r="W3">
        <f>+Reservas[[#This Row],[ reservaMonto]]</f>
        <v>840</v>
      </c>
      <c r="X3" t="s">
        <v>373</v>
      </c>
      <c r="Y3" t="str">
        <f t="shared" ref="Y3:Y42" si="1">+N3&amp;O3&amp;P3&amp;Q3&amp;R3&amp;S3&amp;T3&amp;U3&amp;V3&amp;W3&amp;X3</f>
        <v>(24,'La Caja','2023-07-07','2023-07-18',840),</v>
      </c>
    </row>
    <row r="4" spans="1:25" x14ac:dyDescent="0.25">
      <c r="A4">
        <f>+A3+1</f>
        <v>2</v>
      </c>
      <c r="B4">
        <v>7</v>
      </c>
      <c r="C4" s="7" t="s">
        <v>88</v>
      </c>
      <c r="D4" s="7">
        <v>45125</v>
      </c>
      <c r="E4" s="7">
        <v>45136</v>
      </c>
      <c r="F4">
        <v>960</v>
      </c>
      <c r="G4" s="18">
        <f>+YEAR(Reservas[[#This Row],[ reservaFechaInicio]])</f>
        <v>2023</v>
      </c>
      <c r="I4" s="18">
        <f>+Reservas[[#This Row],[ reservaFechaFin]]-Reservas[[#This Row],[ reservaFechaInicio]]+1</f>
        <v>12</v>
      </c>
      <c r="J4" s="8">
        <f>+_xlfn.XLOOKUP(Reservas[[#This Row],[ habitacionNombre]],Habitaciones[Nombre],Habitaciones[Costo])</f>
        <v>80</v>
      </c>
      <c r="K4" s="19">
        <f>+Reservas[[#This Row],[ reservaMonto]]/I4</f>
        <v>80</v>
      </c>
      <c r="L4" s="20">
        <f t="shared" si="0"/>
        <v>0</v>
      </c>
      <c r="M4" t="str">
        <f>+TRIM(Reservas[[#This Row],[ habitacionNombre]])</f>
        <v>El Rascador</v>
      </c>
      <c r="N4" t="s">
        <v>372</v>
      </c>
      <c r="O4">
        <f>+Reservas[[#This Row],[gatoID]]</f>
        <v>7</v>
      </c>
      <c r="P4" t="s">
        <v>374</v>
      </c>
      <c r="Q4" t="str">
        <f>+Reservas[[#This Row],[ habitacionNombre]]</f>
        <v>El Rascador</v>
      </c>
      <c r="R4" s="21" t="s">
        <v>375</v>
      </c>
      <c r="S4" t="str">
        <f>+TEXT(Reservas[[#This Row],[ reservaFechaInicio]],"yyyy-mm-dd")</f>
        <v>2023-07-18</v>
      </c>
      <c r="T4" s="21" t="s">
        <v>375</v>
      </c>
      <c r="U4" t="str">
        <f>+TEXT(Reservas[[#This Row],[ reservaFechaFin]],"yyyy-mm-dd")</f>
        <v>2023-07-29</v>
      </c>
      <c r="V4" s="21" t="s">
        <v>376</v>
      </c>
      <c r="W4">
        <f>+Reservas[[#This Row],[ reservaMonto]]</f>
        <v>960</v>
      </c>
      <c r="X4" t="s">
        <v>373</v>
      </c>
      <c r="Y4" t="str">
        <f t="shared" si="1"/>
        <v>(7,'El Rascador','2023-07-18','2023-07-29',960),</v>
      </c>
    </row>
    <row r="5" spans="1:25" x14ac:dyDescent="0.25">
      <c r="A5">
        <f t="shared" ref="A5:A68" si="2">+A4+1</f>
        <v>3</v>
      </c>
      <c r="B5">
        <v>16</v>
      </c>
      <c r="C5" s="7" t="s">
        <v>93</v>
      </c>
      <c r="D5" s="7">
        <v>45160</v>
      </c>
      <c r="E5" s="7">
        <v>45166</v>
      </c>
      <c r="F5">
        <v>840</v>
      </c>
      <c r="G5" s="18">
        <f>+YEAR(Reservas[[#This Row],[ reservaFechaInicio]])</f>
        <v>2023</v>
      </c>
      <c r="I5" s="18">
        <f>+Reservas[[#This Row],[ reservaFechaFin]]-Reservas[[#This Row],[ reservaFechaInicio]]+1</f>
        <v>7</v>
      </c>
      <c r="J5" s="8">
        <f>+_xlfn.XLOOKUP(Reservas[[#This Row],[ habitacionNombre]],Habitaciones[Nombre],Habitaciones[Costo])</f>
        <v>120</v>
      </c>
      <c r="K5" s="19">
        <f>+Reservas[[#This Row],[ reservaMonto]]/I5</f>
        <v>120</v>
      </c>
      <c r="L5" s="20">
        <f t="shared" si="0"/>
        <v>0</v>
      </c>
      <c r="M5" t="str">
        <f>+TRIM(Reservas[[#This Row],[ habitacionNombre]])</f>
        <v>El Solarium</v>
      </c>
      <c r="N5" t="s">
        <v>372</v>
      </c>
      <c r="O5">
        <f>+Reservas[[#This Row],[gatoID]]</f>
        <v>16</v>
      </c>
      <c r="P5" t="s">
        <v>374</v>
      </c>
      <c r="Q5" t="str">
        <f>+Reservas[[#This Row],[ habitacionNombre]]</f>
        <v>El Solarium</v>
      </c>
      <c r="R5" s="21" t="s">
        <v>375</v>
      </c>
      <c r="S5" t="str">
        <f>+TEXT(Reservas[[#This Row],[ reservaFechaInicio]],"yyyy-mm-dd")</f>
        <v>2023-08-22</v>
      </c>
      <c r="T5" s="21" t="s">
        <v>375</v>
      </c>
      <c r="U5" t="str">
        <f>+TEXT(Reservas[[#This Row],[ reservaFechaFin]],"yyyy-mm-dd")</f>
        <v>2023-08-28</v>
      </c>
      <c r="V5" s="21" t="s">
        <v>376</v>
      </c>
      <c r="W5">
        <f>+Reservas[[#This Row],[ reservaMonto]]</f>
        <v>840</v>
      </c>
      <c r="X5" t="s">
        <v>373</v>
      </c>
      <c r="Y5" t="str">
        <f t="shared" si="1"/>
        <v>(16,'El Solarium','2023-08-22','2023-08-28',840),</v>
      </c>
    </row>
    <row r="6" spans="1:25" x14ac:dyDescent="0.25">
      <c r="A6">
        <f t="shared" si="2"/>
        <v>4</v>
      </c>
      <c r="B6">
        <v>23</v>
      </c>
      <c r="C6" s="7" t="s">
        <v>93</v>
      </c>
      <c r="D6" s="7">
        <v>45165</v>
      </c>
      <c r="E6" s="7">
        <v>45172</v>
      </c>
      <c r="F6">
        <v>960</v>
      </c>
      <c r="G6" s="18">
        <f>+YEAR(Reservas[[#This Row],[ reservaFechaInicio]])</f>
        <v>2023</v>
      </c>
      <c r="I6" s="18">
        <f>+Reservas[[#This Row],[ reservaFechaFin]]-Reservas[[#This Row],[ reservaFechaInicio]]+1</f>
        <v>8</v>
      </c>
      <c r="J6" s="8">
        <f>+_xlfn.XLOOKUP(Reservas[[#This Row],[ habitacionNombre]],Habitaciones[Nombre],Habitaciones[Costo])</f>
        <v>120</v>
      </c>
      <c r="K6" s="19">
        <f>+Reservas[[#This Row],[ reservaMonto]]/I6</f>
        <v>120</v>
      </c>
      <c r="L6" s="20">
        <f t="shared" si="0"/>
        <v>0</v>
      </c>
      <c r="M6" t="str">
        <f>+TRIM(Reservas[[#This Row],[ habitacionNombre]])</f>
        <v>El Solarium</v>
      </c>
      <c r="N6" t="s">
        <v>372</v>
      </c>
      <c r="O6">
        <f>+Reservas[[#This Row],[gatoID]]</f>
        <v>23</v>
      </c>
      <c r="P6" t="s">
        <v>374</v>
      </c>
      <c r="Q6" t="str">
        <f>+Reservas[[#This Row],[ habitacionNombre]]</f>
        <v>El Solarium</v>
      </c>
      <c r="R6" s="21" t="s">
        <v>375</v>
      </c>
      <c r="S6" t="str">
        <f>+TEXT(Reservas[[#This Row],[ reservaFechaInicio]],"yyyy-mm-dd")</f>
        <v>2023-08-27</v>
      </c>
      <c r="T6" s="21" t="s">
        <v>375</v>
      </c>
      <c r="U6" t="str">
        <f>+TEXT(Reservas[[#This Row],[ reservaFechaFin]],"yyyy-mm-dd")</f>
        <v>2023-09-03</v>
      </c>
      <c r="V6" s="21" t="s">
        <v>376</v>
      </c>
      <c r="W6">
        <f>+Reservas[[#This Row],[ reservaMonto]]</f>
        <v>960</v>
      </c>
      <c r="X6" t="s">
        <v>373</v>
      </c>
      <c r="Y6" t="str">
        <f t="shared" si="1"/>
        <v>(23,'El Solarium','2023-08-27','2023-09-03',960),</v>
      </c>
    </row>
    <row r="7" spans="1:25" x14ac:dyDescent="0.25">
      <c r="A7">
        <f t="shared" si="2"/>
        <v>5</v>
      </c>
      <c r="B7">
        <v>24</v>
      </c>
      <c r="C7" s="7" t="s">
        <v>91</v>
      </c>
      <c r="D7" s="7">
        <v>45169</v>
      </c>
      <c r="E7" s="7">
        <v>45179</v>
      </c>
      <c r="F7">
        <v>1100</v>
      </c>
      <c r="G7" s="18">
        <f>+YEAR(Reservas[[#This Row],[ reservaFechaInicio]])</f>
        <v>2023</v>
      </c>
      <c r="I7" s="18">
        <f>+Reservas[[#This Row],[ reservaFechaFin]]-Reservas[[#This Row],[ reservaFechaInicio]]+1</f>
        <v>11</v>
      </c>
      <c r="J7" s="8">
        <f>+_xlfn.XLOOKUP(Reservas[[#This Row],[ habitacionNombre]],Habitaciones[Nombre],Habitaciones[Costo])</f>
        <v>100</v>
      </c>
      <c r="K7" s="19">
        <f>+Reservas[[#This Row],[ reservaMonto]]/I7</f>
        <v>100</v>
      </c>
      <c r="L7" s="20">
        <f t="shared" si="0"/>
        <v>0</v>
      </c>
      <c r="M7" t="str">
        <f>+TRIM(Reservas[[#This Row],[ habitacionNombre]])</f>
        <v>La Cueva</v>
      </c>
      <c r="N7" t="s">
        <v>372</v>
      </c>
      <c r="O7">
        <f>+Reservas[[#This Row],[gatoID]]</f>
        <v>24</v>
      </c>
      <c r="P7" t="s">
        <v>374</v>
      </c>
      <c r="Q7" t="str">
        <f>+Reservas[[#This Row],[ habitacionNombre]]</f>
        <v>La Cueva</v>
      </c>
      <c r="R7" s="21" t="s">
        <v>375</v>
      </c>
      <c r="S7" t="str">
        <f>+TEXT(Reservas[[#This Row],[ reservaFechaInicio]],"yyyy-mm-dd")</f>
        <v>2023-08-31</v>
      </c>
      <c r="T7" s="21" t="s">
        <v>375</v>
      </c>
      <c r="U7" t="str">
        <f>+TEXT(Reservas[[#This Row],[ reservaFechaFin]],"yyyy-mm-dd")</f>
        <v>2023-09-10</v>
      </c>
      <c r="V7" s="21" t="s">
        <v>376</v>
      </c>
      <c r="W7">
        <f>+Reservas[[#This Row],[ reservaMonto]]</f>
        <v>1100</v>
      </c>
      <c r="X7" t="s">
        <v>373</v>
      </c>
      <c r="Y7" t="str">
        <f t="shared" si="1"/>
        <v>(24,'La Cueva','2023-08-31','2023-09-10',1100),</v>
      </c>
    </row>
    <row r="8" spans="1:25" x14ac:dyDescent="0.25">
      <c r="A8">
        <f t="shared" si="2"/>
        <v>6</v>
      </c>
      <c r="B8">
        <v>2</v>
      </c>
      <c r="C8" s="7" t="s">
        <v>93</v>
      </c>
      <c r="D8" s="7">
        <v>45172</v>
      </c>
      <c r="E8" s="7">
        <v>45178</v>
      </c>
      <c r="F8">
        <v>840</v>
      </c>
      <c r="G8" s="18">
        <f>+YEAR(Reservas[[#This Row],[ reservaFechaInicio]])</f>
        <v>2023</v>
      </c>
      <c r="I8" s="18">
        <f>+Reservas[[#This Row],[ reservaFechaFin]]-Reservas[[#This Row],[ reservaFechaInicio]]+1</f>
        <v>7</v>
      </c>
      <c r="J8" s="8">
        <f>+_xlfn.XLOOKUP(Reservas[[#This Row],[ habitacionNombre]],Habitaciones[Nombre],Habitaciones[Costo])</f>
        <v>120</v>
      </c>
      <c r="K8" s="19">
        <f>+Reservas[[#This Row],[ reservaMonto]]/I8</f>
        <v>120</v>
      </c>
      <c r="L8" s="20">
        <f t="shared" si="0"/>
        <v>0</v>
      </c>
      <c r="M8" t="str">
        <f>+TRIM(Reservas[[#This Row],[ habitacionNombre]])</f>
        <v>El Solarium</v>
      </c>
      <c r="N8" t="s">
        <v>372</v>
      </c>
      <c r="O8">
        <f>+Reservas[[#This Row],[gatoID]]</f>
        <v>2</v>
      </c>
      <c r="P8" t="s">
        <v>374</v>
      </c>
      <c r="Q8" t="str">
        <f>+Reservas[[#This Row],[ habitacionNombre]]</f>
        <v>El Solarium</v>
      </c>
      <c r="R8" s="21" t="s">
        <v>375</v>
      </c>
      <c r="S8" t="str">
        <f>+TEXT(Reservas[[#This Row],[ reservaFechaInicio]],"yyyy-mm-dd")</f>
        <v>2023-09-03</v>
      </c>
      <c r="T8" s="21" t="s">
        <v>375</v>
      </c>
      <c r="U8" t="str">
        <f>+TEXT(Reservas[[#This Row],[ reservaFechaFin]],"yyyy-mm-dd")</f>
        <v>2023-09-09</v>
      </c>
      <c r="V8" s="21" t="s">
        <v>376</v>
      </c>
      <c r="W8">
        <f>+Reservas[[#This Row],[ reservaMonto]]</f>
        <v>840</v>
      </c>
      <c r="X8" t="s">
        <v>373</v>
      </c>
      <c r="Y8" t="str">
        <f t="shared" si="1"/>
        <v>(2,'El Solarium','2023-09-03','2023-09-09',840),</v>
      </c>
    </row>
    <row r="9" spans="1:25" x14ac:dyDescent="0.25">
      <c r="A9">
        <f t="shared" si="2"/>
        <v>7</v>
      </c>
      <c r="B9">
        <v>15</v>
      </c>
      <c r="C9" s="7" t="s">
        <v>96</v>
      </c>
      <c r="D9" s="7">
        <v>45190</v>
      </c>
      <c r="E9" s="7">
        <v>45192</v>
      </c>
      <c r="F9">
        <v>210</v>
      </c>
      <c r="G9" s="18">
        <f>+YEAR(Reservas[[#This Row],[ reservaFechaInicio]])</f>
        <v>2023</v>
      </c>
      <c r="I9" s="18">
        <f>+Reservas[[#This Row],[ reservaFechaFin]]-Reservas[[#This Row],[ reservaFechaInicio]]+1</f>
        <v>3</v>
      </c>
      <c r="J9" s="8">
        <f>+_xlfn.XLOOKUP(Reservas[[#This Row],[ habitacionNombre]],Habitaciones[Nombre],Habitaciones[Costo])</f>
        <v>70</v>
      </c>
      <c r="K9" s="19">
        <f>+Reservas[[#This Row],[ reservaMonto]]/I9</f>
        <v>70</v>
      </c>
      <c r="L9" s="20">
        <f t="shared" si="0"/>
        <v>0</v>
      </c>
      <c r="M9" t="str">
        <f>+TRIM(Reservas[[#This Row],[ habitacionNombre]])</f>
        <v>La Caja</v>
      </c>
      <c r="N9" t="s">
        <v>372</v>
      </c>
      <c r="O9">
        <f>+Reservas[[#This Row],[gatoID]]</f>
        <v>15</v>
      </c>
      <c r="P9" t="s">
        <v>374</v>
      </c>
      <c r="Q9" t="str">
        <f>+Reservas[[#This Row],[ habitacionNombre]]</f>
        <v>La Caja</v>
      </c>
      <c r="R9" s="21" t="s">
        <v>375</v>
      </c>
      <c r="S9" t="str">
        <f>+TEXT(Reservas[[#This Row],[ reservaFechaInicio]],"yyyy-mm-dd")</f>
        <v>2023-09-21</v>
      </c>
      <c r="T9" s="21" t="s">
        <v>375</v>
      </c>
      <c r="U9" t="str">
        <f>+TEXT(Reservas[[#This Row],[ reservaFechaFin]],"yyyy-mm-dd")</f>
        <v>2023-09-23</v>
      </c>
      <c r="V9" s="21" t="s">
        <v>376</v>
      </c>
      <c r="W9">
        <f>+Reservas[[#This Row],[ reservaMonto]]</f>
        <v>210</v>
      </c>
      <c r="X9" t="s">
        <v>373</v>
      </c>
      <c r="Y9" t="str">
        <f t="shared" si="1"/>
        <v>(15,'La Caja','2023-09-21','2023-09-23',210),</v>
      </c>
    </row>
    <row r="10" spans="1:25" x14ac:dyDescent="0.25">
      <c r="A10">
        <f t="shared" si="2"/>
        <v>8</v>
      </c>
      <c r="B10">
        <v>2</v>
      </c>
      <c r="C10" s="7" t="s">
        <v>91</v>
      </c>
      <c r="D10" s="7">
        <v>45211</v>
      </c>
      <c r="E10" s="7">
        <v>45221</v>
      </c>
      <c r="F10">
        <v>1100</v>
      </c>
      <c r="G10" s="18">
        <f>+YEAR(Reservas[[#This Row],[ reservaFechaInicio]])</f>
        <v>2023</v>
      </c>
      <c r="I10" s="18">
        <f>+Reservas[[#This Row],[ reservaFechaFin]]-Reservas[[#This Row],[ reservaFechaInicio]]+1</f>
        <v>11</v>
      </c>
      <c r="J10" s="8">
        <f>+_xlfn.XLOOKUP(Reservas[[#This Row],[ habitacionNombre]],Habitaciones[Nombre],Habitaciones[Costo])</f>
        <v>100</v>
      </c>
      <c r="K10" s="19">
        <f>+Reservas[[#This Row],[ reservaMonto]]/I10</f>
        <v>100</v>
      </c>
      <c r="L10" s="20">
        <f t="shared" si="0"/>
        <v>0</v>
      </c>
      <c r="M10" t="str">
        <f>+TRIM(Reservas[[#This Row],[ habitacionNombre]])</f>
        <v>La Cueva</v>
      </c>
      <c r="N10" t="s">
        <v>372</v>
      </c>
      <c r="O10">
        <f>+Reservas[[#This Row],[gatoID]]</f>
        <v>2</v>
      </c>
      <c r="P10" t="s">
        <v>374</v>
      </c>
      <c r="Q10" t="str">
        <f>+Reservas[[#This Row],[ habitacionNombre]]</f>
        <v>La Cueva</v>
      </c>
      <c r="R10" s="21" t="s">
        <v>375</v>
      </c>
      <c r="S10" t="str">
        <f>+TEXT(Reservas[[#This Row],[ reservaFechaInicio]],"yyyy-mm-dd")</f>
        <v>2023-10-12</v>
      </c>
      <c r="T10" s="21" t="s">
        <v>375</v>
      </c>
      <c r="U10" t="str">
        <f>+TEXT(Reservas[[#This Row],[ reservaFechaFin]],"yyyy-mm-dd")</f>
        <v>2023-10-22</v>
      </c>
      <c r="V10" s="21" t="s">
        <v>376</v>
      </c>
      <c r="W10">
        <f>+Reservas[[#This Row],[ reservaMonto]]</f>
        <v>1100</v>
      </c>
      <c r="X10" t="s">
        <v>373</v>
      </c>
      <c r="Y10" t="str">
        <f t="shared" si="1"/>
        <v>(2,'La Cueva','2023-10-12','2023-10-22',1100),</v>
      </c>
    </row>
    <row r="11" spans="1:25" x14ac:dyDescent="0.25">
      <c r="A11">
        <f t="shared" si="2"/>
        <v>9</v>
      </c>
      <c r="B11">
        <v>23</v>
      </c>
      <c r="C11" s="7" t="s">
        <v>93</v>
      </c>
      <c r="D11" s="7">
        <v>45238</v>
      </c>
      <c r="E11" s="7">
        <v>45242</v>
      </c>
      <c r="F11">
        <v>600</v>
      </c>
      <c r="G11" s="18">
        <f>+YEAR(Reservas[[#This Row],[ reservaFechaInicio]])</f>
        <v>2023</v>
      </c>
      <c r="I11" s="18">
        <f>+Reservas[[#This Row],[ reservaFechaFin]]-Reservas[[#This Row],[ reservaFechaInicio]]+1</f>
        <v>5</v>
      </c>
      <c r="J11" s="8">
        <f>+_xlfn.XLOOKUP(Reservas[[#This Row],[ habitacionNombre]],Habitaciones[Nombre],Habitaciones[Costo])</f>
        <v>120</v>
      </c>
      <c r="K11" s="19">
        <f>+Reservas[[#This Row],[ reservaMonto]]/I11</f>
        <v>120</v>
      </c>
      <c r="L11" s="20">
        <f t="shared" si="0"/>
        <v>0</v>
      </c>
      <c r="M11" t="str">
        <f>+TRIM(Reservas[[#This Row],[ habitacionNombre]])</f>
        <v>El Solarium</v>
      </c>
      <c r="N11" t="s">
        <v>372</v>
      </c>
      <c r="O11">
        <f>+Reservas[[#This Row],[gatoID]]</f>
        <v>23</v>
      </c>
      <c r="P11" t="s">
        <v>374</v>
      </c>
      <c r="Q11" t="str">
        <f>+Reservas[[#This Row],[ habitacionNombre]]</f>
        <v>El Solarium</v>
      </c>
      <c r="R11" s="21" t="s">
        <v>375</v>
      </c>
      <c r="S11" t="str">
        <f>+TEXT(Reservas[[#This Row],[ reservaFechaInicio]],"yyyy-mm-dd")</f>
        <v>2023-11-08</v>
      </c>
      <c r="T11" s="21" t="s">
        <v>375</v>
      </c>
      <c r="U11" t="str">
        <f>+TEXT(Reservas[[#This Row],[ reservaFechaFin]],"yyyy-mm-dd")</f>
        <v>2023-11-12</v>
      </c>
      <c r="V11" s="21" t="s">
        <v>376</v>
      </c>
      <c r="W11">
        <f>+Reservas[[#This Row],[ reservaMonto]]</f>
        <v>600</v>
      </c>
      <c r="X11" t="s">
        <v>373</v>
      </c>
      <c r="Y11" t="str">
        <f t="shared" si="1"/>
        <v>(23,'El Solarium','2023-11-08','2023-11-12',600),</v>
      </c>
    </row>
    <row r="12" spans="1:25" x14ac:dyDescent="0.25">
      <c r="A12">
        <f t="shared" si="2"/>
        <v>10</v>
      </c>
      <c r="B12">
        <v>7</v>
      </c>
      <c r="C12" s="7" t="s">
        <v>89</v>
      </c>
      <c r="D12" s="7">
        <v>45251</v>
      </c>
      <c r="E12" s="7">
        <v>45252</v>
      </c>
      <c r="F12">
        <v>200</v>
      </c>
      <c r="G12" s="18">
        <f>+YEAR(Reservas[[#This Row],[ reservaFechaInicio]])</f>
        <v>2023</v>
      </c>
      <c r="I12" s="18">
        <f>+Reservas[[#This Row],[ reservaFechaFin]]-Reservas[[#This Row],[ reservaFechaInicio]]+1</f>
        <v>2</v>
      </c>
      <c r="J12" s="8">
        <f>+_xlfn.XLOOKUP(Reservas[[#This Row],[ habitacionNombre]],Habitaciones[Nombre],Habitaciones[Costo])</f>
        <v>100</v>
      </c>
      <c r="K12" s="19">
        <f>+Reservas[[#This Row],[ reservaMonto]]/I12</f>
        <v>100</v>
      </c>
      <c r="L12" s="20">
        <f t="shared" si="0"/>
        <v>0</v>
      </c>
      <c r="M12" t="str">
        <f>+TRIM(Reservas[[#This Row],[ habitacionNombre]])</f>
        <v>La Almohada</v>
      </c>
      <c r="N12" t="s">
        <v>372</v>
      </c>
      <c r="O12">
        <f>+Reservas[[#This Row],[gatoID]]</f>
        <v>7</v>
      </c>
      <c r="P12" t="s">
        <v>374</v>
      </c>
      <c r="Q12" t="str">
        <f>+Reservas[[#This Row],[ habitacionNombre]]</f>
        <v>La Almohada</v>
      </c>
      <c r="R12" s="21" t="s">
        <v>375</v>
      </c>
      <c r="S12" t="str">
        <f>+TEXT(Reservas[[#This Row],[ reservaFechaInicio]],"yyyy-mm-dd")</f>
        <v>2023-11-21</v>
      </c>
      <c r="T12" s="21" t="s">
        <v>375</v>
      </c>
      <c r="U12" t="str">
        <f>+TEXT(Reservas[[#This Row],[ reservaFechaFin]],"yyyy-mm-dd")</f>
        <v>2023-11-22</v>
      </c>
      <c r="V12" s="21" t="s">
        <v>376</v>
      </c>
      <c r="W12">
        <f>+Reservas[[#This Row],[ reservaMonto]]</f>
        <v>200</v>
      </c>
      <c r="X12" t="s">
        <v>373</v>
      </c>
      <c r="Y12" t="str">
        <f t="shared" si="1"/>
        <v>(7,'La Almohada','2023-11-21','2023-11-22',200),</v>
      </c>
    </row>
    <row r="13" spans="1:25" x14ac:dyDescent="0.25">
      <c r="A13">
        <f t="shared" si="2"/>
        <v>11</v>
      </c>
      <c r="B13">
        <v>13</v>
      </c>
      <c r="C13" s="7" t="s">
        <v>90</v>
      </c>
      <c r="D13" s="7">
        <v>45259</v>
      </c>
      <c r="E13" s="7">
        <v>45264</v>
      </c>
      <c r="F13">
        <v>420</v>
      </c>
      <c r="G13" s="18">
        <f>+YEAR(Reservas[[#This Row],[ reservaFechaInicio]])</f>
        <v>2023</v>
      </c>
      <c r="I13" s="18">
        <f>+Reservas[[#This Row],[ reservaFechaFin]]-Reservas[[#This Row],[ reservaFechaInicio]]+1</f>
        <v>6</v>
      </c>
      <c r="J13" s="8">
        <f>+_xlfn.XLOOKUP(Reservas[[#This Row],[ habitacionNombre]],Habitaciones[Nombre],Habitaciones[Costo])</f>
        <v>70</v>
      </c>
      <c r="K13" s="19">
        <f>+Reservas[[#This Row],[ reservaMonto]]/I13</f>
        <v>70</v>
      </c>
      <c r="L13" s="20">
        <f t="shared" si="0"/>
        <v>0</v>
      </c>
      <c r="M13" t="str">
        <f>+TRIM(Reservas[[#This Row],[ habitacionNombre]])</f>
        <v>El Mirador</v>
      </c>
      <c r="N13" t="s">
        <v>372</v>
      </c>
      <c r="O13">
        <f>+Reservas[[#This Row],[gatoID]]</f>
        <v>13</v>
      </c>
      <c r="P13" t="s">
        <v>374</v>
      </c>
      <c r="Q13" t="str">
        <f>+Reservas[[#This Row],[ habitacionNombre]]</f>
        <v>El Mirador</v>
      </c>
      <c r="R13" s="21" t="s">
        <v>375</v>
      </c>
      <c r="S13" t="str">
        <f>+TEXT(Reservas[[#This Row],[ reservaFechaInicio]],"yyyy-mm-dd")</f>
        <v>2023-11-29</v>
      </c>
      <c r="T13" s="21" t="s">
        <v>375</v>
      </c>
      <c r="U13" t="str">
        <f>+TEXT(Reservas[[#This Row],[ reservaFechaFin]],"yyyy-mm-dd")</f>
        <v>2023-12-04</v>
      </c>
      <c r="V13" s="21" t="s">
        <v>376</v>
      </c>
      <c r="W13">
        <f>+Reservas[[#This Row],[ reservaMonto]]</f>
        <v>420</v>
      </c>
      <c r="X13" t="s">
        <v>373</v>
      </c>
      <c r="Y13" t="str">
        <f t="shared" si="1"/>
        <v>(13,'El Mirador','2023-11-29','2023-12-04',420),</v>
      </c>
    </row>
    <row r="14" spans="1:25" x14ac:dyDescent="0.25">
      <c r="A14">
        <f t="shared" si="2"/>
        <v>12</v>
      </c>
      <c r="B14">
        <v>29</v>
      </c>
      <c r="C14" s="7" t="s">
        <v>93</v>
      </c>
      <c r="D14" s="7">
        <v>45267</v>
      </c>
      <c r="E14" s="7">
        <v>45277</v>
      </c>
      <c r="F14">
        <v>1320</v>
      </c>
      <c r="G14" s="18">
        <f>+YEAR(Reservas[[#This Row],[ reservaFechaInicio]])</f>
        <v>2023</v>
      </c>
      <c r="I14" s="18">
        <f>+Reservas[[#This Row],[ reservaFechaFin]]-Reservas[[#This Row],[ reservaFechaInicio]]+1</f>
        <v>11</v>
      </c>
      <c r="J14" s="8">
        <f>+_xlfn.XLOOKUP(Reservas[[#This Row],[ habitacionNombre]],Habitaciones[Nombre],Habitaciones[Costo])</f>
        <v>120</v>
      </c>
      <c r="K14" s="19">
        <f>+Reservas[[#This Row],[ reservaMonto]]/I14</f>
        <v>120</v>
      </c>
      <c r="L14" s="20">
        <f t="shared" si="0"/>
        <v>0</v>
      </c>
      <c r="M14" t="str">
        <f>+TRIM(Reservas[[#This Row],[ habitacionNombre]])</f>
        <v>El Solarium</v>
      </c>
      <c r="N14" t="s">
        <v>372</v>
      </c>
      <c r="O14">
        <f>+Reservas[[#This Row],[gatoID]]</f>
        <v>29</v>
      </c>
      <c r="P14" t="s">
        <v>374</v>
      </c>
      <c r="Q14" t="str">
        <f>+Reservas[[#This Row],[ habitacionNombre]]</f>
        <v>El Solarium</v>
      </c>
      <c r="R14" s="21" t="s">
        <v>375</v>
      </c>
      <c r="S14" t="str">
        <f>+TEXT(Reservas[[#This Row],[ reservaFechaInicio]],"yyyy-mm-dd")</f>
        <v>2023-12-07</v>
      </c>
      <c r="T14" s="21" t="s">
        <v>375</v>
      </c>
      <c r="U14" t="str">
        <f>+TEXT(Reservas[[#This Row],[ reservaFechaFin]],"yyyy-mm-dd")</f>
        <v>2023-12-17</v>
      </c>
      <c r="V14" s="21" t="s">
        <v>376</v>
      </c>
      <c r="W14">
        <f>+Reservas[[#This Row],[ reservaMonto]]</f>
        <v>1320</v>
      </c>
      <c r="X14" t="s">
        <v>373</v>
      </c>
      <c r="Y14" t="str">
        <f t="shared" si="1"/>
        <v>(29,'El Solarium','2023-12-07','2023-12-17',1320),</v>
      </c>
    </row>
    <row r="15" spans="1:25" x14ac:dyDescent="0.25">
      <c r="A15">
        <f t="shared" si="2"/>
        <v>13</v>
      </c>
      <c r="B15">
        <v>28</v>
      </c>
      <c r="C15" s="7" t="s">
        <v>90</v>
      </c>
      <c r="D15" s="7">
        <v>45295</v>
      </c>
      <c r="E15" s="7">
        <v>45306</v>
      </c>
      <c r="F15">
        <v>840</v>
      </c>
      <c r="G15" s="18">
        <f>+YEAR(Reservas[[#This Row],[ reservaFechaInicio]])</f>
        <v>2024</v>
      </c>
      <c r="I15" s="18">
        <f>+Reservas[[#This Row],[ reservaFechaFin]]-Reservas[[#This Row],[ reservaFechaInicio]]+1</f>
        <v>12</v>
      </c>
      <c r="J15" s="8">
        <f>+_xlfn.XLOOKUP(Reservas[[#This Row],[ habitacionNombre]],Habitaciones[Nombre],Habitaciones[Costo])</f>
        <v>70</v>
      </c>
      <c r="K15" s="19">
        <f>+Reservas[[#This Row],[ reservaMonto]]/I15</f>
        <v>70</v>
      </c>
      <c r="L15" s="20">
        <f t="shared" si="0"/>
        <v>0</v>
      </c>
      <c r="M15" t="str">
        <f>+TRIM(Reservas[[#This Row],[ habitacionNombre]])</f>
        <v>El Mirador</v>
      </c>
      <c r="N15" t="s">
        <v>372</v>
      </c>
      <c r="O15">
        <f>+Reservas[[#This Row],[gatoID]]</f>
        <v>28</v>
      </c>
      <c r="P15" t="s">
        <v>374</v>
      </c>
      <c r="Q15" t="str">
        <f>+Reservas[[#This Row],[ habitacionNombre]]</f>
        <v>El Mirador</v>
      </c>
      <c r="R15" s="21" t="s">
        <v>375</v>
      </c>
      <c r="S15" t="str">
        <f>+TEXT(Reservas[[#This Row],[ reservaFechaInicio]],"yyyy-mm-dd")</f>
        <v>2024-01-04</v>
      </c>
      <c r="T15" s="21" t="s">
        <v>375</v>
      </c>
      <c r="U15" t="str">
        <f>+TEXT(Reservas[[#This Row],[ reservaFechaFin]],"yyyy-mm-dd")</f>
        <v>2024-01-15</v>
      </c>
      <c r="V15" s="21" t="s">
        <v>376</v>
      </c>
      <c r="W15">
        <f>+Reservas[[#This Row],[ reservaMonto]]</f>
        <v>840</v>
      </c>
      <c r="X15" t="s">
        <v>373</v>
      </c>
      <c r="Y15" t="str">
        <f t="shared" si="1"/>
        <v>(28,'El Mirador','2024-01-04','2024-01-15',840),</v>
      </c>
    </row>
    <row r="16" spans="1:25" x14ac:dyDescent="0.25">
      <c r="A16">
        <f t="shared" si="2"/>
        <v>14</v>
      </c>
      <c r="B16">
        <v>27</v>
      </c>
      <c r="C16" s="7" t="s">
        <v>90</v>
      </c>
      <c r="D16" s="7">
        <v>45296</v>
      </c>
      <c r="E16" s="7">
        <v>45299</v>
      </c>
      <c r="F16">
        <v>280</v>
      </c>
      <c r="G16" s="18">
        <f>+YEAR(Reservas[[#This Row],[ reservaFechaInicio]])</f>
        <v>2024</v>
      </c>
      <c r="I16" s="18">
        <f>+Reservas[[#This Row],[ reservaFechaFin]]-Reservas[[#This Row],[ reservaFechaInicio]]+1</f>
        <v>4</v>
      </c>
      <c r="J16" s="8">
        <f>+_xlfn.XLOOKUP(Reservas[[#This Row],[ habitacionNombre]],Habitaciones[Nombre],Habitaciones[Costo])</f>
        <v>70</v>
      </c>
      <c r="K16" s="19">
        <f>+Reservas[[#This Row],[ reservaMonto]]/I16</f>
        <v>70</v>
      </c>
      <c r="L16" s="20">
        <f t="shared" si="0"/>
        <v>0</v>
      </c>
      <c r="M16" t="str">
        <f>+TRIM(Reservas[[#This Row],[ habitacionNombre]])</f>
        <v>El Mirador</v>
      </c>
      <c r="N16" t="s">
        <v>372</v>
      </c>
      <c r="O16">
        <f>+Reservas[[#This Row],[gatoID]]</f>
        <v>27</v>
      </c>
      <c r="P16" t="s">
        <v>374</v>
      </c>
      <c r="Q16" t="str">
        <f>+Reservas[[#This Row],[ habitacionNombre]]</f>
        <v>El Mirador</v>
      </c>
      <c r="R16" s="21" t="s">
        <v>375</v>
      </c>
      <c r="S16" t="str">
        <f>+TEXT(Reservas[[#This Row],[ reservaFechaInicio]],"yyyy-mm-dd")</f>
        <v>2024-01-05</v>
      </c>
      <c r="T16" s="21" t="s">
        <v>375</v>
      </c>
      <c r="U16" t="str">
        <f>+TEXT(Reservas[[#This Row],[ reservaFechaFin]],"yyyy-mm-dd")</f>
        <v>2024-01-08</v>
      </c>
      <c r="V16" s="21" t="s">
        <v>376</v>
      </c>
      <c r="W16">
        <f>+Reservas[[#This Row],[ reservaMonto]]</f>
        <v>280</v>
      </c>
      <c r="X16" t="s">
        <v>373</v>
      </c>
      <c r="Y16" t="str">
        <f t="shared" si="1"/>
        <v>(27,'El Mirador','2024-01-05','2024-01-08',280),</v>
      </c>
    </row>
    <row r="17" spans="1:25" x14ac:dyDescent="0.25">
      <c r="A17">
        <f t="shared" si="2"/>
        <v>15</v>
      </c>
      <c r="B17">
        <v>4</v>
      </c>
      <c r="C17" s="7" t="s">
        <v>95</v>
      </c>
      <c r="D17" s="7">
        <v>45327</v>
      </c>
      <c r="E17" s="7">
        <v>45330</v>
      </c>
      <c r="F17">
        <v>120</v>
      </c>
      <c r="G17" s="18">
        <f>+YEAR(Reservas[[#This Row],[ reservaFechaInicio]])</f>
        <v>2024</v>
      </c>
      <c r="I17" s="18">
        <f>+Reservas[[#This Row],[ reservaFechaFin]]-Reservas[[#This Row],[ reservaFechaInicio]]+1</f>
        <v>4</v>
      </c>
      <c r="J17" s="8">
        <f>+_xlfn.XLOOKUP(Reservas[[#This Row],[ habitacionNombre]],Habitaciones[Nombre],Habitaciones[Costo])</f>
        <v>30</v>
      </c>
      <c r="K17" s="19">
        <f>+Reservas[[#This Row],[ reservaMonto]]/I17</f>
        <v>30</v>
      </c>
      <c r="L17" s="20">
        <f t="shared" si="0"/>
        <v>0</v>
      </c>
      <c r="M17" t="str">
        <f>+TRIM(Reservas[[#This Row],[ habitacionNombre]])</f>
        <v>La Estantería</v>
      </c>
      <c r="N17" t="s">
        <v>372</v>
      </c>
      <c r="O17">
        <f>+Reservas[[#This Row],[gatoID]]</f>
        <v>4</v>
      </c>
      <c r="P17" t="s">
        <v>374</v>
      </c>
      <c r="Q17" t="str">
        <f>+Reservas[[#This Row],[ habitacionNombre]]</f>
        <v>La Estantería</v>
      </c>
      <c r="R17" s="21" t="s">
        <v>375</v>
      </c>
      <c r="S17" t="str">
        <f>+TEXT(Reservas[[#This Row],[ reservaFechaInicio]],"yyyy-mm-dd")</f>
        <v>2024-02-05</v>
      </c>
      <c r="T17" s="21" t="s">
        <v>375</v>
      </c>
      <c r="U17" t="str">
        <f>+TEXT(Reservas[[#This Row],[ reservaFechaFin]],"yyyy-mm-dd")</f>
        <v>2024-02-08</v>
      </c>
      <c r="V17" s="21" t="s">
        <v>376</v>
      </c>
      <c r="W17">
        <f>+Reservas[[#This Row],[ reservaMonto]]</f>
        <v>120</v>
      </c>
      <c r="X17" t="s">
        <v>373</v>
      </c>
      <c r="Y17" t="str">
        <f t="shared" si="1"/>
        <v>(4,'La Estantería','2024-02-05','2024-02-08',120),</v>
      </c>
    </row>
    <row r="18" spans="1:25" x14ac:dyDescent="0.25">
      <c r="A18">
        <f t="shared" si="2"/>
        <v>16</v>
      </c>
      <c r="B18">
        <v>8</v>
      </c>
      <c r="C18" s="7" t="s">
        <v>92</v>
      </c>
      <c r="D18" s="7">
        <v>45333</v>
      </c>
      <c r="E18" s="7">
        <v>45336</v>
      </c>
      <c r="F18">
        <v>160</v>
      </c>
      <c r="G18" s="18">
        <f>+YEAR(Reservas[[#This Row],[ reservaFechaInicio]])</f>
        <v>2024</v>
      </c>
      <c r="I18" s="18">
        <f>+Reservas[[#This Row],[ reservaFechaFin]]-Reservas[[#This Row],[ reservaFechaInicio]]+1</f>
        <v>4</v>
      </c>
      <c r="J18" s="8">
        <f>+_xlfn.XLOOKUP(Reservas[[#This Row],[ habitacionNombre]],Habitaciones[Nombre],Habitaciones[Costo])</f>
        <v>40</v>
      </c>
      <c r="K18" s="19">
        <f>+Reservas[[#This Row],[ reservaMonto]]/I18</f>
        <v>40</v>
      </c>
      <c r="L18" s="20">
        <f t="shared" si="0"/>
        <v>0</v>
      </c>
      <c r="M18" t="str">
        <f>+TRIM(Reservas[[#This Row],[ habitacionNombre]])</f>
        <v>El Jardín</v>
      </c>
      <c r="N18" t="s">
        <v>372</v>
      </c>
      <c r="O18">
        <f>+Reservas[[#This Row],[gatoID]]</f>
        <v>8</v>
      </c>
      <c r="P18" t="s">
        <v>374</v>
      </c>
      <c r="Q18" t="str">
        <f>+Reservas[[#This Row],[ habitacionNombre]]</f>
        <v>El Jardín</v>
      </c>
      <c r="R18" s="21" t="s">
        <v>375</v>
      </c>
      <c r="S18" t="str">
        <f>+TEXT(Reservas[[#This Row],[ reservaFechaInicio]],"yyyy-mm-dd")</f>
        <v>2024-02-11</v>
      </c>
      <c r="T18" s="21" t="s">
        <v>375</v>
      </c>
      <c r="U18" t="str">
        <f>+TEXT(Reservas[[#This Row],[ reservaFechaFin]],"yyyy-mm-dd")</f>
        <v>2024-02-14</v>
      </c>
      <c r="V18" s="21" t="s">
        <v>376</v>
      </c>
      <c r="W18">
        <f>+Reservas[[#This Row],[ reservaMonto]]</f>
        <v>160</v>
      </c>
      <c r="X18" t="s">
        <v>373</v>
      </c>
      <c r="Y18" t="str">
        <f t="shared" si="1"/>
        <v>(8,'El Jardín','2024-02-11','2024-02-14',160),</v>
      </c>
    </row>
    <row r="19" spans="1:25" x14ac:dyDescent="0.25">
      <c r="A19">
        <f t="shared" si="2"/>
        <v>17</v>
      </c>
      <c r="B19">
        <v>17</v>
      </c>
      <c r="C19" s="7" t="s">
        <v>93</v>
      </c>
      <c r="D19" s="7">
        <v>45341</v>
      </c>
      <c r="E19" s="7">
        <v>45349</v>
      </c>
      <c r="F19">
        <v>1080</v>
      </c>
      <c r="G19" s="18">
        <f>+YEAR(Reservas[[#This Row],[ reservaFechaInicio]])</f>
        <v>2024</v>
      </c>
      <c r="I19" s="18">
        <f>+Reservas[[#This Row],[ reservaFechaFin]]-Reservas[[#This Row],[ reservaFechaInicio]]+1</f>
        <v>9</v>
      </c>
      <c r="J19" s="8">
        <f>+_xlfn.XLOOKUP(Reservas[[#This Row],[ habitacionNombre]],Habitaciones[Nombre],Habitaciones[Costo])</f>
        <v>120</v>
      </c>
      <c r="K19" s="19">
        <f>+Reservas[[#This Row],[ reservaMonto]]/I19</f>
        <v>120</v>
      </c>
      <c r="L19" s="20">
        <f t="shared" si="0"/>
        <v>0</v>
      </c>
      <c r="M19" t="str">
        <f>+TRIM(Reservas[[#This Row],[ habitacionNombre]])</f>
        <v>El Solarium</v>
      </c>
      <c r="N19" t="s">
        <v>372</v>
      </c>
      <c r="O19">
        <f>+Reservas[[#This Row],[gatoID]]</f>
        <v>17</v>
      </c>
      <c r="P19" t="s">
        <v>374</v>
      </c>
      <c r="Q19" t="str">
        <f>+Reservas[[#This Row],[ habitacionNombre]]</f>
        <v>El Solarium</v>
      </c>
      <c r="R19" s="21" t="s">
        <v>375</v>
      </c>
      <c r="S19" t="str">
        <f>+TEXT(Reservas[[#This Row],[ reservaFechaInicio]],"yyyy-mm-dd")</f>
        <v>2024-02-19</v>
      </c>
      <c r="T19" s="21" t="s">
        <v>375</v>
      </c>
      <c r="U19" t="str">
        <f>+TEXT(Reservas[[#This Row],[ reservaFechaFin]],"yyyy-mm-dd")</f>
        <v>2024-02-27</v>
      </c>
      <c r="V19" s="21" t="s">
        <v>376</v>
      </c>
      <c r="W19">
        <f>+Reservas[[#This Row],[ reservaMonto]]</f>
        <v>1080</v>
      </c>
      <c r="X19" t="s">
        <v>373</v>
      </c>
      <c r="Y19" t="str">
        <f t="shared" si="1"/>
        <v>(17,'El Solarium','2024-02-19','2024-02-27',1080),</v>
      </c>
    </row>
    <row r="20" spans="1:25" x14ac:dyDescent="0.25">
      <c r="A20">
        <f t="shared" si="2"/>
        <v>18</v>
      </c>
      <c r="B20">
        <v>18</v>
      </c>
      <c r="C20" s="7" t="s">
        <v>96</v>
      </c>
      <c r="D20" s="7">
        <v>45341</v>
      </c>
      <c r="E20" s="7">
        <v>45351</v>
      </c>
      <c r="F20">
        <v>770</v>
      </c>
      <c r="G20" s="18">
        <f>+YEAR(Reservas[[#This Row],[ reservaFechaInicio]])</f>
        <v>2024</v>
      </c>
      <c r="I20" s="18">
        <f>+Reservas[[#This Row],[ reservaFechaFin]]-Reservas[[#This Row],[ reservaFechaInicio]]+1</f>
        <v>11</v>
      </c>
      <c r="J20" s="8">
        <f>+_xlfn.XLOOKUP(Reservas[[#This Row],[ habitacionNombre]],Habitaciones[Nombre],Habitaciones[Costo])</f>
        <v>70</v>
      </c>
      <c r="K20" s="19">
        <f>+Reservas[[#This Row],[ reservaMonto]]/I20</f>
        <v>70</v>
      </c>
      <c r="L20" s="20">
        <f t="shared" si="0"/>
        <v>0</v>
      </c>
      <c r="M20" t="str">
        <f>+TRIM(Reservas[[#This Row],[ habitacionNombre]])</f>
        <v>La Caja</v>
      </c>
      <c r="N20" t="s">
        <v>372</v>
      </c>
      <c r="O20">
        <f>+Reservas[[#This Row],[gatoID]]</f>
        <v>18</v>
      </c>
      <c r="P20" t="s">
        <v>374</v>
      </c>
      <c r="Q20" t="str">
        <f>+Reservas[[#This Row],[ habitacionNombre]]</f>
        <v>La Caja</v>
      </c>
      <c r="R20" s="21" t="s">
        <v>375</v>
      </c>
      <c r="S20" t="str">
        <f>+TEXT(Reservas[[#This Row],[ reservaFechaInicio]],"yyyy-mm-dd")</f>
        <v>2024-02-19</v>
      </c>
      <c r="T20" s="21" t="s">
        <v>375</v>
      </c>
      <c r="U20" t="str">
        <f>+TEXT(Reservas[[#This Row],[ reservaFechaFin]],"yyyy-mm-dd")</f>
        <v>2024-02-29</v>
      </c>
      <c r="V20" s="21" t="s">
        <v>376</v>
      </c>
      <c r="W20">
        <f>+Reservas[[#This Row],[ reservaMonto]]</f>
        <v>770</v>
      </c>
      <c r="X20" t="s">
        <v>373</v>
      </c>
      <c r="Y20" t="str">
        <f t="shared" si="1"/>
        <v>(18,'La Caja','2024-02-19','2024-02-29',770),</v>
      </c>
    </row>
    <row r="21" spans="1:25" x14ac:dyDescent="0.25">
      <c r="A21">
        <f t="shared" si="2"/>
        <v>19</v>
      </c>
      <c r="B21">
        <v>4</v>
      </c>
      <c r="C21" s="7" t="s">
        <v>96</v>
      </c>
      <c r="D21" s="7">
        <v>45350</v>
      </c>
      <c r="E21" s="7">
        <v>45358</v>
      </c>
      <c r="F21">
        <v>630</v>
      </c>
      <c r="G21" s="18">
        <f>+YEAR(Reservas[[#This Row],[ reservaFechaInicio]])</f>
        <v>2024</v>
      </c>
      <c r="I21" s="18">
        <f>+Reservas[[#This Row],[ reservaFechaFin]]-Reservas[[#This Row],[ reservaFechaInicio]]+1</f>
        <v>9</v>
      </c>
      <c r="J21" s="8">
        <f>+_xlfn.XLOOKUP(Reservas[[#This Row],[ habitacionNombre]],Habitaciones[Nombre],Habitaciones[Costo])</f>
        <v>70</v>
      </c>
      <c r="K21" s="19">
        <f>+Reservas[[#This Row],[ reservaMonto]]/I21</f>
        <v>70</v>
      </c>
      <c r="L21" s="20">
        <f t="shared" si="0"/>
        <v>0</v>
      </c>
      <c r="M21" t="str">
        <f>+TRIM(Reservas[[#This Row],[ habitacionNombre]])</f>
        <v>La Caja</v>
      </c>
      <c r="N21" t="s">
        <v>372</v>
      </c>
      <c r="O21">
        <f>+Reservas[[#This Row],[gatoID]]</f>
        <v>4</v>
      </c>
      <c r="P21" t="s">
        <v>374</v>
      </c>
      <c r="Q21" t="str">
        <f>+Reservas[[#This Row],[ habitacionNombre]]</f>
        <v>La Caja</v>
      </c>
      <c r="R21" s="21" t="s">
        <v>375</v>
      </c>
      <c r="S21" t="str">
        <f>+TEXT(Reservas[[#This Row],[ reservaFechaInicio]],"yyyy-mm-dd")</f>
        <v>2024-02-28</v>
      </c>
      <c r="T21" s="21" t="s">
        <v>375</v>
      </c>
      <c r="U21" t="str">
        <f>+TEXT(Reservas[[#This Row],[ reservaFechaFin]],"yyyy-mm-dd")</f>
        <v>2024-03-07</v>
      </c>
      <c r="V21" s="21" t="s">
        <v>376</v>
      </c>
      <c r="W21">
        <f>+Reservas[[#This Row],[ reservaMonto]]</f>
        <v>630</v>
      </c>
      <c r="X21" t="s">
        <v>373</v>
      </c>
      <c r="Y21" t="str">
        <f t="shared" si="1"/>
        <v>(4,'La Caja','2024-02-28','2024-03-07',630),</v>
      </c>
    </row>
    <row r="22" spans="1:25" x14ac:dyDescent="0.25">
      <c r="A22">
        <f t="shared" si="2"/>
        <v>20</v>
      </c>
      <c r="B22">
        <v>31</v>
      </c>
      <c r="C22" s="7" t="s">
        <v>96</v>
      </c>
      <c r="D22" s="7">
        <v>45374</v>
      </c>
      <c r="E22" s="7">
        <v>45386</v>
      </c>
      <c r="F22">
        <v>910</v>
      </c>
      <c r="G22" s="18">
        <f>+YEAR(Reservas[[#This Row],[ reservaFechaInicio]])</f>
        <v>2024</v>
      </c>
      <c r="I22" s="18">
        <f>+Reservas[[#This Row],[ reservaFechaFin]]-Reservas[[#This Row],[ reservaFechaInicio]]+1</f>
        <v>13</v>
      </c>
      <c r="J22" s="8">
        <f>+_xlfn.XLOOKUP(Reservas[[#This Row],[ habitacionNombre]],Habitaciones[Nombre],Habitaciones[Costo])</f>
        <v>70</v>
      </c>
      <c r="K22" s="19">
        <f>+Reservas[[#This Row],[ reservaMonto]]/I22</f>
        <v>70</v>
      </c>
      <c r="L22" s="20">
        <f t="shared" si="0"/>
        <v>0</v>
      </c>
      <c r="M22" t="str">
        <f>+TRIM(Reservas[[#This Row],[ habitacionNombre]])</f>
        <v>La Caja</v>
      </c>
      <c r="N22" t="s">
        <v>372</v>
      </c>
      <c r="O22">
        <f>+Reservas[[#This Row],[gatoID]]</f>
        <v>31</v>
      </c>
      <c r="P22" t="s">
        <v>374</v>
      </c>
      <c r="Q22" t="str">
        <f>+Reservas[[#This Row],[ habitacionNombre]]</f>
        <v>La Caja</v>
      </c>
      <c r="R22" s="21" t="s">
        <v>375</v>
      </c>
      <c r="S22" t="str">
        <f>+TEXT(Reservas[[#This Row],[ reservaFechaInicio]],"yyyy-mm-dd")</f>
        <v>2024-03-23</v>
      </c>
      <c r="T22" s="21" t="s">
        <v>375</v>
      </c>
      <c r="U22" t="str">
        <f>+TEXT(Reservas[[#This Row],[ reservaFechaFin]],"yyyy-mm-dd")</f>
        <v>2024-04-04</v>
      </c>
      <c r="V22" s="21" t="s">
        <v>376</v>
      </c>
      <c r="W22">
        <f>+Reservas[[#This Row],[ reservaMonto]]</f>
        <v>910</v>
      </c>
      <c r="X22" t="s">
        <v>373</v>
      </c>
      <c r="Y22" t="str">
        <f t="shared" si="1"/>
        <v>(31,'La Caja','2024-03-23','2024-04-04',910),</v>
      </c>
    </row>
    <row r="23" spans="1:25" x14ac:dyDescent="0.25">
      <c r="A23">
        <f t="shared" si="2"/>
        <v>21</v>
      </c>
      <c r="B23">
        <v>30</v>
      </c>
      <c r="C23" s="7" t="s">
        <v>91</v>
      </c>
      <c r="D23" s="7">
        <v>45415</v>
      </c>
      <c r="E23" s="7">
        <v>45422</v>
      </c>
      <c r="F23">
        <v>800</v>
      </c>
      <c r="G23" s="18">
        <f>+YEAR(Reservas[[#This Row],[ reservaFechaInicio]])</f>
        <v>2024</v>
      </c>
      <c r="I23" s="18">
        <f>+Reservas[[#This Row],[ reservaFechaFin]]-Reservas[[#This Row],[ reservaFechaInicio]]+1</f>
        <v>8</v>
      </c>
      <c r="J23" s="8">
        <f>+_xlfn.XLOOKUP(Reservas[[#This Row],[ habitacionNombre]],Habitaciones[Nombre],Habitaciones[Costo])</f>
        <v>100</v>
      </c>
      <c r="K23" s="19">
        <f>+Reservas[[#This Row],[ reservaMonto]]/I23</f>
        <v>100</v>
      </c>
      <c r="L23" s="20">
        <f t="shared" si="0"/>
        <v>0</v>
      </c>
      <c r="M23" t="str">
        <f>+TRIM(Reservas[[#This Row],[ habitacionNombre]])</f>
        <v>La Cueva</v>
      </c>
      <c r="N23" t="s">
        <v>372</v>
      </c>
      <c r="O23">
        <f>+Reservas[[#This Row],[gatoID]]</f>
        <v>30</v>
      </c>
      <c r="P23" t="s">
        <v>374</v>
      </c>
      <c r="Q23" t="str">
        <f>+Reservas[[#This Row],[ habitacionNombre]]</f>
        <v>La Cueva</v>
      </c>
      <c r="R23" s="21" t="s">
        <v>375</v>
      </c>
      <c r="S23" t="str">
        <f>+TEXT(Reservas[[#This Row],[ reservaFechaInicio]],"yyyy-mm-dd")</f>
        <v>2024-05-03</v>
      </c>
      <c r="T23" s="21" t="s">
        <v>375</v>
      </c>
      <c r="U23" t="str">
        <f>+TEXT(Reservas[[#This Row],[ reservaFechaFin]],"yyyy-mm-dd")</f>
        <v>2024-05-10</v>
      </c>
      <c r="V23" s="21" t="s">
        <v>376</v>
      </c>
      <c r="W23">
        <f>+Reservas[[#This Row],[ reservaMonto]]</f>
        <v>800</v>
      </c>
      <c r="X23" t="s">
        <v>373</v>
      </c>
      <c r="Y23" t="str">
        <f t="shared" si="1"/>
        <v>(30,'La Cueva','2024-05-03','2024-05-10',800),</v>
      </c>
    </row>
    <row r="24" spans="1:25" x14ac:dyDescent="0.25">
      <c r="A24">
        <f t="shared" si="2"/>
        <v>22</v>
      </c>
      <c r="B24">
        <v>22</v>
      </c>
      <c r="C24" s="7" t="s">
        <v>93</v>
      </c>
      <c r="D24" s="7">
        <v>45419</v>
      </c>
      <c r="E24" s="7">
        <v>45420</v>
      </c>
      <c r="F24">
        <v>240</v>
      </c>
      <c r="G24" s="18">
        <f>+YEAR(Reservas[[#This Row],[ reservaFechaInicio]])</f>
        <v>2024</v>
      </c>
      <c r="I24" s="18">
        <f>+Reservas[[#This Row],[ reservaFechaFin]]-Reservas[[#This Row],[ reservaFechaInicio]]+1</f>
        <v>2</v>
      </c>
      <c r="J24" s="8">
        <f>+_xlfn.XLOOKUP(Reservas[[#This Row],[ habitacionNombre]],Habitaciones[Nombre],Habitaciones[Costo])</f>
        <v>120</v>
      </c>
      <c r="K24" s="19">
        <f>+Reservas[[#This Row],[ reservaMonto]]/I24</f>
        <v>120</v>
      </c>
      <c r="L24" s="20">
        <f t="shared" si="0"/>
        <v>0</v>
      </c>
      <c r="M24" t="str">
        <f>+TRIM(Reservas[[#This Row],[ habitacionNombre]])</f>
        <v>El Solarium</v>
      </c>
      <c r="N24" t="s">
        <v>372</v>
      </c>
      <c r="O24">
        <f>+Reservas[[#This Row],[gatoID]]</f>
        <v>22</v>
      </c>
      <c r="P24" t="s">
        <v>374</v>
      </c>
      <c r="Q24" t="str">
        <f>+Reservas[[#This Row],[ habitacionNombre]]</f>
        <v>El Solarium</v>
      </c>
      <c r="R24" s="21" t="s">
        <v>375</v>
      </c>
      <c r="S24" t="str">
        <f>+TEXT(Reservas[[#This Row],[ reservaFechaInicio]],"yyyy-mm-dd")</f>
        <v>2024-05-07</v>
      </c>
      <c r="T24" s="21" t="s">
        <v>375</v>
      </c>
      <c r="U24" t="str">
        <f>+TEXT(Reservas[[#This Row],[ reservaFechaFin]],"yyyy-mm-dd")</f>
        <v>2024-05-08</v>
      </c>
      <c r="V24" s="21" t="s">
        <v>376</v>
      </c>
      <c r="W24">
        <f>+Reservas[[#This Row],[ reservaMonto]]</f>
        <v>240</v>
      </c>
      <c r="X24" t="s">
        <v>373</v>
      </c>
      <c r="Y24" t="str">
        <f t="shared" si="1"/>
        <v>(22,'El Solarium','2024-05-07','2024-05-08',240),</v>
      </c>
    </row>
    <row r="25" spans="1:25" x14ac:dyDescent="0.25">
      <c r="A25">
        <f t="shared" si="2"/>
        <v>23</v>
      </c>
      <c r="B25">
        <v>11</v>
      </c>
      <c r="C25" s="7" t="s">
        <v>90</v>
      </c>
      <c r="D25" s="7">
        <v>45461</v>
      </c>
      <c r="E25" s="7">
        <v>45472</v>
      </c>
      <c r="F25">
        <v>840</v>
      </c>
      <c r="G25" s="18">
        <f>+YEAR(Reservas[[#This Row],[ reservaFechaInicio]])</f>
        <v>2024</v>
      </c>
      <c r="I25" s="18">
        <f>+Reservas[[#This Row],[ reservaFechaFin]]-Reservas[[#This Row],[ reservaFechaInicio]]+1</f>
        <v>12</v>
      </c>
      <c r="J25" s="8">
        <f>+_xlfn.XLOOKUP(Reservas[[#This Row],[ habitacionNombre]],Habitaciones[Nombre],Habitaciones[Costo])</f>
        <v>70</v>
      </c>
      <c r="K25" s="19">
        <f>+Reservas[[#This Row],[ reservaMonto]]/I25</f>
        <v>70</v>
      </c>
      <c r="L25" s="20">
        <f t="shared" si="0"/>
        <v>0</v>
      </c>
      <c r="M25" t="str">
        <f>+TRIM(Reservas[[#This Row],[ habitacionNombre]])</f>
        <v>El Mirador</v>
      </c>
      <c r="N25" t="s">
        <v>372</v>
      </c>
      <c r="O25">
        <f>+Reservas[[#This Row],[gatoID]]</f>
        <v>11</v>
      </c>
      <c r="P25" t="s">
        <v>374</v>
      </c>
      <c r="Q25" t="str">
        <f>+Reservas[[#This Row],[ habitacionNombre]]</f>
        <v>El Mirador</v>
      </c>
      <c r="R25" s="21" t="s">
        <v>375</v>
      </c>
      <c r="S25" t="str">
        <f>+TEXT(Reservas[[#This Row],[ reservaFechaInicio]],"yyyy-mm-dd")</f>
        <v>2024-06-18</v>
      </c>
      <c r="T25" s="21" t="s">
        <v>375</v>
      </c>
      <c r="U25" t="str">
        <f>+TEXT(Reservas[[#This Row],[ reservaFechaFin]],"yyyy-mm-dd")</f>
        <v>2024-06-29</v>
      </c>
      <c r="V25" s="21" t="s">
        <v>376</v>
      </c>
      <c r="W25">
        <f>+Reservas[[#This Row],[ reservaMonto]]</f>
        <v>840</v>
      </c>
      <c r="X25" t="s">
        <v>373</v>
      </c>
      <c r="Y25" t="str">
        <f t="shared" si="1"/>
        <v>(11,'El Mirador','2024-06-18','2024-06-29',840),</v>
      </c>
    </row>
    <row r="26" spans="1:25" x14ac:dyDescent="0.25">
      <c r="A26">
        <f t="shared" si="2"/>
        <v>24</v>
      </c>
      <c r="B26">
        <v>20</v>
      </c>
      <c r="C26" s="7" t="s">
        <v>92</v>
      </c>
      <c r="D26" s="7">
        <v>45468</v>
      </c>
      <c r="E26" s="7">
        <v>45475</v>
      </c>
      <c r="F26">
        <v>320</v>
      </c>
      <c r="G26" s="18">
        <f>+YEAR(Reservas[[#This Row],[ reservaFechaInicio]])</f>
        <v>2024</v>
      </c>
      <c r="I26" s="18">
        <f>+Reservas[[#This Row],[ reservaFechaFin]]-Reservas[[#This Row],[ reservaFechaInicio]]+1</f>
        <v>8</v>
      </c>
      <c r="J26" s="8">
        <f>+_xlfn.XLOOKUP(Reservas[[#This Row],[ habitacionNombre]],Habitaciones[Nombre],Habitaciones[Costo])</f>
        <v>40</v>
      </c>
      <c r="K26" s="19">
        <f>+Reservas[[#This Row],[ reservaMonto]]/I26</f>
        <v>40</v>
      </c>
      <c r="L26" s="20">
        <f t="shared" si="0"/>
        <v>0</v>
      </c>
      <c r="M26" t="str">
        <f>+TRIM(Reservas[[#This Row],[ habitacionNombre]])</f>
        <v>El Jardín</v>
      </c>
      <c r="N26" t="s">
        <v>372</v>
      </c>
      <c r="O26">
        <f>+Reservas[[#This Row],[gatoID]]</f>
        <v>20</v>
      </c>
      <c r="P26" t="s">
        <v>374</v>
      </c>
      <c r="Q26" t="str">
        <f>+Reservas[[#This Row],[ habitacionNombre]]</f>
        <v>El Jardín</v>
      </c>
      <c r="R26" s="21" t="s">
        <v>375</v>
      </c>
      <c r="S26" t="str">
        <f>+TEXT(Reservas[[#This Row],[ reservaFechaInicio]],"yyyy-mm-dd")</f>
        <v>2024-06-25</v>
      </c>
      <c r="T26" s="21" t="s">
        <v>375</v>
      </c>
      <c r="U26" t="str">
        <f>+TEXT(Reservas[[#This Row],[ reservaFechaFin]],"yyyy-mm-dd")</f>
        <v>2024-07-02</v>
      </c>
      <c r="V26" s="21" t="s">
        <v>376</v>
      </c>
      <c r="W26">
        <f>+Reservas[[#This Row],[ reservaMonto]]</f>
        <v>320</v>
      </c>
      <c r="X26" t="s">
        <v>373</v>
      </c>
      <c r="Y26" t="str">
        <f t="shared" si="1"/>
        <v>(20,'El Jardín','2024-06-25','2024-07-02',320),</v>
      </c>
    </row>
    <row r="27" spans="1:25" x14ac:dyDescent="0.25">
      <c r="A27">
        <f t="shared" si="2"/>
        <v>25</v>
      </c>
      <c r="B27">
        <v>32</v>
      </c>
      <c r="C27" s="7" t="s">
        <v>88</v>
      </c>
      <c r="D27" s="7">
        <v>45496</v>
      </c>
      <c r="E27" s="7">
        <v>45505</v>
      </c>
      <c r="F27">
        <v>800</v>
      </c>
      <c r="G27" s="18">
        <f>+YEAR(Reservas[[#This Row],[ reservaFechaInicio]])</f>
        <v>2024</v>
      </c>
      <c r="I27" s="18">
        <f>+Reservas[[#This Row],[ reservaFechaFin]]-Reservas[[#This Row],[ reservaFechaInicio]]+1</f>
        <v>10</v>
      </c>
      <c r="J27" s="8">
        <f>+_xlfn.XLOOKUP(Reservas[[#This Row],[ habitacionNombre]],Habitaciones[Nombre],Habitaciones[Costo])</f>
        <v>80</v>
      </c>
      <c r="K27" s="19">
        <f>+Reservas[[#This Row],[ reservaMonto]]/I27</f>
        <v>80</v>
      </c>
      <c r="L27" s="20">
        <f t="shared" si="0"/>
        <v>0</v>
      </c>
      <c r="M27" t="str">
        <f>+TRIM(Reservas[[#This Row],[ habitacionNombre]])</f>
        <v>El Rascador</v>
      </c>
      <c r="N27" t="s">
        <v>372</v>
      </c>
      <c r="O27">
        <f>+Reservas[[#This Row],[gatoID]]</f>
        <v>32</v>
      </c>
      <c r="P27" t="s">
        <v>374</v>
      </c>
      <c r="Q27" t="str">
        <f>+Reservas[[#This Row],[ habitacionNombre]]</f>
        <v>El Rascador</v>
      </c>
      <c r="R27" s="21" t="s">
        <v>375</v>
      </c>
      <c r="S27" t="str">
        <f>+TEXT(Reservas[[#This Row],[ reservaFechaInicio]],"yyyy-mm-dd")</f>
        <v>2024-07-23</v>
      </c>
      <c r="T27" s="21" t="s">
        <v>375</v>
      </c>
      <c r="U27" t="str">
        <f>+TEXT(Reservas[[#This Row],[ reservaFechaFin]],"yyyy-mm-dd")</f>
        <v>2024-08-01</v>
      </c>
      <c r="V27" s="21" t="s">
        <v>376</v>
      </c>
      <c r="W27">
        <f>+Reservas[[#This Row],[ reservaMonto]]</f>
        <v>800</v>
      </c>
      <c r="X27" t="s">
        <v>373</v>
      </c>
      <c r="Y27" t="str">
        <f t="shared" si="1"/>
        <v>(32,'El Rascador','2024-07-23','2024-08-01',800),</v>
      </c>
    </row>
    <row r="28" spans="1:25" x14ac:dyDescent="0.25">
      <c r="A28">
        <f t="shared" si="2"/>
        <v>26</v>
      </c>
      <c r="B28">
        <v>16</v>
      </c>
      <c r="C28" s="7" t="s">
        <v>88</v>
      </c>
      <c r="D28" s="7">
        <v>45496</v>
      </c>
      <c r="E28" s="7">
        <v>45505</v>
      </c>
      <c r="F28">
        <v>800</v>
      </c>
      <c r="G28" s="18">
        <f>+YEAR(Reservas[[#This Row],[ reservaFechaInicio]])</f>
        <v>2024</v>
      </c>
      <c r="I28" s="18">
        <f>+Reservas[[#This Row],[ reservaFechaFin]]-Reservas[[#This Row],[ reservaFechaInicio]]+1</f>
        <v>10</v>
      </c>
      <c r="J28" s="8">
        <f>+_xlfn.XLOOKUP(Reservas[[#This Row],[ habitacionNombre]],Habitaciones[Nombre],Habitaciones[Costo])</f>
        <v>80</v>
      </c>
      <c r="K28" s="19">
        <f>+Reservas[[#This Row],[ reservaMonto]]/I28</f>
        <v>80</v>
      </c>
      <c r="L28" s="20">
        <f t="shared" si="0"/>
        <v>0</v>
      </c>
      <c r="M28" t="str">
        <f>+TRIM(Reservas[[#This Row],[ habitacionNombre]])</f>
        <v>El Rascador</v>
      </c>
      <c r="N28" t="s">
        <v>372</v>
      </c>
      <c r="O28">
        <f>+Reservas[[#This Row],[gatoID]]</f>
        <v>16</v>
      </c>
      <c r="P28" t="s">
        <v>374</v>
      </c>
      <c r="Q28" t="str">
        <f>+Reservas[[#This Row],[ habitacionNombre]]</f>
        <v>El Rascador</v>
      </c>
      <c r="R28" s="21" t="s">
        <v>375</v>
      </c>
      <c r="S28" t="str">
        <f>+TEXT(Reservas[[#This Row],[ reservaFechaInicio]],"yyyy-mm-dd")</f>
        <v>2024-07-23</v>
      </c>
      <c r="T28" s="21" t="s">
        <v>375</v>
      </c>
      <c r="U28" t="str">
        <f>+TEXT(Reservas[[#This Row],[ reservaFechaFin]],"yyyy-mm-dd")</f>
        <v>2024-08-01</v>
      </c>
      <c r="V28" s="21" t="s">
        <v>376</v>
      </c>
      <c r="W28">
        <f>+Reservas[[#This Row],[ reservaMonto]]</f>
        <v>800</v>
      </c>
      <c r="X28" t="s">
        <v>373</v>
      </c>
      <c r="Y28" t="str">
        <f t="shared" si="1"/>
        <v>(16,'El Rascador','2024-07-23','2024-08-01',800),</v>
      </c>
    </row>
    <row r="29" spans="1:25" x14ac:dyDescent="0.25">
      <c r="A29">
        <f t="shared" si="2"/>
        <v>27</v>
      </c>
      <c r="B29">
        <v>17</v>
      </c>
      <c r="C29" s="7" t="s">
        <v>89</v>
      </c>
      <c r="D29" s="7">
        <v>45519</v>
      </c>
      <c r="E29" s="7">
        <v>45529</v>
      </c>
      <c r="F29">
        <v>1100</v>
      </c>
      <c r="G29" s="18">
        <f>+YEAR(Reservas[[#This Row],[ reservaFechaInicio]])</f>
        <v>2024</v>
      </c>
      <c r="I29" s="18">
        <f>+Reservas[[#This Row],[ reservaFechaFin]]-Reservas[[#This Row],[ reservaFechaInicio]]+1</f>
        <v>11</v>
      </c>
      <c r="J29" s="8">
        <f>+_xlfn.XLOOKUP(Reservas[[#This Row],[ habitacionNombre]],Habitaciones[Nombre],Habitaciones[Costo])</f>
        <v>100</v>
      </c>
      <c r="K29" s="19">
        <f>+Reservas[[#This Row],[ reservaMonto]]/I29</f>
        <v>100</v>
      </c>
      <c r="L29" s="20">
        <f t="shared" si="0"/>
        <v>0</v>
      </c>
      <c r="M29" t="str">
        <f>+TRIM(Reservas[[#This Row],[ habitacionNombre]])</f>
        <v>La Almohada</v>
      </c>
      <c r="N29" t="s">
        <v>372</v>
      </c>
      <c r="O29">
        <f>+Reservas[[#This Row],[gatoID]]</f>
        <v>17</v>
      </c>
      <c r="P29" t="s">
        <v>374</v>
      </c>
      <c r="Q29" t="str">
        <f>+Reservas[[#This Row],[ habitacionNombre]]</f>
        <v>La Almohada</v>
      </c>
      <c r="R29" s="21" t="s">
        <v>375</v>
      </c>
      <c r="S29" t="str">
        <f>+TEXT(Reservas[[#This Row],[ reservaFechaInicio]],"yyyy-mm-dd")</f>
        <v>2024-08-15</v>
      </c>
      <c r="T29" s="21" t="s">
        <v>375</v>
      </c>
      <c r="U29" t="str">
        <f>+TEXT(Reservas[[#This Row],[ reservaFechaFin]],"yyyy-mm-dd")</f>
        <v>2024-08-25</v>
      </c>
      <c r="V29" s="21" t="s">
        <v>376</v>
      </c>
      <c r="W29">
        <f>+Reservas[[#This Row],[ reservaMonto]]</f>
        <v>1100</v>
      </c>
      <c r="X29" t="s">
        <v>373</v>
      </c>
      <c r="Y29" t="str">
        <f t="shared" si="1"/>
        <v>(17,'La Almohada','2024-08-15','2024-08-25',1100),</v>
      </c>
    </row>
    <row r="30" spans="1:25" x14ac:dyDescent="0.25">
      <c r="A30">
        <f t="shared" si="2"/>
        <v>28</v>
      </c>
      <c r="B30">
        <v>16</v>
      </c>
      <c r="C30" s="7" t="s">
        <v>93</v>
      </c>
      <c r="D30" s="7">
        <v>45520</v>
      </c>
      <c r="E30" s="7">
        <v>45530</v>
      </c>
      <c r="F30">
        <v>1320</v>
      </c>
      <c r="G30" s="18">
        <f>+YEAR(Reservas[[#This Row],[ reservaFechaInicio]])</f>
        <v>2024</v>
      </c>
      <c r="I30" s="18">
        <f>+Reservas[[#This Row],[ reservaFechaFin]]-Reservas[[#This Row],[ reservaFechaInicio]]+1</f>
        <v>11</v>
      </c>
      <c r="J30" s="8">
        <f>+_xlfn.XLOOKUP(Reservas[[#This Row],[ habitacionNombre]],Habitaciones[Nombre],Habitaciones[Costo])</f>
        <v>120</v>
      </c>
      <c r="K30" s="19">
        <f>+Reservas[[#This Row],[ reservaMonto]]/I30</f>
        <v>120</v>
      </c>
      <c r="L30" s="20">
        <f t="shared" si="0"/>
        <v>0</v>
      </c>
      <c r="M30" t="str">
        <f>+TRIM(Reservas[[#This Row],[ habitacionNombre]])</f>
        <v>El Solarium</v>
      </c>
      <c r="N30" t="s">
        <v>372</v>
      </c>
      <c r="O30">
        <f>+Reservas[[#This Row],[gatoID]]</f>
        <v>16</v>
      </c>
      <c r="P30" t="s">
        <v>374</v>
      </c>
      <c r="Q30" t="str">
        <f>+Reservas[[#This Row],[ habitacionNombre]]</f>
        <v>El Solarium</v>
      </c>
      <c r="R30" s="21" t="s">
        <v>375</v>
      </c>
      <c r="S30" t="str">
        <f>+TEXT(Reservas[[#This Row],[ reservaFechaInicio]],"yyyy-mm-dd")</f>
        <v>2024-08-16</v>
      </c>
      <c r="T30" s="21" t="s">
        <v>375</v>
      </c>
      <c r="U30" t="str">
        <f>+TEXT(Reservas[[#This Row],[ reservaFechaFin]],"yyyy-mm-dd")</f>
        <v>2024-08-26</v>
      </c>
      <c r="V30" s="21" t="s">
        <v>376</v>
      </c>
      <c r="W30">
        <f>+Reservas[[#This Row],[ reservaMonto]]</f>
        <v>1320</v>
      </c>
      <c r="X30" t="s">
        <v>373</v>
      </c>
      <c r="Y30" t="str">
        <f t="shared" si="1"/>
        <v>(16,'El Solarium','2024-08-16','2024-08-26',1320),</v>
      </c>
    </row>
    <row r="31" spans="1:25" x14ac:dyDescent="0.25">
      <c r="A31">
        <f t="shared" si="2"/>
        <v>29</v>
      </c>
      <c r="B31">
        <v>7</v>
      </c>
      <c r="C31" s="7" t="s">
        <v>95</v>
      </c>
      <c r="D31" s="7">
        <v>45523</v>
      </c>
      <c r="E31" s="7">
        <v>45531</v>
      </c>
      <c r="F31">
        <v>270</v>
      </c>
      <c r="G31" s="18">
        <f>+YEAR(Reservas[[#This Row],[ reservaFechaInicio]])</f>
        <v>2024</v>
      </c>
      <c r="I31" s="18">
        <f>+Reservas[[#This Row],[ reservaFechaFin]]-Reservas[[#This Row],[ reservaFechaInicio]]+1</f>
        <v>9</v>
      </c>
      <c r="J31" s="8">
        <f>+_xlfn.XLOOKUP(Reservas[[#This Row],[ habitacionNombre]],Habitaciones[Nombre],Habitaciones[Costo])</f>
        <v>30</v>
      </c>
      <c r="K31" s="19">
        <f>+Reservas[[#This Row],[ reservaMonto]]/I31</f>
        <v>30</v>
      </c>
      <c r="L31" s="20">
        <f t="shared" si="0"/>
        <v>0</v>
      </c>
      <c r="M31" t="str">
        <f>+TRIM(Reservas[[#This Row],[ habitacionNombre]])</f>
        <v>La Estantería</v>
      </c>
      <c r="N31" t="s">
        <v>372</v>
      </c>
      <c r="O31">
        <f>+Reservas[[#This Row],[gatoID]]</f>
        <v>7</v>
      </c>
      <c r="P31" t="s">
        <v>374</v>
      </c>
      <c r="Q31" t="str">
        <f>+Reservas[[#This Row],[ habitacionNombre]]</f>
        <v>La Estantería</v>
      </c>
      <c r="R31" s="21" t="s">
        <v>375</v>
      </c>
      <c r="S31" t="str">
        <f>+TEXT(Reservas[[#This Row],[ reservaFechaInicio]],"yyyy-mm-dd")</f>
        <v>2024-08-19</v>
      </c>
      <c r="T31" s="21" t="s">
        <v>375</v>
      </c>
      <c r="U31" t="str">
        <f>+TEXT(Reservas[[#This Row],[ reservaFechaFin]],"yyyy-mm-dd")</f>
        <v>2024-08-27</v>
      </c>
      <c r="V31" s="21" t="s">
        <v>376</v>
      </c>
      <c r="W31">
        <f>+Reservas[[#This Row],[ reservaMonto]]</f>
        <v>270</v>
      </c>
      <c r="X31" t="s">
        <v>373</v>
      </c>
      <c r="Y31" t="str">
        <f t="shared" si="1"/>
        <v>(7,'La Estantería','2024-08-19','2024-08-27',270),</v>
      </c>
    </row>
    <row r="32" spans="1:25" x14ac:dyDescent="0.25">
      <c r="A32">
        <f t="shared" si="2"/>
        <v>30</v>
      </c>
      <c r="B32">
        <v>7</v>
      </c>
      <c r="C32" s="7" t="s">
        <v>88</v>
      </c>
      <c r="D32" s="7">
        <v>45528</v>
      </c>
      <c r="E32" s="7">
        <v>45530</v>
      </c>
      <c r="F32">
        <v>240</v>
      </c>
      <c r="G32" s="18">
        <f>+YEAR(Reservas[[#This Row],[ reservaFechaInicio]])</f>
        <v>2024</v>
      </c>
      <c r="I32" s="18">
        <f>+Reservas[[#This Row],[ reservaFechaFin]]-Reservas[[#This Row],[ reservaFechaInicio]]+1</f>
        <v>3</v>
      </c>
      <c r="J32" s="8">
        <f>+_xlfn.XLOOKUP(Reservas[[#This Row],[ habitacionNombre]],Habitaciones[Nombre],Habitaciones[Costo])</f>
        <v>80</v>
      </c>
      <c r="K32" s="19">
        <f>+Reservas[[#This Row],[ reservaMonto]]/I32</f>
        <v>80</v>
      </c>
      <c r="L32" s="20">
        <f t="shared" si="0"/>
        <v>0</v>
      </c>
      <c r="M32" t="str">
        <f>+TRIM(Reservas[[#This Row],[ habitacionNombre]])</f>
        <v>El Rascador</v>
      </c>
      <c r="N32" t="s">
        <v>372</v>
      </c>
      <c r="O32">
        <f>+Reservas[[#This Row],[gatoID]]</f>
        <v>7</v>
      </c>
      <c r="P32" t="s">
        <v>374</v>
      </c>
      <c r="Q32" t="str">
        <f>+Reservas[[#This Row],[ habitacionNombre]]</f>
        <v>El Rascador</v>
      </c>
      <c r="R32" s="21" t="s">
        <v>375</v>
      </c>
      <c r="S32" t="str">
        <f>+TEXT(Reservas[[#This Row],[ reservaFechaInicio]],"yyyy-mm-dd")</f>
        <v>2024-08-24</v>
      </c>
      <c r="T32" s="21" t="s">
        <v>375</v>
      </c>
      <c r="U32" t="str">
        <f>+TEXT(Reservas[[#This Row],[ reservaFechaFin]],"yyyy-mm-dd")</f>
        <v>2024-08-26</v>
      </c>
      <c r="V32" s="21" t="s">
        <v>376</v>
      </c>
      <c r="W32">
        <f>+Reservas[[#This Row],[ reservaMonto]]</f>
        <v>240</v>
      </c>
      <c r="X32" t="s">
        <v>373</v>
      </c>
      <c r="Y32" t="str">
        <f t="shared" si="1"/>
        <v>(7,'El Rascador','2024-08-24','2024-08-26',240),</v>
      </c>
    </row>
    <row r="33" spans="1:25" x14ac:dyDescent="0.25">
      <c r="A33">
        <f t="shared" si="2"/>
        <v>31</v>
      </c>
      <c r="B33">
        <v>30</v>
      </c>
      <c r="C33" s="7" t="s">
        <v>96</v>
      </c>
      <c r="D33" s="7">
        <v>45529</v>
      </c>
      <c r="E33" s="7">
        <v>45532</v>
      </c>
      <c r="F33">
        <v>280</v>
      </c>
      <c r="G33" s="18">
        <f>+YEAR(Reservas[[#This Row],[ reservaFechaInicio]])</f>
        <v>2024</v>
      </c>
      <c r="I33" s="18">
        <f>+Reservas[[#This Row],[ reservaFechaFin]]-Reservas[[#This Row],[ reservaFechaInicio]]+1</f>
        <v>4</v>
      </c>
      <c r="J33" s="8">
        <f>+_xlfn.XLOOKUP(Reservas[[#This Row],[ habitacionNombre]],Habitaciones[Nombre],Habitaciones[Costo])</f>
        <v>70</v>
      </c>
      <c r="K33" s="19">
        <f>+Reservas[[#This Row],[ reservaMonto]]/I33</f>
        <v>70</v>
      </c>
      <c r="L33" s="20">
        <f t="shared" si="0"/>
        <v>0</v>
      </c>
      <c r="M33" t="str">
        <f>+TRIM(Reservas[[#This Row],[ habitacionNombre]])</f>
        <v>La Caja</v>
      </c>
      <c r="N33" t="s">
        <v>372</v>
      </c>
      <c r="O33">
        <f>+Reservas[[#This Row],[gatoID]]</f>
        <v>30</v>
      </c>
      <c r="P33" t="s">
        <v>374</v>
      </c>
      <c r="Q33" t="str">
        <f>+Reservas[[#This Row],[ habitacionNombre]]</f>
        <v>La Caja</v>
      </c>
      <c r="R33" s="21" t="s">
        <v>375</v>
      </c>
      <c r="S33" t="str">
        <f>+TEXT(Reservas[[#This Row],[ reservaFechaInicio]],"yyyy-mm-dd")</f>
        <v>2024-08-25</v>
      </c>
      <c r="T33" s="21" t="s">
        <v>375</v>
      </c>
      <c r="U33" t="str">
        <f>+TEXT(Reservas[[#This Row],[ reservaFechaFin]],"yyyy-mm-dd")</f>
        <v>2024-08-28</v>
      </c>
      <c r="V33" s="21" t="s">
        <v>376</v>
      </c>
      <c r="W33">
        <f>+Reservas[[#This Row],[ reservaMonto]]</f>
        <v>280</v>
      </c>
      <c r="X33" t="s">
        <v>373</v>
      </c>
      <c r="Y33" t="str">
        <f t="shared" si="1"/>
        <v>(30,'La Caja','2024-08-25','2024-08-28',280),</v>
      </c>
    </row>
    <row r="34" spans="1:25" x14ac:dyDescent="0.25">
      <c r="A34">
        <f t="shared" si="2"/>
        <v>32</v>
      </c>
      <c r="B34">
        <v>6</v>
      </c>
      <c r="C34" s="7" t="s">
        <v>96</v>
      </c>
      <c r="D34" s="7">
        <v>45542</v>
      </c>
      <c r="E34" s="7">
        <v>45546</v>
      </c>
      <c r="F34">
        <v>350</v>
      </c>
      <c r="G34" s="18">
        <f>+YEAR(Reservas[[#This Row],[ reservaFechaInicio]])</f>
        <v>2024</v>
      </c>
      <c r="I34" s="18">
        <f>+Reservas[[#This Row],[ reservaFechaFin]]-Reservas[[#This Row],[ reservaFechaInicio]]+1</f>
        <v>5</v>
      </c>
      <c r="J34" s="8">
        <f>+_xlfn.XLOOKUP(Reservas[[#This Row],[ habitacionNombre]],Habitaciones[Nombre],Habitaciones[Costo])</f>
        <v>70</v>
      </c>
      <c r="K34" s="19">
        <f>+Reservas[[#This Row],[ reservaMonto]]/I34</f>
        <v>70</v>
      </c>
      <c r="L34" s="20">
        <f t="shared" si="0"/>
        <v>0</v>
      </c>
      <c r="M34" t="str">
        <f>+TRIM(Reservas[[#This Row],[ habitacionNombre]])</f>
        <v>La Caja</v>
      </c>
      <c r="N34" t="s">
        <v>372</v>
      </c>
      <c r="O34">
        <f>+Reservas[[#This Row],[gatoID]]</f>
        <v>6</v>
      </c>
      <c r="P34" t="s">
        <v>374</v>
      </c>
      <c r="Q34" t="str">
        <f>+Reservas[[#This Row],[ habitacionNombre]]</f>
        <v>La Caja</v>
      </c>
      <c r="R34" s="21" t="s">
        <v>375</v>
      </c>
      <c r="S34" t="str">
        <f>+TEXT(Reservas[[#This Row],[ reservaFechaInicio]],"yyyy-mm-dd")</f>
        <v>2024-09-07</v>
      </c>
      <c r="T34" s="21" t="s">
        <v>375</v>
      </c>
      <c r="U34" t="str">
        <f>+TEXT(Reservas[[#This Row],[ reservaFechaFin]],"yyyy-mm-dd")</f>
        <v>2024-09-11</v>
      </c>
      <c r="V34" s="21" t="s">
        <v>376</v>
      </c>
      <c r="W34">
        <f>+Reservas[[#This Row],[ reservaMonto]]</f>
        <v>350</v>
      </c>
      <c r="X34" t="s">
        <v>373</v>
      </c>
      <c r="Y34" t="str">
        <f t="shared" si="1"/>
        <v>(6,'La Caja','2024-09-07','2024-09-11',350),</v>
      </c>
    </row>
    <row r="35" spans="1:25" x14ac:dyDescent="0.25">
      <c r="A35">
        <f t="shared" si="2"/>
        <v>33</v>
      </c>
      <c r="B35">
        <v>25</v>
      </c>
      <c r="C35" s="7" t="s">
        <v>95</v>
      </c>
      <c r="D35" s="7">
        <v>45561</v>
      </c>
      <c r="E35" s="7">
        <v>45573</v>
      </c>
      <c r="F35">
        <v>390</v>
      </c>
      <c r="G35" s="18">
        <f>+YEAR(Reservas[[#This Row],[ reservaFechaInicio]])</f>
        <v>2024</v>
      </c>
      <c r="I35" s="18">
        <f>+Reservas[[#This Row],[ reservaFechaFin]]-Reservas[[#This Row],[ reservaFechaInicio]]+1</f>
        <v>13</v>
      </c>
      <c r="J35" s="8">
        <f>+_xlfn.XLOOKUP(Reservas[[#This Row],[ habitacionNombre]],Habitaciones[Nombre],Habitaciones[Costo])</f>
        <v>30</v>
      </c>
      <c r="K35" s="19">
        <f>+Reservas[[#This Row],[ reservaMonto]]/I35</f>
        <v>30</v>
      </c>
      <c r="L35" s="20">
        <f t="shared" si="0"/>
        <v>0</v>
      </c>
      <c r="M35" t="str">
        <f>+TRIM(Reservas[[#This Row],[ habitacionNombre]])</f>
        <v>La Estantería</v>
      </c>
      <c r="N35" t="s">
        <v>372</v>
      </c>
      <c r="O35">
        <f>+Reservas[[#This Row],[gatoID]]</f>
        <v>25</v>
      </c>
      <c r="P35" t="s">
        <v>374</v>
      </c>
      <c r="Q35" t="str">
        <f>+Reservas[[#This Row],[ habitacionNombre]]</f>
        <v>La Estantería</v>
      </c>
      <c r="R35" s="21" t="s">
        <v>375</v>
      </c>
      <c r="S35" t="str">
        <f>+TEXT(Reservas[[#This Row],[ reservaFechaInicio]],"yyyy-mm-dd")</f>
        <v>2024-09-26</v>
      </c>
      <c r="T35" s="21" t="s">
        <v>375</v>
      </c>
      <c r="U35" t="str">
        <f>+TEXT(Reservas[[#This Row],[ reservaFechaFin]],"yyyy-mm-dd")</f>
        <v>2024-10-08</v>
      </c>
      <c r="V35" s="21" t="s">
        <v>376</v>
      </c>
      <c r="W35">
        <f>+Reservas[[#This Row],[ reservaMonto]]</f>
        <v>390</v>
      </c>
      <c r="X35" t="s">
        <v>373</v>
      </c>
      <c r="Y35" t="str">
        <f t="shared" si="1"/>
        <v>(25,'La Estantería','2024-09-26','2024-10-08',390),</v>
      </c>
    </row>
    <row r="36" spans="1:25" x14ac:dyDescent="0.25">
      <c r="A36">
        <f t="shared" si="2"/>
        <v>34</v>
      </c>
      <c r="B36">
        <v>1</v>
      </c>
      <c r="C36" s="7" t="s">
        <v>95</v>
      </c>
      <c r="D36" s="7">
        <v>45566</v>
      </c>
      <c r="E36" s="7">
        <v>45569</v>
      </c>
      <c r="F36">
        <v>120</v>
      </c>
      <c r="G36" s="18">
        <f>+YEAR(Reservas[[#This Row],[ reservaFechaInicio]])</f>
        <v>2024</v>
      </c>
      <c r="I36" s="18">
        <f>+Reservas[[#This Row],[ reservaFechaFin]]-Reservas[[#This Row],[ reservaFechaInicio]]+1</f>
        <v>4</v>
      </c>
      <c r="J36" s="8">
        <f>+_xlfn.XLOOKUP(Reservas[[#This Row],[ habitacionNombre]],Habitaciones[Nombre],Habitaciones[Costo])</f>
        <v>30</v>
      </c>
      <c r="K36" s="19">
        <f>+Reservas[[#This Row],[ reservaMonto]]/I36</f>
        <v>30</v>
      </c>
      <c r="L36" s="20">
        <f t="shared" si="0"/>
        <v>0</v>
      </c>
      <c r="M36" t="str">
        <f>+TRIM(Reservas[[#This Row],[ habitacionNombre]])</f>
        <v>La Estantería</v>
      </c>
      <c r="N36" t="s">
        <v>372</v>
      </c>
      <c r="O36">
        <f>+Reservas[[#This Row],[gatoID]]</f>
        <v>1</v>
      </c>
      <c r="P36" t="s">
        <v>374</v>
      </c>
      <c r="Q36" t="str">
        <f>+Reservas[[#This Row],[ habitacionNombre]]</f>
        <v>La Estantería</v>
      </c>
      <c r="R36" s="21" t="s">
        <v>375</v>
      </c>
      <c r="S36" t="str">
        <f>+TEXT(Reservas[[#This Row],[ reservaFechaInicio]],"yyyy-mm-dd")</f>
        <v>2024-10-01</v>
      </c>
      <c r="T36" s="21" t="s">
        <v>375</v>
      </c>
      <c r="U36" t="str">
        <f>+TEXT(Reservas[[#This Row],[ reservaFechaFin]],"yyyy-mm-dd")</f>
        <v>2024-10-04</v>
      </c>
      <c r="V36" s="21" t="s">
        <v>376</v>
      </c>
      <c r="W36">
        <f>+Reservas[[#This Row],[ reservaMonto]]</f>
        <v>120</v>
      </c>
      <c r="X36" t="s">
        <v>373</v>
      </c>
      <c r="Y36" t="str">
        <f t="shared" si="1"/>
        <v>(1,'La Estantería','2024-10-01','2024-10-04',120),</v>
      </c>
    </row>
    <row r="37" spans="1:25" x14ac:dyDescent="0.25">
      <c r="A37">
        <f t="shared" si="2"/>
        <v>35</v>
      </c>
      <c r="B37">
        <v>2</v>
      </c>
      <c r="C37" s="7" t="s">
        <v>89</v>
      </c>
      <c r="D37" s="7">
        <v>45575</v>
      </c>
      <c r="E37" s="7">
        <v>45590</v>
      </c>
      <c r="F37">
        <v>1600</v>
      </c>
      <c r="G37" s="18">
        <f>+YEAR(Reservas[[#This Row],[ reservaFechaInicio]])</f>
        <v>2024</v>
      </c>
      <c r="I37" s="18">
        <f>+Reservas[[#This Row],[ reservaFechaFin]]-Reservas[[#This Row],[ reservaFechaInicio]]+1</f>
        <v>16</v>
      </c>
      <c r="J37" s="8">
        <f>+_xlfn.XLOOKUP(Reservas[[#This Row],[ habitacionNombre]],Habitaciones[Nombre],Habitaciones[Costo])</f>
        <v>100</v>
      </c>
      <c r="K37" s="19">
        <f>+Reservas[[#This Row],[ reservaMonto]]/I37</f>
        <v>100</v>
      </c>
      <c r="L37" s="20">
        <f t="shared" ref="L37" si="3">+K37-J37</f>
        <v>0</v>
      </c>
      <c r="M37" t="str">
        <f>+TRIM(Reservas[[#This Row],[ habitacionNombre]])</f>
        <v>La Almohada</v>
      </c>
      <c r="N37" t="s">
        <v>372</v>
      </c>
      <c r="O37">
        <f>+Reservas[[#This Row],[gatoID]]</f>
        <v>2</v>
      </c>
      <c r="P37" t="s">
        <v>374</v>
      </c>
      <c r="Q37" t="str">
        <f>+Reservas[[#This Row],[ habitacionNombre]]</f>
        <v>La Almohada</v>
      </c>
      <c r="R37" s="21" t="s">
        <v>375</v>
      </c>
      <c r="S37" t="str">
        <f>+TEXT(Reservas[[#This Row],[ reservaFechaInicio]],"yyyy-mm-dd")</f>
        <v>2024-10-10</v>
      </c>
      <c r="T37" s="21" t="s">
        <v>375</v>
      </c>
      <c r="U37" t="str">
        <f>+TEXT(Reservas[[#This Row],[ reservaFechaFin]],"yyyy-mm-dd")</f>
        <v>2024-10-25</v>
      </c>
      <c r="V37" s="21" t="s">
        <v>376</v>
      </c>
      <c r="W37">
        <f>+Reservas[[#This Row],[ reservaMonto]]</f>
        <v>1600</v>
      </c>
      <c r="X37" t="s">
        <v>373</v>
      </c>
      <c r="Y37" t="str">
        <f t="shared" si="1"/>
        <v>(2,'La Almohada','2024-10-10','2024-10-25',1600),</v>
      </c>
    </row>
    <row r="38" spans="1:25" x14ac:dyDescent="0.25">
      <c r="A38">
        <f t="shared" si="2"/>
        <v>36</v>
      </c>
      <c r="B38">
        <v>1</v>
      </c>
      <c r="C38" s="7" t="s">
        <v>88</v>
      </c>
      <c r="D38" s="7" t="s">
        <v>365</v>
      </c>
      <c r="E38" s="7" t="s">
        <v>366</v>
      </c>
      <c r="F38">
        <v>640</v>
      </c>
      <c r="G38" s="18">
        <f>+YEAR(Reservas[[#This Row],[ reservaFechaInicio]])</f>
        <v>2023</v>
      </c>
      <c r="I38" s="18">
        <f>+Reservas[[#This Row],[ reservaFechaFin]]-Reservas[[#This Row],[ reservaFechaInicio]]+1</f>
        <v>8</v>
      </c>
      <c r="J38" s="8">
        <f>+_xlfn.XLOOKUP(Reservas[[#This Row],[ habitacionNombre]],Habitaciones[Nombre],Habitaciones[Costo])</f>
        <v>80</v>
      </c>
      <c r="N38" t="s">
        <v>372</v>
      </c>
      <c r="O38">
        <f>+Reservas[[#This Row],[gatoID]]</f>
        <v>1</v>
      </c>
      <c r="P38" t="s">
        <v>374</v>
      </c>
      <c r="Q38" t="str">
        <f>+Reservas[[#This Row],[ habitacionNombre]]</f>
        <v>El Rascador</v>
      </c>
      <c r="R38" s="21" t="s">
        <v>375</v>
      </c>
      <c r="S38" t="str">
        <f>+TEXT(Reservas[[#This Row],[ reservaFechaInicio]],"yyyy-mm-dd")</f>
        <v>2023-01-10</v>
      </c>
      <c r="T38" s="21" t="s">
        <v>375</v>
      </c>
      <c r="U38" t="str">
        <f>+TEXT(Reservas[[#This Row],[ reservaFechaFin]],"yyyy-mm-dd")</f>
        <v>2023-01-17</v>
      </c>
      <c r="V38" s="21" t="s">
        <v>376</v>
      </c>
      <c r="W38">
        <f>+Reservas[[#This Row],[ reservaMonto]]</f>
        <v>640</v>
      </c>
      <c r="X38" t="s">
        <v>373</v>
      </c>
      <c r="Y38" t="str">
        <f t="shared" si="1"/>
        <v>(1,'El Rascador','2023-01-10','2023-01-17',640),</v>
      </c>
    </row>
    <row r="39" spans="1:25" x14ac:dyDescent="0.25">
      <c r="A39">
        <f t="shared" si="2"/>
        <v>37</v>
      </c>
      <c r="B39">
        <v>1</v>
      </c>
      <c r="C39" s="7" t="s">
        <v>93</v>
      </c>
      <c r="D39" s="7" t="s">
        <v>282</v>
      </c>
      <c r="E39" s="7" t="s">
        <v>283</v>
      </c>
      <c r="F39">
        <v>720</v>
      </c>
      <c r="G39" s="18">
        <f>+YEAR(Reservas[[#This Row],[ reservaFechaInicio]])</f>
        <v>2023</v>
      </c>
      <c r="I39" s="18">
        <f>+Reservas[[#This Row],[ reservaFechaFin]]-Reservas[[#This Row],[ reservaFechaInicio]]+1</f>
        <v>6</v>
      </c>
      <c r="J39" s="8">
        <f>+_xlfn.XLOOKUP(Reservas[[#This Row],[ habitacionNombre]],Habitaciones[Nombre],Habitaciones[Costo])</f>
        <v>120</v>
      </c>
      <c r="N39" t="s">
        <v>372</v>
      </c>
      <c r="O39">
        <f>+Reservas[[#This Row],[gatoID]]</f>
        <v>1</v>
      </c>
      <c r="P39" t="s">
        <v>374</v>
      </c>
      <c r="Q39" t="str">
        <f>+Reservas[[#This Row],[ habitacionNombre]]</f>
        <v>El Solarium</v>
      </c>
      <c r="R39" s="21" t="s">
        <v>375</v>
      </c>
      <c r="S39" t="str">
        <f>+TEXT(Reservas[[#This Row],[ reservaFechaInicio]],"yyyy-mm-dd")</f>
        <v>2023-01-15</v>
      </c>
      <c r="T39" s="21" t="s">
        <v>375</v>
      </c>
      <c r="U39" t="str">
        <f>+TEXT(Reservas[[#This Row],[ reservaFechaFin]],"yyyy-mm-dd")</f>
        <v>2023-01-20</v>
      </c>
      <c r="V39" s="21" t="s">
        <v>376</v>
      </c>
      <c r="W39">
        <f>+Reservas[[#This Row],[ reservaMonto]]</f>
        <v>720</v>
      </c>
      <c r="X39" t="s">
        <v>373</v>
      </c>
      <c r="Y39" t="str">
        <f t="shared" si="1"/>
        <v>(1,'El Solarium','2023-01-15','2023-01-20',720),</v>
      </c>
    </row>
    <row r="40" spans="1:25" x14ac:dyDescent="0.25">
      <c r="A40">
        <f t="shared" si="2"/>
        <v>38</v>
      </c>
      <c r="B40">
        <v>9</v>
      </c>
      <c r="C40" s="7" t="s">
        <v>94</v>
      </c>
      <c r="D40" s="7" t="s">
        <v>282</v>
      </c>
      <c r="E40" s="7" t="s">
        <v>330</v>
      </c>
      <c r="F40">
        <v>400</v>
      </c>
      <c r="G40" s="18">
        <f>+YEAR(Reservas[[#This Row],[ reservaFechaInicio]])</f>
        <v>2023</v>
      </c>
      <c r="I40" s="18">
        <f>+Reservas[[#This Row],[ reservaFechaFin]]-Reservas[[#This Row],[ reservaFechaInicio]]+1</f>
        <v>8</v>
      </c>
      <c r="J40" s="8">
        <f>+_xlfn.XLOOKUP(Reservas[[#This Row],[ habitacionNombre]],Habitaciones[Nombre],Habitaciones[Costo])</f>
        <v>50</v>
      </c>
      <c r="N40" t="s">
        <v>372</v>
      </c>
      <c r="O40">
        <f>+Reservas[[#This Row],[gatoID]]</f>
        <v>9</v>
      </c>
      <c r="P40" t="s">
        <v>374</v>
      </c>
      <c r="Q40" t="str">
        <f>+Reservas[[#This Row],[ habitacionNombre]]</f>
        <v>El Árbol</v>
      </c>
      <c r="R40" s="21" t="s">
        <v>375</v>
      </c>
      <c r="S40" t="str">
        <f>+TEXT(Reservas[[#This Row],[ reservaFechaInicio]],"yyyy-mm-dd")</f>
        <v>2023-01-15</v>
      </c>
      <c r="T40" s="21" t="s">
        <v>375</v>
      </c>
      <c r="U40" t="str">
        <f>+TEXT(Reservas[[#This Row],[ reservaFechaFin]],"yyyy-mm-dd")</f>
        <v>2023-01-22</v>
      </c>
      <c r="V40" s="21" t="s">
        <v>376</v>
      </c>
      <c r="W40">
        <f>+Reservas[[#This Row],[ reservaMonto]]</f>
        <v>400</v>
      </c>
      <c r="X40" t="s">
        <v>373</v>
      </c>
      <c r="Y40" t="str">
        <f t="shared" si="1"/>
        <v>(9,'El Árbol','2023-01-15','2023-01-22',400),</v>
      </c>
    </row>
    <row r="41" spans="1:25" x14ac:dyDescent="0.25">
      <c r="A41">
        <f t="shared" si="2"/>
        <v>39</v>
      </c>
      <c r="B41">
        <v>2</v>
      </c>
      <c r="C41" s="7" t="s">
        <v>89</v>
      </c>
      <c r="D41" s="7" t="s">
        <v>284</v>
      </c>
      <c r="E41" s="7" t="s">
        <v>285</v>
      </c>
      <c r="F41">
        <v>600</v>
      </c>
      <c r="G41" s="18">
        <f>+YEAR(Reservas[[#This Row],[ reservaFechaInicio]])</f>
        <v>2023</v>
      </c>
      <c r="I41" s="18">
        <f>+Reservas[[#This Row],[ reservaFechaFin]]-Reservas[[#This Row],[ reservaFechaInicio]]+1</f>
        <v>6</v>
      </c>
      <c r="J41" s="8">
        <f>+_xlfn.XLOOKUP(Reservas[[#This Row],[ habitacionNombre]],Habitaciones[Nombre],Habitaciones[Costo])</f>
        <v>100</v>
      </c>
      <c r="N41" t="s">
        <v>372</v>
      </c>
      <c r="O41">
        <f>+Reservas[[#This Row],[gatoID]]</f>
        <v>2</v>
      </c>
      <c r="P41" t="s">
        <v>374</v>
      </c>
      <c r="Q41" t="str">
        <f>+Reservas[[#This Row],[ habitacionNombre]]</f>
        <v>La Almohada</v>
      </c>
      <c r="R41" s="21" t="s">
        <v>375</v>
      </c>
      <c r="S41" t="str">
        <f>+TEXT(Reservas[[#This Row],[ reservaFechaInicio]],"yyyy-mm-dd")</f>
        <v>2023-02-05</v>
      </c>
      <c r="T41" s="21" t="s">
        <v>375</v>
      </c>
      <c r="U41" t="str">
        <f>+TEXT(Reservas[[#This Row],[ reservaFechaFin]],"yyyy-mm-dd")</f>
        <v>2023-02-10</v>
      </c>
      <c r="V41" s="21" t="s">
        <v>376</v>
      </c>
      <c r="W41">
        <f>+Reservas[[#This Row],[ reservaMonto]]</f>
        <v>600</v>
      </c>
      <c r="X41" t="s">
        <v>373</v>
      </c>
      <c r="Y41" t="str">
        <f t="shared" si="1"/>
        <v>(2,'La Almohada','2023-02-05','2023-02-10',600),</v>
      </c>
    </row>
    <row r="42" spans="1:25" x14ac:dyDescent="0.25">
      <c r="A42">
        <f t="shared" si="2"/>
        <v>40</v>
      </c>
      <c r="B42">
        <v>2</v>
      </c>
      <c r="C42" s="7" t="s">
        <v>90</v>
      </c>
      <c r="D42" s="7" t="s">
        <v>284</v>
      </c>
      <c r="E42" s="7" t="s">
        <v>367</v>
      </c>
      <c r="F42">
        <v>560</v>
      </c>
      <c r="G42" s="18">
        <f>+YEAR(Reservas[[#This Row],[ reservaFechaInicio]])</f>
        <v>2023</v>
      </c>
      <c r="I42" s="18">
        <f>+Reservas[[#This Row],[ reservaFechaFin]]-Reservas[[#This Row],[ reservaFechaInicio]]+1</f>
        <v>8</v>
      </c>
      <c r="J42" s="8">
        <f>+_xlfn.XLOOKUP(Reservas[[#This Row],[ habitacionNombre]],Habitaciones[Nombre],Habitaciones[Costo])</f>
        <v>70</v>
      </c>
      <c r="N42" t="s">
        <v>372</v>
      </c>
      <c r="O42">
        <f>+Reservas[[#This Row],[gatoID]]</f>
        <v>2</v>
      </c>
      <c r="P42" t="s">
        <v>374</v>
      </c>
      <c r="Q42" t="str">
        <f>+Reservas[[#This Row],[ habitacionNombre]]</f>
        <v>El Mirador</v>
      </c>
      <c r="R42" s="21" t="s">
        <v>375</v>
      </c>
      <c r="S42" t="str">
        <f>+TEXT(Reservas[[#This Row],[ reservaFechaInicio]],"yyyy-mm-dd")</f>
        <v>2023-02-05</v>
      </c>
      <c r="T42" s="21" t="s">
        <v>375</v>
      </c>
      <c r="U42" t="str">
        <f>+TEXT(Reservas[[#This Row],[ reservaFechaFin]],"yyyy-mm-dd")</f>
        <v>2023-02-12</v>
      </c>
      <c r="V42" s="21" t="s">
        <v>376</v>
      </c>
      <c r="W42">
        <f>+Reservas[[#This Row],[ reservaMonto]]</f>
        <v>560</v>
      </c>
      <c r="X42" t="s">
        <v>373</v>
      </c>
      <c r="Y42" t="str">
        <f t="shared" si="1"/>
        <v>(2,'El Mirador','2023-02-05','2023-02-12',560),</v>
      </c>
    </row>
    <row r="43" spans="1:25" x14ac:dyDescent="0.25">
      <c r="A43">
        <f t="shared" si="2"/>
        <v>41</v>
      </c>
      <c r="B43">
        <v>10</v>
      </c>
      <c r="C43" s="7" t="s">
        <v>92</v>
      </c>
      <c r="D43" s="7" t="s">
        <v>285</v>
      </c>
      <c r="E43" s="7" t="s">
        <v>331</v>
      </c>
      <c r="F43">
        <v>320</v>
      </c>
      <c r="G43" s="18">
        <f>+YEAR(Reservas[[#This Row],[ reservaFechaInicio]])</f>
        <v>2023</v>
      </c>
      <c r="I43" s="18">
        <f>+Reservas[[#This Row],[ reservaFechaFin]]-Reservas[[#This Row],[ reservaFechaInicio]]+1</f>
        <v>8</v>
      </c>
      <c r="J43" s="8">
        <f>+_xlfn.XLOOKUP(Reservas[[#This Row],[ habitacionNombre]],Habitaciones[Nombre],Habitaciones[Costo])</f>
        <v>40</v>
      </c>
      <c r="N43" t="s">
        <v>372</v>
      </c>
      <c r="O43">
        <f>+Reservas[[#This Row],[gatoID]]</f>
        <v>10</v>
      </c>
      <c r="P43" t="s">
        <v>374</v>
      </c>
      <c r="Q43" t="str">
        <f>+Reservas[[#This Row],[ habitacionNombre]]</f>
        <v>El Jardín</v>
      </c>
      <c r="R43" s="21" t="s">
        <v>375</v>
      </c>
      <c r="S43" t="str">
        <f>+TEXT(Reservas[[#This Row],[ reservaFechaInicio]],"yyyy-mm-dd")</f>
        <v>2023-02-10</v>
      </c>
      <c r="T43" s="21" t="s">
        <v>375</v>
      </c>
      <c r="U43" t="str">
        <f>+TEXT(Reservas[[#This Row],[ reservaFechaFin]],"yyyy-mm-dd")</f>
        <v>2023-02-17</v>
      </c>
      <c r="V43" s="21" t="s">
        <v>376</v>
      </c>
      <c r="W43">
        <f>+Reservas[[#This Row],[ reservaMonto]]</f>
        <v>320</v>
      </c>
      <c r="X43" t="s">
        <v>373</v>
      </c>
      <c r="Y43" t="str">
        <f t="shared" ref="Y43:Y93" si="4">+N43&amp;O43&amp;P43&amp;Q43&amp;R43&amp;S43&amp;T43&amp;U43&amp;V43&amp;W43&amp;X43</f>
        <v>(10,'El Jardín','2023-02-10','2023-02-17',320),</v>
      </c>
    </row>
    <row r="44" spans="1:25" x14ac:dyDescent="0.25">
      <c r="A44">
        <f t="shared" si="2"/>
        <v>42</v>
      </c>
      <c r="B44">
        <v>3</v>
      </c>
      <c r="C44" s="7" t="s">
        <v>96</v>
      </c>
      <c r="D44" s="7" t="s">
        <v>368</v>
      </c>
      <c r="E44" s="7" t="s">
        <v>369</v>
      </c>
      <c r="F44">
        <v>560</v>
      </c>
      <c r="G44" s="18">
        <f>+YEAR(Reservas[[#This Row],[ reservaFechaInicio]])</f>
        <v>2023</v>
      </c>
      <c r="I44" s="18">
        <f>+Reservas[[#This Row],[ reservaFechaFin]]-Reservas[[#This Row],[ reservaFechaInicio]]+1</f>
        <v>8</v>
      </c>
      <c r="J44" s="8">
        <f>+_xlfn.XLOOKUP(Reservas[[#This Row],[ habitacionNombre]],Habitaciones[Nombre],Habitaciones[Costo])</f>
        <v>70</v>
      </c>
      <c r="N44" t="s">
        <v>372</v>
      </c>
      <c r="O44">
        <f>+Reservas[[#This Row],[gatoID]]</f>
        <v>3</v>
      </c>
      <c r="P44" t="s">
        <v>374</v>
      </c>
      <c r="Q44" t="str">
        <f>+Reservas[[#This Row],[ habitacionNombre]]</f>
        <v>La Caja</v>
      </c>
      <c r="R44" s="21" t="s">
        <v>375</v>
      </c>
      <c r="S44" t="str">
        <f>+TEXT(Reservas[[#This Row],[ reservaFechaInicio]],"yyyy-mm-dd")</f>
        <v>2023-03-01</v>
      </c>
      <c r="T44" s="21" t="s">
        <v>375</v>
      </c>
      <c r="U44" t="str">
        <f>+TEXT(Reservas[[#This Row],[ reservaFechaFin]],"yyyy-mm-dd")</f>
        <v>2023-03-08</v>
      </c>
      <c r="V44" s="21" t="s">
        <v>376</v>
      </c>
      <c r="W44">
        <f>+Reservas[[#This Row],[ reservaMonto]]</f>
        <v>560</v>
      </c>
      <c r="X44" t="s">
        <v>373</v>
      </c>
      <c r="Y44" t="str">
        <f t="shared" si="4"/>
        <v>(3,'La Caja','2023-03-01','2023-03-08',560),</v>
      </c>
    </row>
    <row r="45" spans="1:25" x14ac:dyDescent="0.25">
      <c r="A45">
        <f t="shared" si="2"/>
        <v>43</v>
      </c>
      <c r="B45">
        <v>11</v>
      </c>
      <c r="C45" s="7" t="s">
        <v>95</v>
      </c>
      <c r="D45" s="7" t="s">
        <v>332</v>
      </c>
      <c r="E45" s="7" t="s">
        <v>286</v>
      </c>
      <c r="F45">
        <v>240</v>
      </c>
      <c r="G45" s="18">
        <f>+YEAR(Reservas[[#This Row],[ reservaFechaInicio]])</f>
        <v>2023</v>
      </c>
      <c r="I45" s="18">
        <f>+Reservas[[#This Row],[ reservaFechaFin]]-Reservas[[#This Row],[ reservaFechaInicio]]+1</f>
        <v>8</v>
      </c>
      <c r="J45" s="8">
        <f>+_xlfn.XLOOKUP(Reservas[[#This Row],[ habitacionNombre]],Habitaciones[Nombre],Habitaciones[Costo])</f>
        <v>30</v>
      </c>
      <c r="N45" t="s">
        <v>372</v>
      </c>
      <c r="O45">
        <f>+Reservas[[#This Row],[gatoID]]</f>
        <v>11</v>
      </c>
      <c r="P45" t="s">
        <v>374</v>
      </c>
      <c r="Q45" t="str">
        <f>+Reservas[[#This Row],[ habitacionNombre]]</f>
        <v>La Estantería</v>
      </c>
      <c r="R45" s="21" t="s">
        <v>375</v>
      </c>
      <c r="S45" t="str">
        <f>+TEXT(Reservas[[#This Row],[ reservaFechaInicio]],"yyyy-mm-dd")</f>
        <v>2023-03-05</v>
      </c>
      <c r="T45" s="21" t="s">
        <v>375</v>
      </c>
      <c r="U45" t="str">
        <f>+TEXT(Reservas[[#This Row],[ reservaFechaFin]],"yyyy-mm-dd")</f>
        <v>2023-03-12</v>
      </c>
      <c r="V45" s="21" t="s">
        <v>376</v>
      </c>
      <c r="W45">
        <f>+Reservas[[#This Row],[ reservaMonto]]</f>
        <v>240</v>
      </c>
      <c r="X45" t="s">
        <v>373</v>
      </c>
      <c r="Y45" t="str">
        <f t="shared" si="4"/>
        <v>(11,'La Estantería','2023-03-05','2023-03-12',240),</v>
      </c>
    </row>
    <row r="46" spans="1:25" x14ac:dyDescent="0.25">
      <c r="A46">
        <f t="shared" si="2"/>
        <v>44</v>
      </c>
      <c r="B46">
        <v>3</v>
      </c>
      <c r="C46" s="7" t="s">
        <v>91</v>
      </c>
      <c r="D46" s="7" t="s">
        <v>286</v>
      </c>
      <c r="E46" s="7" t="s">
        <v>287</v>
      </c>
      <c r="F46">
        <v>700</v>
      </c>
      <c r="G46" s="18">
        <f>+YEAR(Reservas[[#This Row],[ reservaFechaInicio]])</f>
        <v>2023</v>
      </c>
      <c r="I46" s="18">
        <f>+Reservas[[#This Row],[ reservaFechaFin]]-Reservas[[#This Row],[ reservaFechaInicio]]+1</f>
        <v>7</v>
      </c>
      <c r="J46" s="8">
        <f>+_xlfn.XLOOKUP(Reservas[[#This Row],[ habitacionNombre]],Habitaciones[Nombre],Habitaciones[Costo])</f>
        <v>100</v>
      </c>
      <c r="N46" t="s">
        <v>372</v>
      </c>
      <c r="O46">
        <f>+Reservas[[#This Row],[gatoID]]</f>
        <v>3</v>
      </c>
      <c r="P46" t="s">
        <v>374</v>
      </c>
      <c r="Q46" t="str">
        <f>+Reservas[[#This Row],[ habitacionNombre]]</f>
        <v>La Cueva</v>
      </c>
      <c r="R46" s="21" t="s">
        <v>375</v>
      </c>
      <c r="S46" t="str">
        <f>+TEXT(Reservas[[#This Row],[ reservaFechaInicio]],"yyyy-mm-dd")</f>
        <v>2023-03-12</v>
      </c>
      <c r="T46" s="21" t="s">
        <v>375</v>
      </c>
      <c r="U46" t="str">
        <f>+TEXT(Reservas[[#This Row],[ reservaFechaFin]],"yyyy-mm-dd")</f>
        <v>2023-03-18</v>
      </c>
      <c r="V46" s="21" t="s">
        <v>376</v>
      </c>
      <c r="W46">
        <f>+Reservas[[#This Row],[ reservaMonto]]</f>
        <v>700</v>
      </c>
      <c r="X46" t="s">
        <v>373</v>
      </c>
      <c r="Y46" t="str">
        <f t="shared" si="4"/>
        <v>(3,'La Cueva','2023-03-12','2023-03-18',700),</v>
      </c>
    </row>
    <row r="47" spans="1:25" x14ac:dyDescent="0.25">
      <c r="A47">
        <f t="shared" si="2"/>
        <v>45</v>
      </c>
      <c r="B47">
        <v>4</v>
      </c>
      <c r="C47" s="7" t="s">
        <v>88</v>
      </c>
      <c r="D47" s="7" t="s">
        <v>288</v>
      </c>
      <c r="E47" s="7" t="s">
        <v>289</v>
      </c>
      <c r="F47">
        <v>560</v>
      </c>
      <c r="G47" s="18">
        <f>+YEAR(Reservas[[#This Row],[ reservaFechaInicio]])</f>
        <v>2023</v>
      </c>
      <c r="I47" s="18">
        <f>+Reservas[[#This Row],[ reservaFechaFin]]-Reservas[[#This Row],[ reservaFechaInicio]]+1</f>
        <v>7</v>
      </c>
      <c r="J47" s="8">
        <f>+_xlfn.XLOOKUP(Reservas[[#This Row],[ habitacionNombre]],Habitaciones[Nombre],Habitaciones[Costo])</f>
        <v>80</v>
      </c>
      <c r="N47" t="s">
        <v>372</v>
      </c>
      <c r="O47">
        <f>+Reservas[[#This Row],[gatoID]]</f>
        <v>4</v>
      </c>
      <c r="P47" t="s">
        <v>374</v>
      </c>
      <c r="Q47" t="str">
        <f>+Reservas[[#This Row],[ habitacionNombre]]</f>
        <v>El Rascador</v>
      </c>
      <c r="R47" s="21" t="s">
        <v>375</v>
      </c>
      <c r="S47" t="str">
        <f>+TEXT(Reservas[[#This Row],[ reservaFechaInicio]],"yyyy-mm-dd")</f>
        <v>2023-04-01</v>
      </c>
      <c r="T47" s="21" t="s">
        <v>375</v>
      </c>
      <c r="U47" t="str">
        <f>+TEXT(Reservas[[#This Row],[ reservaFechaFin]],"yyyy-mm-dd")</f>
        <v>2023-04-07</v>
      </c>
      <c r="V47" s="21" t="s">
        <v>376</v>
      </c>
      <c r="W47">
        <f>+Reservas[[#This Row],[ reservaMonto]]</f>
        <v>560</v>
      </c>
      <c r="X47" t="s">
        <v>373</v>
      </c>
      <c r="Y47" t="str">
        <f t="shared" si="4"/>
        <v>(4,'El Rascador','2023-04-01','2023-04-07',560),</v>
      </c>
    </row>
    <row r="48" spans="1:25" x14ac:dyDescent="0.25">
      <c r="A48">
        <f t="shared" si="2"/>
        <v>46</v>
      </c>
      <c r="B48">
        <v>12</v>
      </c>
      <c r="C48" s="7" t="s">
        <v>93</v>
      </c>
      <c r="D48" s="7" t="s">
        <v>333</v>
      </c>
      <c r="E48" s="7" t="s">
        <v>334</v>
      </c>
      <c r="F48">
        <v>960</v>
      </c>
      <c r="G48" s="18">
        <f>+YEAR(Reservas[[#This Row],[ reservaFechaInicio]])</f>
        <v>2023</v>
      </c>
      <c r="I48" s="18">
        <f>+Reservas[[#This Row],[ reservaFechaFin]]-Reservas[[#This Row],[ reservaFechaInicio]]+1</f>
        <v>8</v>
      </c>
      <c r="J48" s="8">
        <f>+_xlfn.XLOOKUP(Reservas[[#This Row],[ habitacionNombre]],Habitaciones[Nombre],Habitaciones[Costo])</f>
        <v>120</v>
      </c>
      <c r="N48" t="s">
        <v>372</v>
      </c>
      <c r="O48">
        <f>+Reservas[[#This Row],[gatoID]]</f>
        <v>12</v>
      </c>
      <c r="P48" t="s">
        <v>374</v>
      </c>
      <c r="Q48" t="str">
        <f>+Reservas[[#This Row],[ habitacionNombre]]</f>
        <v>El Solarium</v>
      </c>
      <c r="R48" s="21" t="s">
        <v>375</v>
      </c>
      <c r="S48" t="str">
        <f>+TEXT(Reservas[[#This Row],[ reservaFechaInicio]],"yyyy-mm-dd")</f>
        <v>2023-04-15</v>
      </c>
      <c r="T48" s="21" t="s">
        <v>375</v>
      </c>
      <c r="U48" t="str">
        <f>+TEXT(Reservas[[#This Row],[ reservaFechaFin]],"yyyy-mm-dd")</f>
        <v>2023-04-22</v>
      </c>
      <c r="V48" s="21" t="s">
        <v>376</v>
      </c>
      <c r="W48">
        <f>+Reservas[[#This Row],[ reservaMonto]]</f>
        <v>960</v>
      </c>
      <c r="X48" t="s">
        <v>373</v>
      </c>
      <c r="Y48" t="str">
        <f t="shared" si="4"/>
        <v>(12,'El Solarium','2023-04-15','2023-04-22',960),</v>
      </c>
    </row>
    <row r="49" spans="1:25" x14ac:dyDescent="0.25">
      <c r="A49">
        <f t="shared" si="2"/>
        <v>47</v>
      </c>
      <c r="B49">
        <v>4</v>
      </c>
      <c r="C49" s="7" t="s">
        <v>94</v>
      </c>
      <c r="D49" s="7" t="s">
        <v>333</v>
      </c>
      <c r="E49" s="7" t="s">
        <v>334</v>
      </c>
      <c r="F49">
        <v>400</v>
      </c>
      <c r="G49" s="18">
        <f>+YEAR(Reservas[[#This Row],[ reservaFechaInicio]])</f>
        <v>2023</v>
      </c>
      <c r="I49" s="18">
        <f>+Reservas[[#This Row],[ reservaFechaFin]]-Reservas[[#This Row],[ reservaFechaInicio]]+1</f>
        <v>8</v>
      </c>
      <c r="J49" s="8">
        <f>+_xlfn.XLOOKUP(Reservas[[#This Row],[ habitacionNombre]],Habitaciones[Nombre],Habitaciones[Costo])</f>
        <v>50</v>
      </c>
      <c r="N49" t="s">
        <v>372</v>
      </c>
      <c r="O49">
        <f>+Reservas[[#This Row],[gatoID]]</f>
        <v>4</v>
      </c>
      <c r="P49" t="s">
        <v>374</v>
      </c>
      <c r="Q49" t="str">
        <f>+Reservas[[#This Row],[ habitacionNombre]]</f>
        <v>El Árbol</v>
      </c>
      <c r="R49" s="21" t="s">
        <v>375</v>
      </c>
      <c r="S49" t="str">
        <f>+TEXT(Reservas[[#This Row],[ reservaFechaInicio]],"yyyy-mm-dd")</f>
        <v>2023-04-15</v>
      </c>
      <c r="T49" s="21" t="s">
        <v>375</v>
      </c>
      <c r="U49" t="str">
        <f>+TEXT(Reservas[[#This Row],[ reservaFechaFin]],"yyyy-mm-dd")</f>
        <v>2023-04-22</v>
      </c>
      <c r="V49" s="21" t="s">
        <v>376</v>
      </c>
      <c r="W49">
        <f>+Reservas[[#This Row],[ reservaMonto]]</f>
        <v>400</v>
      </c>
      <c r="X49" t="s">
        <v>373</v>
      </c>
      <c r="Y49" t="str">
        <f t="shared" si="4"/>
        <v>(4,'El Árbol','2023-04-15','2023-04-22',400),</v>
      </c>
    </row>
    <row r="50" spans="1:25" x14ac:dyDescent="0.25">
      <c r="A50">
        <f t="shared" si="2"/>
        <v>48</v>
      </c>
      <c r="B50">
        <v>13</v>
      </c>
      <c r="C50" s="7" t="s">
        <v>89</v>
      </c>
      <c r="D50" s="7" t="s">
        <v>335</v>
      </c>
      <c r="E50" s="7" t="s">
        <v>336</v>
      </c>
      <c r="F50">
        <v>800</v>
      </c>
      <c r="G50" s="18">
        <f>+YEAR(Reservas[[#This Row],[ reservaFechaInicio]])</f>
        <v>2023</v>
      </c>
      <c r="I50" s="18">
        <f>+Reservas[[#This Row],[ reservaFechaFin]]-Reservas[[#This Row],[ reservaFechaInicio]]+1</f>
        <v>8</v>
      </c>
      <c r="J50" s="8">
        <f>+_xlfn.XLOOKUP(Reservas[[#This Row],[ habitacionNombre]],Habitaciones[Nombre],Habitaciones[Costo])</f>
        <v>100</v>
      </c>
      <c r="N50" t="s">
        <v>372</v>
      </c>
      <c r="O50">
        <f>+Reservas[[#This Row],[gatoID]]</f>
        <v>13</v>
      </c>
      <c r="P50" t="s">
        <v>374</v>
      </c>
      <c r="Q50" t="str">
        <f>+Reservas[[#This Row],[ habitacionNombre]]</f>
        <v>La Almohada</v>
      </c>
      <c r="R50" s="21" t="s">
        <v>375</v>
      </c>
      <c r="S50" t="str">
        <f>+TEXT(Reservas[[#This Row],[ reservaFechaInicio]],"yyyy-mm-dd")</f>
        <v>2023-05-05</v>
      </c>
      <c r="T50" s="21" t="s">
        <v>375</v>
      </c>
      <c r="U50" t="str">
        <f>+TEXT(Reservas[[#This Row],[ reservaFechaFin]],"yyyy-mm-dd")</f>
        <v>2023-05-12</v>
      </c>
      <c r="V50" s="21" t="s">
        <v>376</v>
      </c>
      <c r="W50">
        <f>+Reservas[[#This Row],[ reservaMonto]]</f>
        <v>800</v>
      </c>
      <c r="X50" t="s">
        <v>373</v>
      </c>
      <c r="Y50" t="str">
        <f t="shared" si="4"/>
        <v>(13,'La Almohada','2023-05-05','2023-05-12',800),</v>
      </c>
    </row>
    <row r="51" spans="1:25" x14ac:dyDescent="0.25">
      <c r="A51">
        <f t="shared" si="2"/>
        <v>49</v>
      </c>
      <c r="B51">
        <v>5</v>
      </c>
      <c r="C51" s="7" t="s">
        <v>92</v>
      </c>
      <c r="D51" s="7" t="s">
        <v>335</v>
      </c>
      <c r="E51" s="7" t="s">
        <v>336</v>
      </c>
      <c r="F51">
        <v>320</v>
      </c>
      <c r="G51" s="18">
        <f>+YEAR(Reservas[[#This Row],[ reservaFechaInicio]])</f>
        <v>2023</v>
      </c>
      <c r="I51" s="18">
        <f>+Reservas[[#This Row],[ reservaFechaFin]]-Reservas[[#This Row],[ reservaFechaInicio]]+1</f>
        <v>8</v>
      </c>
      <c r="J51" s="8">
        <f>+_xlfn.XLOOKUP(Reservas[[#This Row],[ habitacionNombre]],Habitaciones[Nombre],Habitaciones[Costo])</f>
        <v>40</v>
      </c>
      <c r="N51" t="s">
        <v>372</v>
      </c>
      <c r="O51">
        <f>+Reservas[[#This Row],[gatoID]]</f>
        <v>5</v>
      </c>
      <c r="P51" t="s">
        <v>374</v>
      </c>
      <c r="Q51" t="str">
        <f>+Reservas[[#This Row],[ habitacionNombre]]</f>
        <v>El Jardín</v>
      </c>
      <c r="R51" s="21" t="s">
        <v>375</v>
      </c>
      <c r="S51" t="str">
        <f>+TEXT(Reservas[[#This Row],[ reservaFechaInicio]],"yyyy-mm-dd")</f>
        <v>2023-05-05</v>
      </c>
      <c r="T51" s="21" t="s">
        <v>375</v>
      </c>
      <c r="U51" t="str">
        <f>+TEXT(Reservas[[#This Row],[ reservaFechaFin]],"yyyy-mm-dd")</f>
        <v>2023-05-12</v>
      </c>
      <c r="V51" s="21" t="s">
        <v>376</v>
      </c>
      <c r="W51">
        <f>+Reservas[[#This Row],[ reservaMonto]]</f>
        <v>320</v>
      </c>
      <c r="X51" t="s">
        <v>373</v>
      </c>
      <c r="Y51" t="str">
        <f t="shared" si="4"/>
        <v>(5,'El Jardín','2023-05-05','2023-05-12',320),</v>
      </c>
    </row>
    <row r="52" spans="1:25" x14ac:dyDescent="0.25">
      <c r="A52">
        <f t="shared" si="2"/>
        <v>50</v>
      </c>
      <c r="B52">
        <v>5</v>
      </c>
      <c r="C52" s="7" t="s">
        <v>90</v>
      </c>
      <c r="D52" s="7" t="s">
        <v>290</v>
      </c>
      <c r="E52" s="7" t="s">
        <v>291</v>
      </c>
      <c r="F52">
        <v>420</v>
      </c>
      <c r="G52" s="18">
        <f>+YEAR(Reservas[[#This Row],[ reservaFechaInicio]])</f>
        <v>2023</v>
      </c>
      <c r="I52" s="18">
        <f>+Reservas[[#This Row],[ reservaFechaFin]]-Reservas[[#This Row],[ reservaFechaInicio]]+1</f>
        <v>6</v>
      </c>
      <c r="J52" s="8">
        <f>+_xlfn.XLOOKUP(Reservas[[#This Row],[ habitacionNombre]],Habitaciones[Nombre],Habitaciones[Costo])</f>
        <v>70</v>
      </c>
      <c r="N52" t="s">
        <v>372</v>
      </c>
      <c r="O52">
        <f>+Reservas[[#This Row],[gatoID]]</f>
        <v>5</v>
      </c>
      <c r="P52" t="s">
        <v>374</v>
      </c>
      <c r="Q52" t="str">
        <f>+Reservas[[#This Row],[ habitacionNombre]]</f>
        <v>El Mirador</v>
      </c>
      <c r="R52" s="21" t="s">
        <v>375</v>
      </c>
      <c r="S52" t="str">
        <f>+TEXT(Reservas[[#This Row],[ reservaFechaInicio]],"yyyy-mm-dd")</f>
        <v>2023-05-10</v>
      </c>
      <c r="T52" s="21" t="s">
        <v>375</v>
      </c>
      <c r="U52" t="str">
        <f>+TEXT(Reservas[[#This Row],[ reservaFechaFin]],"yyyy-mm-dd")</f>
        <v>2023-05-15</v>
      </c>
      <c r="V52" s="21" t="s">
        <v>376</v>
      </c>
      <c r="W52">
        <f>+Reservas[[#This Row],[ reservaMonto]]</f>
        <v>420</v>
      </c>
      <c r="X52" t="s">
        <v>373</v>
      </c>
      <c r="Y52" t="str">
        <f t="shared" si="4"/>
        <v>(5,'El Mirador','2023-05-10','2023-05-15',420),</v>
      </c>
    </row>
    <row r="53" spans="1:25" x14ac:dyDescent="0.25">
      <c r="A53">
        <f t="shared" si="2"/>
        <v>51</v>
      </c>
      <c r="B53">
        <v>14</v>
      </c>
      <c r="C53" s="7" t="s">
        <v>91</v>
      </c>
      <c r="D53" s="7" t="s">
        <v>337</v>
      </c>
      <c r="E53" s="7" t="s">
        <v>338</v>
      </c>
      <c r="F53">
        <v>800</v>
      </c>
      <c r="G53" s="18">
        <f>+YEAR(Reservas[[#This Row],[ reservaFechaInicio]])</f>
        <v>2023</v>
      </c>
      <c r="I53" s="18">
        <f>+Reservas[[#This Row],[ reservaFechaFin]]-Reservas[[#This Row],[ reservaFechaInicio]]+1</f>
        <v>8</v>
      </c>
      <c r="J53" s="8">
        <f>+_xlfn.XLOOKUP(Reservas[[#This Row],[ habitacionNombre]],Habitaciones[Nombre],Habitaciones[Costo])</f>
        <v>100</v>
      </c>
      <c r="N53" t="s">
        <v>372</v>
      </c>
      <c r="O53">
        <f>+Reservas[[#This Row],[gatoID]]</f>
        <v>14</v>
      </c>
      <c r="P53" t="s">
        <v>374</v>
      </c>
      <c r="Q53" t="str">
        <f>+Reservas[[#This Row],[ habitacionNombre]]</f>
        <v>La Cueva</v>
      </c>
      <c r="R53" s="21" t="s">
        <v>375</v>
      </c>
      <c r="S53" t="str">
        <f>+TEXT(Reservas[[#This Row],[ reservaFechaInicio]],"yyyy-mm-dd")</f>
        <v>2023-06-01</v>
      </c>
      <c r="T53" s="21" t="s">
        <v>375</v>
      </c>
      <c r="U53" t="str">
        <f>+TEXT(Reservas[[#This Row],[ reservaFechaFin]],"yyyy-mm-dd")</f>
        <v>2023-06-08</v>
      </c>
      <c r="V53" s="21" t="s">
        <v>376</v>
      </c>
      <c r="W53">
        <f>+Reservas[[#This Row],[ reservaMonto]]</f>
        <v>800</v>
      </c>
      <c r="X53" t="s">
        <v>373</v>
      </c>
      <c r="Y53" t="str">
        <f t="shared" si="4"/>
        <v>(14,'La Cueva','2023-06-01','2023-06-08',800),</v>
      </c>
    </row>
    <row r="54" spans="1:25" x14ac:dyDescent="0.25">
      <c r="A54">
        <f t="shared" si="2"/>
        <v>52</v>
      </c>
      <c r="B54">
        <v>6</v>
      </c>
      <c r="C54" s="7" t="s">
        <v>95</v>
      </c>
      <c r="D54" s="7" t="s">
        <v>337</v>
      </c>
      <c r="E54" s="7" t="s">
        <v>338</v>
      </c>
      <c r="F54">
        <v>240</v>
      </c>
      <c r="G54" s="18">
        <f>+YEAR(Reservas[[#This Row],[ reservaFechaInicio]])</f>
        <v>2023</v>
      </c>
      <c r="I54" s="18">
        <f>+Reservas[[#This Row],[ reservaFechaFin]]-Reservas[[#This Row],[ reservaFechaInicio]]+1</f>
        <v>8</v>
      </c>
      <c r="J54" s="8">
        <f>+_xlfn.XLOOKUP(Reservas[[#This Row],[ habitacionNombre]],Habitaciones[Nombre],Habitaciones[Costo])</f>
        <v>30</v>
      </c>
      <c r="N54" t="s">
        <v>372</v>
      </c>
      <c r="O54">
        <f>+Reservas[[#This Row],[gatoID]]</f>
        <v>6</v>
      </c>
      <c r="P54" t="s">
        <v>374</v>
      </c>
      <c r="Q54" t="str">
        <f>+Reservas[[#This Row],[ habitacionNombre]]</f>
        <v>La Estantería</v>
      </c>
      <c r="R54" s="21" t="s">
        <v>375</v>
      </c>
      <c r="S54" t="str">
        <f>+TEXT(Reservas[[#This Row],[ reservaFechaInicio]],"yyyy-mm-dd")</f>
        <v>2023-06-01</v>
      </c>
      <c r="T54" s="21" t="s">
        <v>375</v>
      </c>
      <c r="U54" t="str">
        <f>+TEXT(Reservas[[#This Row],[ reservaFechaFin]],"yyyy-mm-dd")</f>
        <v>2023-06-08</v>
      </c>
      <c r="V54" s="21" t="s">
        <v>376</v>
      </c>
      <c r="W54">
        <f>+Reservas[[#This Row],[ reservaMonto]]</f>
        <v>240</v>
      </c>
      <c r="X54" t="s">
        <v>373</v>
      </c>
      <c r="Y54" t="str">
        <f t="shared" si="4"/>
        <v>(6,'La Estantería','2023-06-01','2023-06-08',240),</v>
      </c>
    </row>
    <row r="55" spans="1:25" x14ac:dyDescent="0.25">
      <c r="A55">
        <f t="shared" si="2"/>
        <v>53</v>
      </c>
      <c r="B55">
        <v>6</v>
      </c>
      <c r="C55" s="7" t="s">
        <v>96</v>
      </c>
      <c r="D55" s="7" t="s">
        <v>292</v>
      </c>
      <c r="E55" s="7" t="s">
        <v>293</v>
      </c>
      <c r="F55">
        <v>420</v>
      </c>
      <c r="G55" s="18">
        <f>+YEAR(Reservas[[#This Row],[ reservaFechaInicio]])</f>
        <v>2023</v>
      </c>
      <c r="I55" s="18">
        <f>+Reservas[[#This Row],[ reservaFechaFin]]-Reservas[[#This Row],[ reservaFechaInicio]]+1</f>
        <v>6</v>
      </c>
      <c r="J55" s="8">
        <f>+_xlfn.XLOOKUP(Reservas[[#This Row],[ habitacionNombre]],Habitaciones[Nombre],Habitaciones[Costo])</f>
        <v>70</v>
      </c>
      <c r="N55" t="s">
        <v>372</v>
      </c>
      <c r="O55">
        <f>+Reservas[[#This Row],[gatoID]]</f>
        <v>6</v>
      </c>
      <c r="P55" t="s">
        <v>374</v>
      </c>
      <c r="Q55" t="str">
        <f>+Reservas[[#This Row],[ habitacionNombre]]</f>
        <v>La Caja</v>
      </c>
      <c r="R55" s="21" t="s">
        <v>375</v>
      </c>
      <c r="S55" t="str">
        <f>+TEXT(Reservas[[#This Row],[ reservaFechaInicio]],"yyyy-mm-dd")</f>
        <v>2023-06-20</v>
      </c>
      <c r="T55" s="21" t="s">
        <v>375</v>
      </c>
      <c r="U55" t="str">
        <f>+TEXT(Reservas[[#This Row],[ reservaFechaFin]],"yyyy-mm-dd")</f>
        <v>2023-06-25</v>
      </c>
      <c r="V55" s="21" t="s">
        <v>376</v>
      </c>
      <c r="W55">
        <f>+Reservas[[#This Row],[ reservaMonto]]</f>
        <v>420</v>
      </c>
      <c r="X55" t="s">
        <v>373</v>
      </c>
      <c r="Y55" t="str">
        <f t="shared" si="4"/>
        <v>(6,'La Caja','2023-06-20','2023-06-25',420),</v>
      </c>
    </row>
    <row r="56" spans="1:25" x14ac:dyDescent="0.25">
      <c r="A56">
        <f t="shared" si="2"/>
        <v>54</v>
      </c>
      <c r="B56">
        <v>7</v>
      </c>
      <c r="C56" s="7" t="s">
        <v>94</v>
      </c>
      <c r="D56" s="7" t="s">
        <v>294</v>
      </c>
      <c r="E56" s="7" t="s">
        <v>295</v>
      </c>
      <c r="F56">
        <v>400</v>
      </c>
      <c r="G56" s="18">
        <f>+YEAR(Reservas[[#This Row],[ reservaFechaInicio]])</f>
        <v>2023</v>
      </c>
      <c r="I56" s="18">
        <f>+Reservas[[#This Row],[ reservaFechaFin]]-Reservas[[#This Row],[ reservaFechaInicio]]+1</f>
        <v>8</v>
      </c>
      <c r="J56" s="8">
        <f>+_xlfn.XLOOKUP(Reservas[[#This Row],[ habitacionNombre]],Habitaciones[Nombre],Habitaciones[Costo])</f>
        <v>50</v>
      </c>
      <c r="N56" t="s">
        <v>372</v>
      </c>
      <c r="O56">
        <f>+Reservas[[#This Row],[gatoID]]</f>
        <v>7</v>
      </c>
      <c r="P56" t="s">
        <v>374</v>
      </c>
      <c r="Q56" t="str">
        <f>+Reservas[[#This Row],[ habitacionNombre]]</f>
        <v>El Árbol</v>
      </c>
      <c r="R56" s="21" t="s">
        <v>375</v>
      </c>
      <c r="S56" t="str">
        <f>+TEXT(Reservas[[#This Row],[ reservaFechaInicio]],"yyyy-mm-dd")</f>
        <v>2023-07-05</v>
      </c>
      <c r="T56" s="21" t="s">
        <v>375</v>
      </c>
      <c r="U56" t="str">
        <f>+TEXT(Reservas[[#This Row],[ reservaFechaFin]],"yyyy-mm-dd")</f>
        <v>2023-07-12</v>
      </c>
      <c r="V56" s="21" t="s">
        <v>376</v>
      </c>
      <c r="W56">
        <f>+Reservas[[#This Row],[ reservaMonto]]</f>
        <v>400</v>
      </c>
      <c r="X56" t="s">
        <v>373</v>
      </c>
      <c r="Y56" t="str">
        <f t="shared" si="4"/>
        <v>(7,'El Árbol','2023-07-05','2023-07-12',400),</v>
      </c>
    </row>
    <row r="57" spans="1:25" x14ac:dyDescent="0.25">
      <c r="A57">
        <f t="shared" si="2"/>
        <v>55</v>
      </c>
      <c r="B57">
        <v>15</v>
      </c>
      <c r="C57" s="7" t="s">
        <v>88</v>
      </c>
      <c r="D57" s="7" t="s">
        <v>339</v>
      </c>
      <c r="E57" s="7" t="s">
        <v>340</v>
      </c>
      <c r="F57">
        <v>640</v>
      </c>
      <c r="G57" s="18">
        <f>+YEAR(Reservas[[#This Row],[ reservaFechaInicio]])</f>
        <v>2023</v>
      </c>
      <c r="I57" s="18">
        <f>+Reservas[[#This Row],[ reservaFechaFin]]-Reservas[[#This Row],[ reservaFechaInicio]]+1</f>
        <v>8</v>
      </c>
      <c r="J57" s="8">
        <f>+_xlfn.XLOOKUP(Reservas[[#This Row],[ habitacionNombre]],Habitaciones[Nombre],Habitaciones[Costo])</f>
        <v>80</v>
      </c>
      <c r="N57" t="s">
        <v>372</v>
      </c>
      <c r="O57">
        <f>+Reservas[[#This Row],[gatoID]]</f>
        <v>15</v>
      </c>
      <c r="P57" t="s">
        <v>374</v>
      </c>
      <c r="Q57" t="str">
        <f>+Reservas[[#This Row],[ habitacionNombre]]</f>
        <v>El Rascador</v>
      </c>
      <c r="R57" s="21" t="s">
        <v>375</v>
      </c>
      <c r="S57" t="str">
        <f>+TEXT(Reservas[[#This Row],[ reservaFechaInicio]],"yyyy-mm-dd")</f>
        <v>2023-07-10</v>
      </c>
      <c r="T57" s="21" t="s">
        <v>375</v>
      </c>
      <c r="U57" t="str">
        <f>+TEXT(Reservas[[#This Row],[ reservaFechaFin]],"yyyy-mm-dd")</f>
        <v>2023-07-17</v>
      </c>
      <c r="V57" s="21" t="s">
        <v>376</v>
      </c>
      <c r="W57">
        <f>+Reservas[[#This Row],[ reservaMonto]]</f>
        <v>640</v>
      </c>
      <c r="X57" t="s">
        <v>373</v>
      </c>
      <c r="Y57" t="str">
        <f t="shared" si="4"/>
        <v>(15,'El Rascador','2023-07-10','2023-07-17',640),</v>
      </c>
    </row>
    <row r="58" spans="1:25" x14ac:dyDescent="0.25">
      <c r="A58">
        <f t="shared" si="2"/>
        <v>56</v>
      </c>
      <c r="B58">
        <v>7</v>
      </c>
      <c r="C58" s="7" t="s">
        <v>93</v>
      </c>
      <c r="D58" s="7" t="s">
        <v>339</v>
      </c>
      <c r="E58" s="7" t="s">
        <v>340</v>
      </c>
      <c r="F58">
        <v>960</v>
      </c>
      <c r="G58" s="18">
        <f>+YEAR(Reservas[[#This Row],[ reservaFechaInicio]])</f>
        <v>2023</v>
      </c>
      <c r="I58" s="18">
        <f>+Reservas[[#This Row],[ reservaFechaFin]]-Reservas[[#This Row],[ reservaFechaInicio]]+1</f>
        <v>8</v>
      </c>
      <c r="J58" s="8">
        <f>+_xlfn.XLOOKUP(Reservas[[#This Row],[ habitacionNombre]],Habitaciones[Nombre],Habitaciones[Costo])</f>
        <v>120</v>
      </c>
      <c r="N58" t="s">
        <v>372</v>
      </c>
      <c r="O58">
        <f>+Reservas[[#This Row],[gatoID]]</f>
        <v>7</v>
      </c>
      <c r="P58" t="s">
        <v>374</v>
      </c>
      <c r="Q58" t="str">
        <f>+Reservas[[#This Row],[ habitacionNombre]]</f>
        <v>El Solarium</v>
      </c>
      <c r="R58" s="21" t="s">
        <v>375</v>
      </c>
      <c r="S58" t="str">
        <f>+TEXT(Reservas[[#This Row],[ reservaFechaInicio]],"yyyy-mm-dd")</f>
        <v>2023-07-10</v>
      </c>
      <c r="T58" s="21" t="s">
        <v>375</v>
      </c>
      <c r="U58" t="str">
        <f>+TEXT(Reservas[[#This Row],[ reservaFechaFin]],"yyyy-mm-dd")</f>
        <v>2023-07-17</v>
      </c>
      <c r="V58" s="21" t="s">
        <v>376</v>
      </c>
      <c r="W58">
        <f>+Reservas[[#This Row],[ reservaMonto]]</f>
        <v>960</v>
      </c>
      <c r="X58" t="s">
        <v>373</v>
      </c>
      <c r="Y58" t="str">
        <f t="shared" si="4"/>
        <v>(7,'El Solarium','2023-07-10','2023-07-17',960),</v>
      </c>
    </row>
    <row r="59" spans="1:25" x14ac:dyDescent="0.25">
      <c r="A59">
        <f t="shared" si="2"/>
        <v>57</v>
      </c>
      <c r="B59">
        <v>8</v>
      </c>
      <c r="C59" s="7" t="s">
        <v>92</v>
      </c>
      <c r="D59" s="7" t="s">
        <v>296</v>
      </c>
      <c r="E59" s="7" t="s">
        <v>297</v>
      </c>
      <c r="F59">
        <v>320</v>
      </c>
      <c r="G59" s="18">
        <f>+YEAR(Reservas[[#This Row],[ reservaFechaInicio]])</f>
        <v>2023</v>
      </c>
      <c r="I59" s="18">
        <f>+Reservas[[#This Row],[ reservaFechaFin]]-Reservas[[#This Row],[ reservaFechaInicio]]+1</f>
        <v>8</v>
      </c>
      <c r="J59" s="8">
        <f>+_xlfn.XLOOKUP(Reservas[[#This Row],[ habitacionNombre]],Habitaciones[Nombre],Habitaciones[Costo])</f>
        <v>40</v>
      </c>
      <c r="N59" t="s">
        <v>372</v>
      </c>
      <c r="O59">
        <f>+Reservas[[#This Row],[gatoID]]</f>
        <v>8</v>
      </c>
      <c r="P59" t="s">
        <v>374</v>
      </c>
      <c r="Q59" t="str">
        <f>+Reservas[[#This Row],[ habitacionNombre]]</f>
        <v>El Jardín</v>
      </c>
      <c r="R59" s="21" t="s">
        <v>375</v>
      </c>
      <c r="S59" t="str">
        <f>+TEXT(Reservas[[#This Row],[ reservaFechaInicio]],"yyyy-mm-dd")</f>
        <v>2023-08-01</v>
      </c>
      <c r="T59" s="21" t="s">
        <v>375</v>
      </c>
      <c r="U59" t="str">
        <f>+TEXT(Reservas[[#This Row],[ reservaFechaFin]],"yyyy-mm-dd")</f>
        <v>2023-08-08</v>
      </c>
      <c r="V59" s="21" t="s">
        <v>376</v>
      </c>
      <c r="W59">
        <f>+Reservas[[#This Row],[ reservaMonto]]</f>
        <v>320</v>
      </c>
      <c r="X59" t="s">
        <v>373</v>
      </c>
      <c r="Y59" t="str">
        <f t="shared" si="4"/>
        <v>(8,'El Jardín','2023-08-01','2023-08-08',320),</v>
      </c>
    </row>
    <row r="60" spans="1:25" x14ac:dyDescent="0.25">
      <c r="A60">
        <f t="shared" si="2"/>
        <v>58</v>
      </c>
      <c r="B60">
        <v>8</v>
      </c>
      <c r="C60" s="7" t="s">
        <v>89</v>
      </c>
      <c r="D60" s="7" t="s">
        <v>370</v>
      </c>
      <c r="E60" s="7" t="s">
        <v>371</v>
      </c>
      <c r="F60">
        <v>800</v>
      </c>
      <c r="G60" s="18">
        <f>+YEAR(Reservas[[#This Row],[ reservaFechaInicio]])</f>
        <v>2023</v>
      </c>
      <c r="I60" s="18">
        <f>+Reservas[[#This Row],[ reservaFechaFin]]-Reservas[[#This Row],[ reservaFechaInicio]]+1</f>
        <v>8</v>
      </c>
      <c r="J60" s="8">
        <f>+_xlfn.XLOOKUP(Reservas[[#This Row],[ habitacionNombre]],Habitaciones[Nombre],Habitaciones[Costo])</f>
        <v>100</v>
      </c>
      <c r="N60" t="s">
        <v>372</v>
      </c>
      <c r="O60">
        <f>+Reservas[[#This Row],[gatoID]]</f>
        <v>8</v>
      </c>
      <c r="P60" t="s">
        <v>374</v>
      </c>
      <c r="Q60" t="str">
        <f>+Reservas[[#This Row],[ habitacionNombre]]</f>
        <v>La Almohada</v>
      </c>
      <c r="R60" s="21" t="s">
        <v>375</v>
      </c>
      <c r="S60" t="str">
        <f>+TEXT(Reservas[[#This Row],[ reservaFechaInicio]],"yyyy-mm-dd")</f>
        <v>2023-08-15</v>
      </c>
      <c r="T60" s="21" t="s">
        <v>375</v>
      </c>
      <c r="U60" t="str">
        <f>+TEXT(Reservas[[#This Row],[ reservaFechaFin]],"yyyy-mm-dd")</f>
        <v>2023-08-22</v>
      </c>
      <c r="V60" s="21" t="s">
        <v>376</v>
      </c>
      <c r="W60">
        <f>+Reservas[[#This Row],[ reservaMonto]]</f>
        <v>800</v>
      </c>
      <c r="X60" t="s">
        <v>373</v>
      </c>
      <c r="Y60" t="str">
        <f t="shared" si="4"/>
        <v>(8,'La Almohada','2023-08-15','2023-08-22',800),</v>
      </c>
    </row>
    <row r="61" spans="1:25" x14ac:dyDescent="0.25">
      <c r="A61">
        <f t="shared" si="2"/>
        <v>59</v>
      </c>
      <c r="B61">
        <v>16</v>
      </c>
      <c r="C61" s="7" t="s">
        <v>90</v>
      </c>
      <c r="D61" s="7" t="s">
        <v>341</v>
      </c>
      <c r="E61" s="7" t="s">
        <v>342</v>
      </c>
      <c r="F61">
        <v>560</v>
      </c>
      <c r="G61" s="18">
        <f>+YEAR(Reservas[[#This Row],[ reservaFechaInicio]])</f>
        <v>2023</v>
      </c>
      <c r="I61" s="18">
        <f>+Reservas[[#This Row],[ reservaFechaFin]]-Reservas[[#This Row],[ reservaFechaInicio]]+1</f>
        <v>8</v>
      </c>
      <c r="J61" s="8">
        <f>+_xlfn.XLOOKUP(Reservas[[#This Row],[ habitacionNombre]],Habitaciones[Nombre],Habitaciones[Costo])</f>
        <v>70</v>
      </c>
      <c r="N61" t="s">
        <v>372</v>
      </c>
      <c r="O61">
        <f>+Reservas[[#This Row],[gatoID]]</f>
        <v>16</v>
      </c>
      <c r="P61" t="s">
        <v>374</v>
      </c>
      <c r="Q61" t="str">
        <f>+Reservas[[#This Row],[ habitacionNombre]]</f>
        <v>El Mirador</v>
      </c>
      <c r="R61" s="21" t="s">
        <v>375</v>
      </c>
      <c r="S61" t="str">
        <f>+TEXT(Reservas[[#This Row],[ reservaFechaInicio]],"yyyy-mm-dd")</f>
        <v>2023-08-20</v>
      </c>
      <c r="T61" s="21" t="s">
        <v>375</v>
      </c>
      <c r="U61" t="str">
        <f>+TEXT(Reservas[[#This Row],[ reservaFechaFin]],"yyyy-mm-dd")</f>
        <v>2023-08-27</v>
      </c>
      <c r="V61" s="21" t="s">
        <v>376</v>
      </c>
      <c r="W61">
        <f>+Reservas[[#This Row],[ reservaMonto]]</f>
        <v>560</v>
      </c>
      <c r="X61" t="s">
        <v>373</v>
      </c>
      <c r="Y61" t="str">
        <f t="shared" si="4"/>
        <v>(16,'El Mirador','2023-08-20','2023-08-27',560),</v>
      </c>
    </row>
    <row r="62" spans="1:25" x14ac:dyDescent="0.25">
      <c r="A62">
        <f t="shared" si="2"/>
        <v>60</v>
      </c>
      <c r="B62">
        <v>1</v>
      </c>
      <c r="C62" s="7" t="s">
        <v>96</v>
      </c>
      <c r="D62" s="7" t="s">
        <v>343</v>
      </c>
      <c r="E62" s="7" t="s">
        <v>344</v>
      </c>
      <c r="F62">
        <v>560</v>
      </c>
      <c r="G62" s="18">
        <f>+YEAR(Reservas[[#This Row],[ reservaFechaInicio]])</f>
        <v>2023</v>
      </c>
      <c r="I62" s="18">
        <f>+Reservas[[#This Row],[ reservaFechaFin]]-Reservas[[#This Row],[ reservaFechaInicio]]+1</f>
        <v>8</v>
      </c>
      <c r="J62" s="8">
        <f>+_xlfn.XLOOKUP(Reservas[[#This Row],[ habitacionNombre]],Habitaciones[Nombre],Habitaciones[Costo])</f>
        <v>70</v>
      </c>
      <c r="N62" t="s">
        <v>372</v>
      </c>
      <c r="O62">
        <f>+Reservas[[#This Row],[gatoID]]</f>
        <v>1</v>
      </c>
      <c r="P62" t="s">
        <v>374</v>
      </c>
      <c r="Q62" t="str">
        <f>+Reservas[[#This Row],[ habitacionNombre]]</f>
        <v>La Caja</v>
      </c>
      <c r="R62" s="21" t="s">
        <v>375</v>
      </c>
      <c r="S62" t="str">
        <f>+TEXT(Reservas[[#This Row],[ reservaFechaInicio]],"yyyy-mm-dd")</f>
        <v>2023-09-05</v>
      </c>
      <c r="T62" s="21" t="s">
        <v>375</v>
      </c>
      <c r="U62" t="str">
        <f>+TEXT(Reservas[[#This Row],[ reservaFechaFin]],"yyyy-mm-dd")</f>
        <v>2023-09-12</v>
      </c>
      <c r="V62" s="21" t="s">
        <v>376</v>
      </c>
      <c r="W62">
        <f>+Reservas[[#This Row],[ reservaMonto]]</f>
        <v>560</v>
      </c>
      <c r="X62" t="s">
        <v>373</v>
      </c>
      <c r="Y62" t="str">
        <f t="shared" si="4"/>
        <v>(1,'La Caja','2023-09-05','2023-09-12',560),</v>
      </c>
    </row>
    <row r="63" spans="1:25" x14ac:dyDescent="0.25">
      <c r="A63">
        <f t="shared" si="2"/>
        <v>61</v>
      </c>
      <c r="B63">
        <v>9</v>
      </c>
      <c r="C63" s="7" t="s">
        <v>95</v>
      </c>
      <c r="D63" s="7" t="s">
        <v>298</v>
      </c>
      <c r="E63" s="7" t="s">
        <v>299</v>
      </c>
      <c r="F63">
        <v>240</v>
      </c>
      <c r="G63" s="18">
        <f>+YEAR(Reservas[[#This Row],[ reservaFechaInicio]])</f>
        <v>2023</v>
      </c>
      <c r="I63" s="18">
        <f>+Reservas[[#This Row],[ reservaFechaFin]]-Reservas[[#This Row],[ reservaFechaInicio]]+1</f>
        <v>8</v>
      </c>
      <c r="J63" s="8">
        <f>+_xlfn.XLOOKUP(Reservas[[#This Row],[ habitacionNombre]],Habitaciones[Nombre],Habitaciones[Costo])</f>
        <v>30</v>
      </c>
      <c r="N63" t="s">
        <v>372</v>
      </c>
      <c r="O63">
        <f>+Reservas[[#This Row],[gatoID]]</f>
        <v>9</v>
      </c>
      <c r="P63" t="s">
        <v>374</v>
      </c>
      <c r="Q63" t="str">
        <f>+Reservas[[#This Row],[ habitacionNombre]]</f>
        <v>La Estantería</v>
      </c>
      <c r="R63" s="21" t="s">
        <v>375</v>
      </c>
      <c r="S63" t="str">
        <f>+TEXT(Reservas[[#This Row],[ reservaFechaInicio]],"yyyy-mm-dd")</f>
        <v>2023-09-15</v>
      </c>
      <c r="T63" s="21" t="s">
        <v>375</v>
      </c>
      <c r="U63" t="str">
        <f>+TEXT(Reservas[[#This Row],[ reservaFechaFin]],"yyyy-mm-dd")</f>
        <v>2023-09-22</v>
      </c>
      <c r="V63" s="21" t="s">
        <v>376</v>
      </c>
      <c r="W63">
        <f>+Reservas[[#This Row],[ reservaMonto]]</f>
        <v>240</v>
      </c>
      <c r="X63" t="s">
        <v>373</v>
      </c>
      <c r="Y63" t="str">
        <f t="shared" si="4"/>
        <v>(9,'La Estantería','2023-09-15','2023-09-22',240),</v>
      </c>
    </row>
    <row r="64" spans="1:25" x14ac:dyDescent="0.25">
      <c r="A64">
        <f t="shared" si="2"/>
        <v>62</v>
      </c>
      <c r="B64">
        <v>10</v>
      </c>
      <c r="C64" s="7" t="s">
        <v>93</v>
      </c>
      <c r="D64" s="7" t="s">
        <v>300</v>
      </c>
      <c r="E64" s="7" t="s">
        <v>301</v>
      </c>
      <c r="F64">
        <v>960</v>
      </c>
      <c r="G64" s="18">
        <f>+YEAR(Reservas[[#This Row],[ reservaFechaInicio]])</f>
        <v>2023</v>
      </c>
      <c r="I64" s="18">
        <f>+Reservas[[#This Row],[ reservaFechaFin]]-Reservas[[#This Row],[ reservaFechaInicio]]+1</f>
        <v>8</v>
      </c>
      <c r="J64" s="8">
        <f>+_xlfn.XLOOKUP(Reservas[[#This Row],[ habitacionNombre]],Habitaciones[Nombre],Habitaciones[Costo])</f>
        <v>120</v>
      </c>
      <c r="N64" t="s">
        <v>372</v>
      </c>
      <c r="O64">
        <f>+Reservas[[#This Row],[gatoID]]</f>
        <v>10</v>
      </c>
      <c r="P64" t="s">
        <v>374</v>
      </c>
      <c r="Q64" t="str">
        <f>+Reservas[[#This Row],[ habitacionNombre]]</f>
        <v>El Solarium</v>
      </c>
      <c r="R64" s="21" t="s">
        <v>375</v>
      </c>
      <c r="S64" t="str">
        <f>+TEXT(Reservas[[#This Row],[ reservaFechaInicio]],"yyyy-mm-dd")</f>
        <v>2023-10-10</v>
      </c>
      <c r="T64" s="21" t="s">
        <v>375</v>
      </c>
      <c r="U64" t="str">
        <f>+TEXT(Reservas[[#This Row],[ reservaFechaFin]],"yyyy-mm-dd")</f>
        <v>2023-10-17</v>
      </c>
      <c r="V64" s="21" t="s">
        <v>376</v>
      </c>
      <c r="W64">
        <f>+Reservas[[#This Row],[ reservaMonto]]</f>
        <v>960</v>
      </c>
      <c r="X64" t="s">
        <v>373</v>
      </c>
      <c r="Y64" t="str">
        <f t="shared" si="4"/>
        <v>(10,'El Solarium','2023-10-10','2023-10-17',960),</v>
      </c>
    </row>
    <row r="65" spans="1:25" x14ac:dyDescent="0.25">
      <c r="A65">
        <f t="shared" si="2"/>
        <v>63</v>
      </c>
      <c r="B65">
        <v>2</v>
      </c>
      <c r="C65" s="7" t="s">
        <v>94</v>
      </c>
      <c r="D65" s="7" t="s">
        <v>345</v>
      </c>
      <c r="E65" s="7" t="s">
        <v>346</v>
      </c>
      <c r="F65">
        <v>400</v>
      </c>
      <c r="G65" s="18">
        <f>+YEAR(Reservas[[#This Row],[ reservaFechaInicio]])</f>
        <v>2023</v>
      </c>
      <c r="I65" s="18">
        <f>+Reservas[[#This Row],[ reservaFechaFin]]-Reservas[[#This Row],[ reservaFechaInicio]]+1</f>
        <v>8</v>
      </c>
      <c r="J65" s="8">
        <f>+_xlfn.XLOOKUP(Reservas[[#This Row],[ habitacionNombre]],Habitaciones[Nombre],Habitaciones[Costo])</f>
        <v>50</v>
      </c>
      <c r="N65" t="s">
        <v>372</v>
      </c>
      <c r="O65">
        <f>+Reservas[[#This Row],[gatoID]]</f>
        <v>2</v>
      </c>
      <c r="P65" t="s">
        <v>374</v>
      </c>
      <c r="Q65" t="str">
        <f>+Reservas[[#This Row],[ habitacionNombre]]</f>
        <v>El Árbol</v>
      </c>
      <c r="R65" s="21" t="s">
        <v>375</v>
      </c>
      <c r="S65" t="str">
        <f>+TEXT(Reservas[[#This Row],[ reservaFechaInicio]],"yyyy-mm-dd")</f>
        <v>2023-10-15</v>
      </c>
      <c r="T65" s="21" t="s">
        <v>375</v>
      </c>
      <c r="U65" t="str">
        <f>+TEXT(Reservas[[#This Row],[ reservaFechaFin]],"yyyy-mm-dd")</f>
        <v>2023-10-22</v>
      </c>
      <c r="V65" s="21" t="s">
        <v>376</v>
      </c>
      <c r="W65">
        <f>+Reservas[[#This Row],[ reservaMonto]]</f>
        <v>400</v>
      </c>
      <c r="X65" t="s">
        <v>373</v>
      </c>
      <c r="Y65" t="str">
        <f t="shared" si="4"/>
        <v>(2,'El Árbol','2023-10-15','2023-10-22',400),</v>
      </c>
    </row>
    <row r="66" spans="1:25" x14ac:dyDescent="0.25">
      <c r="A66">
        <f t="shared" si="2"/>
        <v>64</v>
      </c>
      <c r="B66">
        <v>3</v>
      </c>
      <c r="C66" s="7" t="s">
        <v>92</v>
      </c>
      <c r="D66" s="7" t="s">
        <v>347</v>
      </c>
      <c r="E66" s="7" t="s">
        <v>348</v>
      </c>
      <c r="F66">
        <v>320</v>
      </c>
      <c r="G66" s="18">
        <f>+YEAR(Reservas[[#This Row],[ reservaFechaInicio]])</f>
        <v>2023</v>
      </c>
      <c r="I66" s="18">
        <f>+Reservas[[#This Row],[ reservaFechaFin]]-Reservas[[#This Row],[ reservaFechaInicio]]+1</f>
        <v>8</v>
      </c>
      <c r="J66" s="8">
        <f>+_xlfn.XLOOKUP(Reservas[[#This Row],[ habitacionNombre]],Habitaciones[Nombre],Habitaciones[Costo])</f>
        <v>40</v>
      </c>
      <c r="N66" t="s">
        <v>372</v>
      </c>
      <c r="O66">
        <f>+Reservas[[#This Row],[gatoID]]</f>
        <v>3</v>
      </c>
      <c r="P66" t="s">
        <v>374</v>
      </c>
      <c r="Q66" t="str">
        <f>+Reservas[[#This Row],[ habitacionNombre]]</f>
        <v>El Jardín</v>
      </c>
      <c r="R66" s="21" t="s">
        <v>375</v>
      </c>
      <c r="S66" t="str">
        <f>+TEXT(Reservas[[#This Row],[ reservaFechaInicio]],"yyyy-mm-dd")</f>
        <v>2023-11-01</v>
      </c>
      <c r="T66" s="21" t="s">
        <v>375</v>
      </c>
      <c r="U66" t="str">
        <f>+TEXT(Reservas[[#This Row],[ reservaFechaFin]],"yyyy-mm-dd")</f>
        <v>2023-11-08</v>
      </c>
      <c r="V66" s="21" t="s">
        <v>376</v>
      </c>
      <c r="W66">
        <f>+Reservas[[#This Row],[ reservaMonto]]</f>
        <v>320</v>
      </c>
      <c r="X66" t="s">
        <v>373</v>
      </c>
      <c r="Y66" t="str">
        <f t="shared" si="4"/>
        <v>(3,'El Jardín','2023-11-01','2023-11-08',320),</v>
      </c>
    </row>
    <row r="67" spans="1:25" x14ac:dyDescent="0.25">
      <c r="A67">
        <f t="shared" si="2"/>
        <v>65</v>
      </c>
      <c r="B67">
        <v>11</v>
      </c>
      <c r="C67" s="7" t="s">
        <v>89</v>
      </c>
      <c r="D67" s="7" t="s">
        <v>302</v>
      </c>
      <c r="E67" s="7" t="s">
        <v>303</v>
      </c>
      <c r="F67">
        <v>800</v>
      </c>
      <c r="G67" s="18">
        <f>+YEAR(Reservas[[#This Row],[ reservaFechaInicio]])</f>
        <v>2023</v>
      </c>
      <c r="I67" s="18">
        <f>+Reservas[[#This Row],[ reservaFechaFin]]-Reservas[[#This Row],[ reservaFechaInicio]]+1</f>
        <v>8</v>
      </c>
      <c r="J67" s="8">
        <f>+_xlfn.XLOOKUP(Reservas[[#This Row],[ habitacionNombre]],Habitaciones[Nombre],Habitaciones[Costo])</f>
        <v>100</v>
      </c>
      <c r="N67" t="s">
        <v>372</v>
      </c>
      <c r="O67">
        <f>+Reservas[[#This Row],[gatoID]]</f>
        <v>11</v>
      </c>
      <c r="P67" t="s">
        <v>374</v>
      </c>
      <c r="Q67" t="str">
        <f>+Reservas[[#This Row],[ habitacionNombre]]</f>
        <v>La Almohada</v>
      </c>
      <c r="R67" s="21" t="s">
        <v>375</v>
      </c>
      <c r="S67" t="str">
        <f>+TEXT(Reservas[[#This Row],[ reservaFechaInicio]],"yyyy-mm-dd")</f>
        <v>2023-11-05</v>
      </c>
      <c r="T67" s="21" t="s">
        <v>375</v>
      </c>
      <c r="U67" t="str">
        <f>+TEXT(Reservas[[#This Row],[ reservaFechaFin]],"yyyy-mm-dd")</f>
        <v>2023-11-12</v>
      </c>
      <c r="V67" s="21" t="s">
        <v>376</v>
      </c>
      <c r="W67">
        <f>+Reservas[[#This Row],[ reservaMonto]]</f>
        <v>800</v>
      </c>
      <c r="X67" t="s">
        <v>373</v>
      </c>
      <c r="Y67" t="str">
        <f t="shared" si="4"/>
        <v>(11,'La Almohada','2023-11-05','2023-11-12',800),</v>
      </c>
    </row>
    <row r="68" spans="1:25" x14ac:dyDescent="0.25">
      <c r="A68">
        <f t="shared" si="2"/>
        <v>66</v>
      </c>
      <c r="B68">
        <v>12</v>
      </c>
      <c r="C68" s="7" t="s">
        <v>91</v>
      </c>
      <c r="D68" s="7" t="s">
        <v>304</v>
      </c>
      <c r="E68" s="7" t="s">
        <v>305</v>
      </c>
      <c r="F68">
        <v>800</v>
      </c>
      <c r="G68" s="18">
        <f>+YEAR(Reservas[[#This Row],[ reservaFechaInicio]])</f>
        <v>2023</v>
      </c>
      <c r="I68" s="18">
        <f>+Reservas[[#This Row],[ reservaFechaFin]]-Reservas[[#This Row],[ reservaFechaInicio]]+1</f>
        <v>8</v>
      </c>
      <c r="J68" s="8">
        <f>+_xlfn.XLOOKUP(Reservas[[#This Row],[ habitacionNombre]],Habitaciones[Nombre],Habitaciones[Costo])</f>
        <v>100</v>
      </c>
      <c r="N68" t="s">
        <v>372</v>
      </c>
      <c r="O68">
        <f>+Reservas[[#This Row],[gatoID]]</f>
        <v>12</v>
      </c>
      <c r="P68" t="s">
        <v>374</v>
      </c>
      <c r="Q68" t="str">
        <f>+Reservas[[#This Row],[ habitacionNombre]]</f>
        <v>La Cueva</v>
      </c>
      <c r="R68" s="21" t="s">
        <v>375</v>
      </c>
      <c r="S68" t="str">
        <f>+TEXT(Reservas[[#This Row],[ reservaFechaInicio]],"yyyy-mm-dd")</f>
        <v>2023-12-01</v>
      </c>
      <c r="T68" s="21" t="s">
        <v>375</v>
      </c>
      <c r="U68" t="str">
        <f>+TEXT(Reservas[[#This Row],[ reservaFechaFin]],"yyyy-mm-dd")</f>
        <v>2023-12-08</v>
      </c>
      <c r="V68" s="21" t="s">
        <v>376</v>
      </c>
      <c r="W68">
        <f>+Reservas[[#This Row],[ reservaMonto]]</f>
        <v>800</v>
      </c>
      <c r="X68" t="s">
        <v>373</v>
      </c>
      <c r="Y68" t="str">
        <f t="shared" si="4"/>
        <v>(12,'La Cueva','2023-12-01','2023-12-08',800),</v>
      </c>
    </row>
    <row r="69" spans="1:25" x14ac:dyDescent="0.25">
      <c r="A69">
        <f t="shared" ref="A69:A93" si="5">+A68+1</f>
        <v>67</v>
      </c>
      <c r="B69">
        <v>4</v>
      </c>
      <c r="C69" s="7" t="s">
        <v>95</v>
      </c>
      <c r="D69" s="7" t="s">
        <v>349</v>
      </c>
      <c r="E69" s="7" t="s">
        <v>350</v>
      </c>
      <c r="F69">
        <v>240</v>
      </c>
      <c r="G69" s="18">
        <f>+YEAR(Reservas[[#This Row],[ reservaFechaInicio]])</f>
        <v>2023</v>
      </c>
      <c r="I69" s="18">
        <f>+Reservas[[#This Row],[ reservaFechaFin]]-Reservas[[#This Row],[ reservaFechaInicio]]+1</f>
        <v>8</v>
      </c>
      <c r="J69" s="8">
        <f>+_xlfn.XLOOKUP(Reservas[[#This Row],[ habitacionNombre]],Habitaciones[Nombre],Habitaciones[Costo])</f>
        <v>30</v>
      </c>
      <c r="N69" t="s">
        <v>372</v>
      </c>
      <c r="O69">
        <f>+Reservas[[#This Row],[gatoID]]</f>
        <v>4</v>
      </c>
      <c r="P69" t="s">
        <v>374</v>
      </c>
      <c r="Q69" t="str">
        <f>+Reservas[[#This Row],[ habitacionNombre]]</f>
        <v>La Estantería</v>
      </c>
      <c r="R69" s="21" t="s">
        <v>375</v>
      </c>
      <c r="S69" t="str">
        <f>+TEXT(Reservas[[#This Row],[ reservaFechaInicio]],"yyyy-mm-dd")</f>
        <v>2023-12-05</v>
      </c>
      <c r="T69" s="21" t="s">
        <v>375</v>
      </c>
      <c r="U69" t="str">
        <f>+TEXT(Reservas[[#This Row],[ reservaFechaFin]],"yyyy-mm-dd")</f>
        <v>2023-12-12</v>
      </c>
      <c r="V69" s="21" t="s">
        <v>376</v>
      </c>
      <c r="W69">
        <f>+Reservas[[#This Row],[ reservaMonto]]</f>
        <v>240</v>
      </c>
      <c r="X69" t="s">
        <v>373</v>
      </c>
      <c r="Y69" t="str">
        <f t="shared" si="4"/>
        <v>(4,'La Estantería','2023-12-05','2023-12-12',240),</v>
      </c>
    </row>
    <row r="70" spans="1:25" x14ac:dyDescent="0.25">
      <c r="A70">
        <f t="shared" si="5"/>
        <v>68</v>
      </c>
      <c r="B70">
        <v>13</v>
      </c>
      <c r="C70" s="7" t="s">
        <v>88</v>
      </c>
      <c r="D70" s="7" t="s">
        <v>306</v>
      </c>
      <c r="E70" s="7" t="s">
        <v>307</v>
      </c>
      <c r="F70">
        <v>480</v>
      </c>
      <c r="G70" s="18">
        <f>+YEAR(Reservas[[#This Row],[ reservaFechaInicio]])</f>
        <v>2024</v>
      </c>
      <c r="I70" s="18">
        <f>+Reservas[[#This Row],[ reservaFechaFin]]-Reservas[[#This Row],[ reservaFechaInicio]]+1</f>
        <v>6</v>
      </c>
      <c r="J70" s="8">
        <f>+_xlfn.XLOOKUP(Reservas[[#This Row],[ habitacionNombre]],Habitaciones[Nombre],Habitaciones[Costo])</f>
        <v>80</v>
      </c>
      <c r="N70" t="s">
        <v>372</v>
      </c>
      <c r="O70">
        <f>+Reservas[[#This Row],[gatoID]]</f>
        <v>13</v>
      </c>
      <c r="P70" t="s">
        <v>374</v>
      </c>
      <c r="Q70" t="str">
        <f>+Reservas[[#This Row],[ habitacionNombre]]</f>
        <v>El Rascador</v>
      </c>
      <c r="R70" s="21" t="s">
        <v>375</v>
      </c>
      <c r="S70" t="str">
        <f>+TEXT(Reservas[[#This Row],[ reservaFechaInicio]],"yyyy-mm-dd")</f>
        <v>2024-01-05</v>
      </c>
      <c r="T70" s="21" t="s">
        <v>375</v>
      </c>
      <c r="U70" t="str">
        <f>+TEXT(Reservas[[#This Row],[ reservaFechaFin]],"yyyy-mm-dd")</f>
        <v>2024-01-10</v>
      </c>
      <c r="V70" s="21" t="s">
        <v>376</v>
      </c>
      <c r="W70">
        <f>+Reservas[[#This Row],[ reservaMonto]]</f>
        <v>480</v>
      </c>
      <c r="X70" t="s">
        <v>373</v>
      </c>
      <c r="Y70" t="str">
        <f t="shared" si="4"/>
        <v>(13,'El Rascador','2024-01-05','2024-01-10',480),</v>
      </c>
    </row>
    <row r="71" spans="1:25" x14ac:dyDescent="0.25">
      <c r="A71">
        <f t="shared" si="5"/>
        <v>69</v>
      </c>
      <c r="B71">
        <v>5</v>
      </c>
      <c r="C71" s="7" t="s">
        <v>93</v>
      </c>
      <c r="D71" s="7" t="s">
        <v>351</v>
      </c>
      <c r="E71" s="7" t="s">
        <v>352</v>
      </c>
      <c r="F71">
        <v>960</v>
      </c>
      <c r="G71" s="18">
        <f>+YEAR(Reservas[[#This Row],[ reservaFechaInicio]])</f>
        <v>2024</v>
      </c>
      <c r="I71" s="18">
        <f>+Reservas[[#This Row],[ reservaFechaFin]]-Reservas[[#This Row],[ reservaFechaInicio]]+1</f>
        <v>8</v>
      </c>
      <c r="J71" s="8">
        <f>+_xlfn.XLOOKUP(Reservas[[#This Row],[ habitacionNombre]],Habitaciones[Nombre],Habitaciones[Costo])</f>
        <v>120</v>
      </c>
      <c r="N71" t="s">
        <v>372</v>
      </c>
      <c r="O71">
        <f>+Reservas[[#This Row],[gatoID]]</f>
        <v>5</v>
      </c>
      <c r="P71" t="s">
        <v>374</v>
      </c>
      <c r="Q71" t="str">
        <f>+Reservas[[#This Row],[ habitacionNombre]]</f>
        <v>El Solarium</v>
      </c>
      <c r="R71" s="21" t="s">
        <v>375</v>
      </c>
      <c r="S71" t="str">
        <f>+TEXT(Reservas[[#This Row],[ reservaFechaInicio]],"yyyy-mm-dd")</f>
        <v>2024-01-15</v>
      </c>
      <c r="T71" s="21" t="s">
        <v>375</v>
      </c>
      <c r="U71" t="str">
        <f>+TEXT(Reservas[[#This Row],[ reservaFechaFin]],"yyyy-mm-dd")</f>
        <v>2024-01-22</v>
      </c>
      <c r="V71" s="21" t="s">
        <v>376</v>
      </c>
      <c r="W71">
        <f>+Reservas[[#This Row],[ reservaMonto]]</f>
        <v>960</v>
      </c>
      <c r="X71" t="s">
        <v>373</v>
      </c>
      <c r="Y71" t="str">
        <f t="shared" si="4"/>
        <v>(5,'El Solarium','2024-01-15','2024-01-22',960),</v>
      </c>
    </row>
    <row r="72" spans="1:25" x14ac:dyDescent="0.25">
      <c r="A72">
        <f t="shared" si="5"/>
        <v>70</v>
      </c>
      <c r="B72">
        <v>14</v>
      </c>
      <c r="C72" s="7" t="s">
        <v>90</v>
      </c>
      <c r="D72" s="7" t="s">
        <v>308</v>
      </c>
      <c r="E72" s="7" t="s">
        <v>309</v>
      </c>
      <c r="F72">
        <v>420</v>
      </c>
      <c r="G72" s="18">
        <f>+YEAR(Reservas[[#This Row],[ reservaFechaInicio]])</f>
        <v>2024</v>
      </c>
      <c r="I72" s="18">
        <f>+Reservas[[#This Row],[ reservaFechaFin]]-Reservas[[#This Row],[ reservaFechaInicio]]+1</f>
        <v>6</v>
      </c>
      <c r="J72" s="8">
        <f>+_xlfn.XLOOKUP(Reservas[[#This Row],[ habitacionNombre]],Habitaciones[Nombre],Habitaciones[Costo])</f>
        <v>70</v>
      </c>
      <c r="N72" t="s">
        <v>372</v>
      </c>
      <c r="O72">
        <f>+Reservas[[#This Row],[gatoID]]</f>
        <v>14</v>
      </c>
      <c r="P72" t="s">
        <v>374</v>
      </c>
      <c r="Q72" t="str">
        <f>+Reservas[[#This Row],[ habitacionNombre]]</f>
        <v>El Mirador</v>
      </c>
      <c r="R72" s="21" t="s">
        <v>375</v>
      </c>
      <c r="S72" t="str">
        <f>+TEXT(Reservas[[#This Row],[ reservaFechaInicio]],"yyyy-mm-dd")</f>
        <v>2024-02-01</v>
      </c>
      <c r="T72" s="21" t="s">
        <v>375</v>
      </c>
      <c r="U72" t="str">
        <f>+TEXT(Reservas[[#This Row],[ reservaFechaFin]],"yyyy-mm-dd")</f>
        <v>2024-02-06</v>
      </c>
      <c r="V72" s="21" t="s">
        <v>376</v>
      </c>
      <c r="W72">
        <f>+Reservas[[#This Row],[ reservaMonto]]</f>
        <v>420</v>
      </c>
      <c r="X72" t="s">
        <v>373</v>
      </c>
      <c r="Y72" t="str">
        <f t="shared" si="4"/>
        <v>(14,'El Mirador','2024-02-01','2024-02-06',420),</v>
      </c>
    </row>
    <row r="73" spans="1:25" x14ac:dyDescent="0.25">
      <c r="A73">
        <f t="shared" si="5"/>
        <v>71</v>
      </c>
      <c r="B73">
        <v>6</v>
      </c>
      <c r="C73" s="7" t="s">
        <v>89</v>
      </c>
      <c r="D73" s="7" t="s">
        <v>353</v>
      </c>
      <c r="E73" s="7" t="s">
        <v>354</v>
      </c>
      <c r="F73">
        <v>800</v>
      </c>
      <c r="G73" s="18">
        <f>+YEAR(Reservas[[#This Row],[ reservaFechaInicio]])</f>
        <v>2024</v>
      </c>
      <c r="I73" s="18">
        <f>+Reservas[[#This Row],[ reservaFechaFin]]-Reservas[[#This Row],[ reservaFechaInicio]]+1</f>
        <v>8</v>
      </c>
      <c r="J73" s="8">
        <f>+_xlfn.XLOOKUP(Reservas[[#This Row],[ habitacionNombre]],Habitaciones[Nombre],Habitaciones[Costo])</f>
        <v>100</v>
      </c>
      <c r="N73" t="s">
        <v>372</v>
      </c>
      <c r="O73">
        <f>+Reservas[[#This Row],[gatoID]]</f>
        <v>6</v>
      </c>
      <c r="P73" t="s">
        <v>374</v>
      </c>
      <c r="Q73" t="str">
        <f>+Reservas[[#This Row],[ habitacionNombre]]</f>
        <v>La Almohada</v>
      </c>
      <c r="R73" s="21" t="s">
        <v>375</v>
      </c>
      <c r="S73" t="str">
        <f>+TEXT(Reservas[[#This Row],[ reservaFechaInicio]],"yyyy-mm-dd")</f>
        <v>2024-02-05</v>
      </c>
      <c r="T73" s="21" t="s">
        <v>375</v>
      </c>
      <c r="U73" t="str">
        <f>+TEXT(Reservas[[#This Row],[ reservaFechaFin]],"yyyy-mm-dd")</f>
        <v>2024-02-12</v>
      </c>
      <c r="V73" s="21" t="s">
        <v>376</v>
      </c>
      <c r="W73">
        <f>+Reservas[[#This Row],[ reservaMonto]]</f>
        <v>800</v>
      </c>
      <c r="X73" t="s">
        <v>373</v>
      </c>
      <c r="Y73" t="str">
        <f t="shared" si="4"/>
        <v>(6,'La Almohada','2024-02-05','2024-02-12',800),</v>
      </c>
    </row>
    <row r="74" spans="1:25" x14ac:dyDescent="0.25">
      <c r="A74">
        <f t="shared" si="5"/>
        <v>72</v>
      </c>
      <c r="B74">
        <v>15</v>
      </c>
      <c r="C74" s="7" t="s">
        <v>96</v>
      </c>
      <c r="D74" s="7" t="s">
        <v>310</v>
      </c>
      <c r="E74" s="7" t="s">
        <v>311</v>
      </c>
      <c r="F74">
        <v>560</v>
      </c>
      <c r="G74" s="18">
        <f>+YEAR(Reservas[[#This Row],[ reservaFechaInicio]])</f>
        <v>2024</v>
      </c>
      <c r="I74" s="18">
        <f>+Reservas[[#This Row],[ reservaFechaFin]]-Reservas[[#This Row],[ reservaFechaInicio]]+1</f>
        <v>8</v>
      </c>
      <c r="J74" s="8">
        <f>+_xlfn.XLOOKUP(Reservas[[#This Row],[ habitacionNombre]],Habitaciones[Nombre],Habitaciones[Costo])</f>
        <v>70</v>
      </c>
      <c r="N74" t="s">
        <v>372</v>
      </c>
      <c r="O74">
        <f>+Reservas[[#This Row],[gatoID]]</f>
        <v>15</v>
      </c>
      <c r="P74" t="s">
        <v>374</v>
      </c>
      <c r="Q74" t="str">
        <f>+Reservas[[#This Row],[ habitacionNombre]]</f>
        <v>La Caja</v>
      </c>
      <c r="R74" s="21" t="s">
        <v>375</v>
      </c>
      <c r="S74" t="str">
        <f>+TEXT(Reservas[[#This Row],[ reservaFechaInicio]],"yyyy-mm-dd")</f>
        <v>2024-03-01</v>
      </c>
      <c r="T74" s="21" t="s">
        <v>375</v>
      </c>
      <c r="U74" t="str">
        <f>+TEXT(Reservas[[#This Row],[ reservaFechaFin]],"yyyy-mm-dd")</f>
        <v>2024-03-08</v>
      </c>
      <c r="V74" s="21" t="s">
        <v>376</v>
      </c>
      <c r="W74">
        <f>+Reservas[[#This Row],[ reservaMonto]]</f>
        <v>560</v>
      </c>
      <c r="X74" t="s">
        <v>373</v>
      </c>
      <c r="Y74" t="str">
        <f t="shared" si="4"/>
        <v>(15,'La Caja','2024-03-01','2024-03-08',560),</v>
      </c>
    </row>
    <row r="75" spans="1:25" x14ac:dyDescent="0.25">
      <c r="A75">
        <f t="shared" si="5"/>
        <v>73</v>
      </c>
      <c r="B75">
        <v>7</v>
      </c>
      <c r="C75" s="7" t="s">
        <v>91</v>
      </c>
      <c r="D75" s="7" t="s">
        <v>310</v>
      </c>
      <c r="E75" s="7" t="s">
        <v>311</v>
      </c>
      <c r="F75">
        <v>800</v>
      </c>
      <c r="G75" s="18">
        <f>+YEAR(Reservas[[#This Row],[ reservaFechaInicio]])</f>
        <v>2024</v>
      </c>
      <c r="I75" s="18">
        <f>+Reservas[[#This Row],[ reservaFechaFin]]-Reservas[[#This Row],[ reservaFechaInicio]]+1</f>
        <v>8</v>
      </c>
      <c r="J75" s="8">
        <f>+_xlfn.XLOOKUP(Reservas[[#This Row],[ habitacionNombre]],Habitaciones[Nombre],Habitaciones[Costo])</f>
        <v>100</v>
      </c>
      <c r="N75" t="s">
        <v>372</v>
      </c>
      <c r="O75">
        <f>+Reservas[[#This Row],[gatoID]]</f>
        <v>7</v>
      </c>
      <c r="P75" t="s">
        <v>374</v>
      </c>
      <c r="Q75" t="str">
        <f>+Reservas[[#This Row],[ habitacionNombre]]</f>
        <v>La Cueva</v>
      </c>
      <c r="R75" s="21" t="s">
        <v>375</v>
      </c>
      <c r="S75" t="str">
        <f>+TEXT(Reservas[[#This Row],[ reservaFechaInicio]],"yyyy-mm-dd")</f>
        <v>2024-03-01</v>
      </c>
      <c r="T75" s="21" t="s">
        <v>375</v>
      </c>
      <c r="U75" t="str">
        <f>+TEXT(Reservas[[#This Row],[ reservaFechaFin]],"yyyy-mm-dd")</f>
        <v>2024-03-08</v>
      </c>
      <c r="V75" s="21" t="s">
        <v>376</v>
      </c>
      <c r="W75">
        <f>+Reservas[[#This Row],[ reservaMonto]]</f>
        <v>800</v>
      </c>
      <c r="X75" t="s">
        <v>373</v>
      </c>
      <c r="Y75" t="str">
        <f t="shared" si="4"/>
        <v>(7,'La Cueva','2024-03-01','2024-03-08',800),</v>
      </c>
    </row>
    <row r="76" spans="1:25" x14ac:dyDescent="0.25">
      <c r="A76">
        <f t="shared" si="5"/>
        <v>74</v>
      </c>
      <c r="B76">
        <v>16</v>
      </c>
      <c r="C76" s="7" t="s">
        <v>94</v>
      </c>
      <c r="D76" s="7" t="s">
        <v>312</v>
      </c>
      <c r="E76" s="7" t="s">
        <v>313</v>
      </c>
      <c r="F76">
        <v>300</v>
      </c>
      <c r="G76" s="18">
        <f>+YEAR(Reservas[[#This Row],[ reservaFechaInicio]])</f>
        <v>2024</v>
      </c>
      <c r="I76" s="18">
        <f>+Reservas[[#This Row],[ reservaFechaFin]]-Reservas[[#This Row],[ reservaFechaInicio]]+1</f>
        <v>6</v>
      </c>
      <c r="J76" s="8">
        <f>+_xlfn.XLOOKUP(Reservas[[#This Row],[ habitacionNombre]],Habitaciones[Nombre],Habitaciones[Costo])</f>
        <v>50</v>
      </c>
      <c r="N76" t="s">
        <v>372</v>
      </c>
      <c r="O76">
        <f>+Reservas[[#This Row],[gatoID]]</f>
        <v>16</v>
      </c>
      <c r="P76" t="s">
        <v>374</v>
      </c>
      <c r="Q76" t="str">
        <f>+Reservas[[#This Row],[ habitacionNombre]]</f>
        <v>El Árbol</v>
      </c>
      <c r="R76" s="21" t="s">
        <v>375</v>
      </c>
      <c r="S76" t="str">
        <f>+TEXT(Reservas[[#This Row],[ reservaFechaInicio]],"yyyy-mm-dd")</f>
        <v>2024-04-10</v>
      </c>
      <c r="T76" s="21" t="s">
        <v>375</v>
      </c>
      <c r="U76" t="str">
        <f>+TEXT(Reservas[[#This Row],[ reservaFechaFin]],"yyyy-mm-dd")</f>
        <v>2024-04-15</v>
      </c>
      <c r="V76" s="21" t="s">
        <v>376</v>
      </c>
      <c r="W76">
        <f>+Reservas[[#This Row],[ reservaMonto]]</f>
        <v>300</v>
      </c>
      <c r="X76" t="s">
        <v>373</v>
      </c>
      <c r="Y76" t="str">
        <f t="shared" si="4"/>
        <v>(16,'El Árbol','2024-04-10','2024-04-15',300),</v>
      </c>
    </row>
    <row r="77" spans="1:25" x14ac:dyDescent="0.25">
      <c r="A77">
        <f t="shared" si="5"/>
        <v>75</v>
      </c>
      <c r="B77">
        <v>8</v>
      </c>
      <c r="C77" s="7" t="s">
        <v>88</v>
      </c>
      <c r="D77" s="7" t="s">
        <v>313</v>
      </c>
      <c r="E77" s="7" t="s">
        <v>355</v>
      </c>
      <c r="F77">
        <v>640</v>
      </c>
      <c r="G77" s="18">
        <f>+YEAR(Reservas[[#This Row],[ reservaFechaInicio]])</f>
        <v>2024</v>
      </c>
      <c r="I77" s="18">
        <f>+Reservas[[#This Row],[ reservaFechaFin]]-Reservas[[#This Row],[ reservaFechaInicio]]+1</f>
        <v>8</v>
      </c>
      <c r="J77" s="8">
        <f>+_xlfn.XLOOKUP(Reservas[[#This Row],[ habitacionNombre]],Habitaciones[Nombre],Habitaciones[Costo])</f>
        <v>80</v>
      </c>
      <c r="N77" t="s">
        <v>372</v>
      </c>
      <c r="O77">
        <f>+Reservas[[#This Row],[gatoID]]</f>
        <v>8</v>
      </c>
      <c r="P77" t="s">
        <v>374</v>
      </c>
      <c r="Q77" t="str">
        <f>+Reservas[[#This Row],[ habitacionNombre]]</f>
        <v>El Rascador</v>
      </c>
      <c r="R77" s="21" t="s">
        <v>375</v>
      </c>
      <c r="S77" t="str">
        <f>+TEXT(Reservas[[#This Row],[ reservaFechaInicio]],"yyyy-mm-dd")</f>
        <v>2024-04-15</v>
      </c>
      <c r="T77" s="21" t="s">
        <v>375</v>
      </c>
      <c r="U77" t="str">
        <f>+TEXT(Reservas[[#This Row],[ reservaFechaFin]],"yyyy-mm-dd")</f>
        <v>2024-04-22</v>
      </c>
      <c r="V77" s="21" t="s">
        <v>376</v>
      </c>
      <c r="W77">
        <f>+Reservas[[#This Row],[ reservaMonto]]</f>
        <v>640</v>
      </c>
      <c r="X77" t="s">
        <v>373</v>
      </c>
      <c r="Y77" t="str">
        <f t="shared" si="4"/>
        <v>(8,'El Rascador','2024-04-15','2024-04-22',640),</v>
      </c>
    </row>
    <row r="78" spans="1:25" x14ac:dyDescent="0.25">
      <c r="A78">
        <f t="shared" si="5"/>
        <v>76</v>
      </c>
      <c r="B78">
        <v>9</v>
      </c>
      <c r="C78" s="7" t="s">
        <v>90</v>
      </c>
      <c r="D78" s="7" t="s">
        <v>356</v>
      </c>
      <c r="E78" s="7" t="s">
        <v>357</v>
      </c>
      <c r="F78">
        <v>560</v>
      </c>
      <c r="G78" s="18">
        <f>+YEAR(Reservas[[#This Row],[ reservaFechaInicio]])</f>
        <v>2024</v>
      </c>
      <c r="I78" s="18">
        <f>+Reservas[[#This Row],[ reservaFechaFin]]-Reservas[[#This Row],[ reservaFechaInicio]]+1</f>
        <v>8</v>
      </c>
      <c r="J78" s="8">
        <f>+_xlfn.XLOOKUP(Reservas[[#This Row],[ habitacionNombre]],Habitaciones[Nombre],Habitaciones[Costo])</f>
        <v>70</v>
      </c>
      <c r="N78" t="s">
        <v>372</v>
      </c>
      <c r="O78">
        <f>+Reservas[[#This Row],[gatoID]]</f>
        <v>9</v>
      </c>
      <c r="P78" t="s">
        <v>374</v>
      </c>
      <c r="Q78" t="str">
        <f>+Reservas[[#This Row],[ habitacionNombre]]</f>
        <v>El Mirador</v>
      </c>
      <c r="R78" s="21" t="s">
        <v>375</v>
      </c>
      <c r="S78" t="str">
        <f>+TEXT(Reservas[[#This Row],[ reservaFechaInicio]],"yyyy-mm-dd")</f>
        <v>2024-05-05</v>
      </c>
      <c r="T78" s="21" t="s">
        <v>375</v>
      </c>
      <c r="U78" t="str">
        <f>+TEXT(Reservas[[#This Row],[ reservaFechaFin]],"yyyy-mm-dd")</f>
        <v>2024-05-12</v>
      </c>
      <c r="V78" s="21" t="s">
        <v>376</v>
      </c>
      <c r="W78">
        <f>+Reservas[[#This Row],[ reservaMonto]]</f>
        <v>560</v>
      </c>
      <c r="X78" t="s">
        <v>373</v>
      </c>
      <c r="Y78" t="str">
        <f t="shared" si="4"/>
        <v>(9,'El Mirador','2024-05-05','2024-05-12',560),</v>
      </c>
    </row>
    <row r="79" spans="1:25" x14ac:dyDescent="0.25">
      <c r="A79">
        <f t="shared" si="5"/>
        <v>77</v>
      </c>
      <c r="B79">
        <v>1</v>
      </c>
      <c r="C79" s="7" t="s">
        <v>92</v>
      </c>
      <c r="D79" s="7" t="s">
        <v>314</v>
      </c>
      <c r="E79" s="7" t="s">
        <v>315</v>
      </c>
      <c r="F79">
        <v>240</v>
      </c>
      <c r="G79" s="18">
        <f>+YEAR(Reservas[[#This Row],[ reservaFechaInicio]])</f>
        <v>2024</v>
      </c>
      <c r="I79" s="18">
        <f>+Reservas[[#This Row],[ reservaFechaFin]]-Reservas[[#This Row],[ reservaFechaInicio]]+1</f>
        <v>6</v>
      </c>
      <c r="J79" s="8">
        <f>+_xlfn.XLOOKUP(Reservas[[#This Row],[ habitacionNombre]],Habitaciones[Nombre],Habitaciones[Costo])</f>
        <v>40</v>
      </c>
      <c r="N79" t="s">
        <v>372</v>
      </c>
      <c r="O79">
        <f>+Reservas[[#This Row],[gatoID]]</f>
        <v>1</v>
      </c>
      <c r="P79" t="s">
        <v>374</v>
      </c>
      <c r="Q79" t="str">
        <f>+Reservas[[#This Row],[ habitacionNombre]]</f>
        <v>El Jardín</v>
      </c>
      <c r="R79" s="21" t="s">
        <v>375</v>
      </c>
      <c r="S79" t="str">
        <f>+TEXT(Reservas[[#This Row],[ reservaFechaInicio]],"yyyy-mm-dd")</f>
        <v>2024-05-20</v>
      </c>
      <c r="T79" s="21" t="s">
        <v>375</v>
      </c>
      <c r="U79" t="str">
        <f>+TEXT(Reservas[[#This Row],[ reservaFechaFin]],"yyyy-mm-dd")</f>
        <v>2024-05-25</v>
      </c>
      <c r="V79" s="21" t="s">
        <v>376</v>
      </c>
      <c r="W79">
        <f>+Reservas[[#This Row],[ reservaMonto]]</f>
        <v>240</v>
      </c>
      <c r="X79" t="s">
        <v>373</v>
      </c>
      <c r="Y79" t="str">
        <f t="shared" si="4"/>
        <v>(1,'El Jardín','2024-05-20','2024-05-25',240),</v>
      </c>
    </row>
    <row r="80" spans="1:25" x14ac:dyDescent="0.25">
      <c r="A80">
        <f t="shared" si="5"/>
        <v>78</v>
      </c>
      <c r="B80">
        <v>10</v>
      </c>
      <c r="C80" s="7" t="s">
        <v>96</v>
      </c>
      <c r="D80" s="7" t="s">
        <v>358</v>
      </c>
      <c r="E80" s="7" t="s">
        <v>359</v>
      </c>
      <c r="F80">
        <v>560</v>
      </c>
      <c r="G80" s="18">
        <f>+YEAR(Reservas[[#This Row],[ reservaFechaInicio]])</f>
        <v>2024</v>
      </c>
      <c r="I80" s="18">
        <f>+Reservas[[#This Row],[ reservaFechaFin]]-Reservas[[#This Row],[ reservaFechaInicio]]+1</f>
        <v>8</v>
      </c>
      <c r="J80" s="8">
        <f>+_xlfn.XLOOKUP(Reservas[[#This Row],[ habitacionNombre]],Habitaciones[Nombre],Habitaciones[Costo])</f>
        <v>70</v>
      </c>
      <c r="N80" t="s">
        <v>372</v>
      </c>
      <c r="O80">
        <f>+Reservas[[#This Row],[gatoID]]</f>
        <v>10</v>
      </c>
      <c r="P80" t="s">
        <v>374</v>
      </c>
      <c r="Q80" t="str">
        <f>+Reservas[[#This Row],[ habitacionNombre]]</f>
        <v>La Caja</v>
      </c>
      <c r="R80" s="21" t="s">
        <v>375</v>
      </c>
      <c r="S80" t="str">
        <f>+TEXT(Reservas[[#This Row],[ reservaFechaInicio]],"yyyy-mm-dd")</f>
        <v>2024-06-01</v>
      </c>
      <c r="T80" s="21" t="s">
        <v>375</v>
      </c>
      <c r="U80" t="str">
        <f>+TEXT(Reservas[[#This Row],[ reservaFechaFin]],"yyyy-mm-dd")</f>
        <v>2024-06-08</v>
      </c>
      <c r="V80" s="21" t="s">
        <v>376</v>
      </c>
      <c r="W80">
        <f>+Reservas[[#This Row],[ reservaMonto]]</f>
        <v>560</v>
      </c>
      <c r="X80" t="s">
        <v>373</v>
      </c>
      <c r="Y80" t="str">
        <f t="shared" si="4"/>
        <v>(10,'La Caja','2024-06-01','2024-06-08',560),</v>
      </c>
    </row>
    <row r="81" spans="1:25" x14ac:dyDescent="0.25">
      <c r="A81">
        <f t="shared" si="5"/>
        <v>79</v>
      </c>
      <c r="B81">
        <v>2</v>
      </c>
      <c r="C81" s="7" t="s">
        <v>95</v>
      </c>
      <c r="D81" s="7" t="s">
        <v>316</v>
      </c>
      <c r="E81" s="7" t="s">
        <v>317</v>
      </c>
      <c r="F81">
        <v>270</v>
      </c>
      <c r="G81" s="18">
        <f>+YEAR(Reservas[[#This Row],[ reservaFechaInicio]])</f>
        <v>2024</v>
      </c>
      <c r="I81" s="18">
        <f>+Reservas[[#This Row],[ reservaFechaFin]]-Reservas[[#This Row],[ reservaFechaInicio]]+1</f>
        <v>9</v>
      </c>
      <c r="J81" s="8">
        <f>+_xlfn.XLOOKUP(Reservas[[#This Row],[ habitacionNombre]],Habitaciones[Nombre],Habitaciones[Costo])</f>
        <v>30</v>
      </c>
      <c r="N81" t="s">
        <v>372</v>
      </c>
      <c r="O81">
        <f>+Reservas[[#This Row],[gatoID]]</f>
        <v>2</v>
      </c>
      <c r="P81" t="s">
        <v>374</v>
      </c>
      <c r="Q81" t="str">
        <f>+Reservas[[#This Row],[ habitacionNombre]]</f>
        <v>La Estantería</v>
      </c>
      <c r="R81" s="21" t="s">
        <v>375</v>
      </c>
      <c r="S81" t="str">
        <f>+TEXT(Reservas[[#This Row],[ reservaFechaInicio]],"yyyy-mm-dd")</f>
        <v>2024-06-10</v>
      </c>
      <c r="T81" s="21" t="s">
        <v>375</v>
      </c>
      <c r="U81" t="str">
        <f>+TEXT(Reservas[[#This Row],[ reservaFechaFin]],"yyyy-mm-dd")</f>
        <v>2024-06-18</v>
      </c>
      <c r="V81" s="21" t="s">
        <v>376</v>
      </c>
      <c r="W81">
        <f>+Reservas[[#This Row],[ reservaMonto]]</f>
        <v>270</v>
      </c>
      <c r="X81" t="s">
        <v>373</v>
      </c>
      <c r="Y81" t="str">
        <f t="shared" si="4"/>
        <v>(2,'La Estantería','2024-06-10','2024-06-18',270),</v>
      </c>
    </row>
    <row r="82" spans="1:25" x14ac:dyDescent="0.25">
      <c r="A82">
        <f t="shared" si="5"/>
        <v>80</v>
      </c>
      <c r="B82">
        <v>3</v>
      </c>
      <c r="C82" s="7" t="s">
        <v>93</v>
      </c>
      <c r="D82" s="7" t="s">
        <v>318</v>
      </c>
      <c r="E82" s="7" t="s">
        <v>319</v>
      </c>
      <c r="F82">
        <v>960</v>
      </c>
      <c r="G82" s="18">
        <f>+YEAR(Reservas[[#This Row],[ reservaFechaInicio]])</f>
        <v>2024</v>
      </c>
      <c r="I82" s="18">
        <f>+Reservas[[#This Row],[ reservaFechaFin]]-Reservas[[#This Row],[ reservaFechaInicio]]+1</f>
        <v>8</v>
      </c>
      <c r="J82" s="8">
        <f>+_xlfn.XLOOKUP(Reservas[[#This Row],[ habitacionNombre]],Habitaciones[Nombre],Habitaciones[Costo])</f>
        <v>120</v>
      </c>
      <c r="N82" t="s">
        <v>372</v>
      </c>
      <c r="O82">
        <f>+Reservas[[#This Row],[gatoID]]</f>
        <v>3</v>
      </c>
      <c r="P82" t="s">
        <v>374</v>
      </c>
      <c r="Q82" t="str">
        <f>+Reservas[[#This Row],[ habitacionNombre]]</f>
        <v>El Solarium</v>
      </c>
      <c r="R82" s="21" t="s">
        <v>375</v>
      </c>
      <c r="S82" t="str">
        <f>+TEXT(Reservas[[#This Row],[ reservaFechaInicio]],"yyyy-mm-dd")</f>
        <v>2024-07-01</v>
      </c>
      <c r="T82" s="21" t="s">
        <v>375</v>
      </c>
      <c r="U82" t="str">
        <f>+TEXT(Reservas[[#This Row],[ reservaFechaFin]],"yyyy-mm-dd")</f>
        <v>2024-07-08</v>
      </c>
      <c r="V82" s="21" t="s">
        <v>376</v>
      </c>
      <c r="W82">
        <f>+Reservas[[#This Row],[ reservaMonto]]</f>
        <v>960</v>
      </c>
      <c r="X82" t="s">
        <v>373</v>
      </c>
      <c r="Y82" t="str">
        <f t="shared" si="4"/>
        <v>(3,'El Solarium','2024-07-01','2024-07-08',960),</v>
      </c>
    </row>
    <row r="83" spans="1:25" x14ac:dyDescent="0.25">
      <c r="A83">
        <f t="shared" si="5"/>
        <v>81</v>
      </c>
      <c r="B83">
        <v>11</v>
      </c>
      <c r="C83" s="7" t="s">
        <v>94</v>
      </c>
      <c r="D83" s="7" t="s">
        <v>360</v>
      </c>
      <c r="E83" s="7" t="s">
        <v>361</v>
      </c>
      <c r="F83">
        <v>400</v>
      </c>
      <c r="G83" s="18">
        <f>+YEAR(Reservas[[#This Row],[ reservaFechaInicio]])</f>
        <v>2024</v>
      </c>
      <c r="I83" s="18">
        <f>+Reservas[[#This Row],[ reservaFechaFin]]-Reservas[[#This Row],[ reservaFechaInicio]]+1</f>
        <v>8</v>
      </c>
      <c r="J83" s="8">
        <f>+_xlfn.XLOOKUP(Reservas[[#This Row],[ habitacionNombre]],Habitaciones[Nombre],Habitaciones[Costo])</f>
        <v>50</v>
      </c>
      <c r="N83" t="s">
        <v>372</v>
      </c>
      <c r="O83">
        <f>+Reservas[[#This Row],[gatoID]]</f>
        <v>11</v>
      </c>
      <c r="P83" t="s">
        <v>374</v>
      </c>
      <c r="Q83" t="str">
        <f>+Reservas[[#This Row],[ habitacionNombre]]</f>
        <v>El Árbol</v>
      </c>
      <c r="R83" s="21" t="s">
        <v>375</v>
      </c>
      <c r="S83" t="str">
        <f>+TEXT(Reservas[[#This Row],[ reservaFechaInicio]],"yyyy-mm-dd")</f>
        <v>2024-07-10</v>
      </c>
      <c r="T83" s="21" t="s">
        <v>375</v>
      </c>
      <c r="U83" t="str">
        <f>+TEXT(Reservas[[#This Row],[ reservaFechaFin]],"yyyy-mm-dd")</f>
        <v>2024-07-17</v>
      </c>
      <c r="V83" s="21" t="s">
        <v>376</v>
      </c>
      <c r="W83">
        <f>+Reservas[[#This Row],[ reservaMonto]]</f>
        <v>400</v>
      </c>
      <c r="X83" t="s">
        <v>373</v>
      </c>
      <c r="Y83" t="str">
        <f t="shared" si="4"/>
        <v>(11,'El Árbol','2024-07-10','2024-07-17',400),</v>
      </c>
    </row>
    <row r="84" spans="1:25" x14ac:dyDescent="0.25">
      <c r="A84">
        <f t="shared" si="5"/>
        <v>82</v>
      </c>
      <c r="B84">
        <v>4</v>
      </c>
      <c r="C84" s="7" t="s">
        <v>89</v>
      </c>
      <c r="D84" s="7" t="s">
        <v>320</v>
      </c>
      <c r="E84" s="7" t="s">
        <v>321</v>
      </c>
      <c r="F84">
        <v>800</v>
      </c>
      <c r="G84" s="18">
        <f>+YEAR(Reservas[[#This Row],[ reservaFechaInicio]])</f>
        <v>2024</v>
      </c>
      <c r="I84" s="18">
        <f>+Reservas[[#This Row],[ reservaFechaFin]]-Reservas[[#This Row],[ reservaFechaInicio]]+1</f>
        <v>8</v>
      </c>
      <c r="J84" s="8">
        <f>+_xlfn.XLOOKUP(Reservas[[#This Row],[ habitacionNombre]],Habitaciones[Nombre],Habitaciones[Costo])</f>
        <v>100</v>
      </c>
      <c r="N84" t="s">
        <v>372</v>
      </c>
      <c r="O84">
        <f>+Reservas[[#This Row],[gatoID]]</f>
        <v>4</v>
      </c>
      <c r="P84" t="s">
        <v>374</v>
      </c>
      <c r="Q84" t="str">
        <f>+Reservas[[#This Row],[ habitacionNombre]]</f>
        <v>La Almohada</v>
      </c>
      <c r="R84" s="21" t="s">
        <v>375</v>
      </c>
      <c r="S84" t="str">
        <f>+TEXT(Reservas[[#This Row],[ reservaFechaInicio]],"yyyy-mm-dd")</f>
        <v>2024-08-15</v>
      </c>
      <c r="T84" s="21" t="s">
        <v>375</v>
      </c>
      <c r="U84" t="str">
        <f>+TEXT(Reservas[[#This Row],[ reservaFechaFin]],"yyyy-mm-dd")</f>
        <v>2024-08-22</v>
      </c>
      <c r="V84" s="21" t="s">
        <v>376</v>
      </c>
      <c r="W84">
        <f>+Reservas[[#This Row],[ reservaMonto]]</f>
        <v>800</v>
      </c>
      <c r="X84" t="s">
        <v>373</v>
      </c>
      <c r="Y84" t="str">
        <f t="shared" si="4"/>
        <v>(4,'La Almohada','2024-08-15','2024-08-22',800),</v>
      </c>
    </row>
    <row r="85" spans="1:25" x14ac:dyDescent="0.25">
      <c r="A85">
        <f t="shared" si="5"/>
        <v>83</v>
      </c>
      <c r="B85">
        <v>12</v>
      </c>
      <c r="C85" s="7" t="s">
        <v>92</v>
      </c>
      <c r="D85" s="7" t="s">
        <v>320</v>
      </c>
      <c r="E85" s="7" t="s">
        <v>321</v>
      </c>
      <c r="F85">
        <v>320</v>
      </c>
      <c r="G85" s="18">
        <f>+YEAR(Reservas[[#This Row],[ reservaFechaInicio]])</f>
        <v>2024</v>
      </c>
      <c r="I85" s="18">
        <f>+Reservas[[#This Row],[ reservaFechaFin]]-Reservas[[#This Row],[ reservaFechaInicio]]+1</f>
        <v>8</v>
      </c>
      <c r="J85" s="8">
        <f>+_xlfn.XLOOKUP(Reservas[[#This Row],[ habitacionNombre]],Habitaciones[Nombre],Habitaciones[Costo])</f>
        <v>40</v>
      </c>
      <c r="N85" t="s">
        <v>372</v>
      </c>
      <c r="O85">
        <f>+Reservas[[#This Row],[gatoID]]</f>
        <v>12</v>
      </c>
      <c r="P85" t="s">
        <v>374</v>
      </c>
      <c r="Q85" t="str">
        <f>+Reservas[[#This Row],[ habitacionNombre]]</f>
        <v>El Jardín</v>
      </c>
      <c r="R85" s="21" t="s">
        <v>375</v>
      </c>
      <c r="S85" t="str">
        <f>+TEXT(Reservas[[#This Row],[ reservaFechaInicio]],"yyyy-mm-dd")</f>
        <v>2024-08-15</v>
      </c>
      <c r="T85" s="21" t="s">
        <v>375</v>
      </c>
      <c r="U85" t="str">
        <f>+TEXT(Reservas[[#This Row],[ reservaFechaFin]],"yyyy-mm-dd")</f>
        <v>2024-08-22</v>
      </c>
      <c r="V85" s="21" t="s">
        <v>376</v>
      </c>
      <c r="W85">
        <f>+Reservas[[#This Row],[ reservaMonto]]</f>
        <v>320</v>
      </c>
      <c r="X85" t="s">
        <v>373</v>
      </c>
      <c r="Y85" t="str">
        <f t="shared" si="4"/>
        <v>(12,'El Jardín','2024-08-15','2024-08-22',320),</v>
      </c>
    </row>
    <row r="86" spans="1:25" x14ac:dyDescent="0.25">
      <c r="A86">
        <f t="shared" si="5"/>
        <v>84</v>
      </c>
      <c r="B86">
        <v>13</v>
      </c>
      <c r="C86" s="7" t="s">
        <v>95</v>
      </c>
      <c r="D86" s="7" t="s">
        <v>362</v>
      </c>
      <c r="E86" s="7" t="s">
        <v>363</v>
      </c>
      <c r="F86">
        <v>240</v>
      </c>
      <c r="G86" s="18">
        <f>+YEAR(Reservas[[#This Row],[ reservaFechaInicio]])</f>
        <v>2024</v>
      </c>
      <c r="I86" s="18">
        <f>+Reservas[[#This Row],[ reservaFechaFin]]-Reservas[[#This Row],[ reservaFechaInicio]]+1</f>
        <v>8</v>
      </c>
      <c r="J86" s="8">
        <f>+_xlfn.XLOOKUP(Reservas[[#This Row],[ habitacionNombre]],Habitaciones[Nombre],Habitaciones[Costo])</f>
        <v>30</v>
      </c>
      <c r="N86" t="s">
        <v>372</v>
      </c>
      <c r="O86">
        <f>+Reservas[[#This Row],[gatoID]]</f>
        <v>13</v>
      </c>
      <c r="P86" t="s">
        <v>374</v>
      </c>
      <c r="Q86" t="str">
        <f>+Reservas[[#This Row],[ habitacionNombre]]</f>
        <v>La Estantería</v>
      </c>
      <c r="R86" s="21" t="s">
        <v>375</v>
      </c>
      <c r="S86" t="str">
        <f>+TEXT(Reservas[[#This Row],[ reservaFechaInicio]],"yyyy-mm-dd")</f>
        <v>2024-09-01</v>
      </c>
      <c r="T86" s="21" t="s">
        <v>375</v>
      </c>
      <c r="U86" t="str">
        <f>+TEXT(Reservas[[#This Row],[ reservaFechaFin]],"yyyy-mm-dd")</f>
        <v>2024-09-08</v>
      </c>
      <c r="V86" s="21" t="s">
        <v>376</v>
      </c>
      <c r="W86">
        <f>+Reservas[[#This Row],[ reservaMonto]]</f>
        <v>240</v>
      </c>
      <c r="X86" t="s">
        <v>373</v>
      </c>
      <c r="Y86" t="str">
        <f t="shared" si="4"/>
        <v>(13,'La Estantería','2024-09-01','2024-09-08',240),</v>
      </c>
    </row>
    <row r="87" spans="1:25" x14ac:dyDescent="0.25">
      <c r="A87">
        <f t="shared" si="5"/>
        <v>85</v>
      </c>
      <c r="B87">
        <v>5</v>
      </c>
      <c r="C87" s="7" t="s">
        <v>91</v>
      </c>
      <c r="D87" s="7" t="s">
        <v>322</v>
      </c>
      <c r="E87" s="7" t="s">
        <v>323</v>
      </c>
      <c r="F87">
        <v>800</v>
      </c>
      <c r="G87" s="18">
        <f>+YEAR(Reservas[[#This Row],[ reservaFechaInicio]])</f>
        <v>2024</v>
      </c>
      <c r="I87" s="18">
        <f>+Reservas[[#This Row],[ reservaFechaFin]]-Reservas[[#This Row],[ reservaFechaInicio]]+1</f>
        <v>8</v>
      </c>
      <c r="J87" s="8">
        <f>+_xlfn.XLOOKUP(Reservas[[#This Row],[ habitacionNombre]],Habitaciones[Nombre],Habitaciones[Costo])</f>
        <v>100</v>
      </c>
      <c r="N87" t="s">
        <v>372</v>
      </c>
      <c r="O87">
        <f>+Reservas[[#This Row],[gatoID]]</f>
        <v>5</v>
      </c>
      <c r="P87" t="s">
        <v>374</v>
      </c>
      <c r="Q87" t="str">
        <f>+Reservas[[#This Row],[ habitacionNombre]]</f>
        <v>La Cueva</v>
      </c>
      <c r="R87" s="21" t="s">
        <v>375</v>
      </c>
      <c r="S87" t="str">
        <f>+TEXT(Reservas[[#This Row],[ reservaFechaInicio]],"yyyy-mm-dd")</f>
        <v>2024-09-10</v>
      </c>
      <c r="T87" s="21" t="s">
        <v>375</v>
      </c>
      <c r="U87" t="str">
        <f>+TEXT(Reservas[[#This Row],[ reservaFechaFin]],"yyyy-mm-dd")</f>
        <v>2024-09-17</v>
      </c>
      <c r="V87" s="21" t="s">
        <v>376</v>
      </c>
      <c r="W87">
        <f>+Reservas[[#This Row],[ reservaMonto]]</f>
        <v>800</v>
      </c>
      <c r="X87" t="s">
        <v>373</v>
      </c>
      <c r="Y87" t="str">
        <f t="shared" si="4"/>
        <v>(5,'La Cueva','2024-09-10','2024-09-17',800),</v>
      </c>
    </row>
    <row r="88" spans="1:25" x14ac:dyDescent="0.25">
      <c r="A88">
        <f t="shared" si="5"/>
        <v>86</v>
      </c>
      <c r="B88">
        <v>6</v>
      </c>
      <c r="C88" s="7" t="s">
        <v>88</v>
      </c>
      <c r="D88" s="7" t="s">
        <v>324</v>
      </c>
      <c r="E88" s="7" t="s">
        <v>325</v>
      </c>
      <c r="F88">
        <v>640</v>
      </c>
      <c r="G88" s="18">
        <f>+YEAR(Reservas[[#This Row],[ reservaFechaInicio]])</f>
        <v>2024</v>
      </c>
      <c r="I88" s="18">
        <f>+Reservas[[#This Row],[ reservaFechaFin]]-Reservas[[#This Row],[ reservaFechaInicio]]+1</f>
        <v>8</v>
      </c>
      <c r="J88" s="8">
        <f>+_xlfn.XLOOKUP(Reservas[[#This Row],[ habitacionNombre]],Habitaciones[Nombre],Habitaciones[Costo])</f>
        <v>80</v>
      </c>
      <c r="N88" t="s">
        <v>372</v>
      </c>
      <c r="O88">
        <f>+Reservas[[#This Row],[gatoID]]</f>
        <v>6</v>
      </c>
      <c r="P88" t="s">
        <v>374</v>
      </c>
      <c r="Q88" t="str">
        <f>+Reservas[[#This Row],[ habitacionNombre]]</f>
        <v>El Rascador</v>
      </c>
      <c r="R88" s="21" t="s">
        <v>375</v>
      </c>
      <c r="S88" t="str">
        <f>+TEXT(Reservas[[#This Row],[ reservaFechaInicio]],"yyyy-mm-dd")</f>
        <v>2024-10-05</v>
      </c>
      <c r="T88" s="21" t="s">
        <v>375</v>
      </c>
      <c r="U88" t="str">
        <f>+TEXT(Reservas[[#This Row],[ reservaFechaFin]],"yyyy-mm-dd")</f>
        <v>2024-10-12</v>
      </c>
      <c r="V88" s="21" t="s">
        <v>376</v>
      </c>
      <c r="W88">
        <f>+Reservas[[#This Row],[ reservaMonto]]</f>
        <v>640</v>
      </c>
      <c r="X88" t="s">
        <v>373</v>
      </c>
      <c r="Y88" t="str">
        <f t="shared" si="4"/>
        <v>(6,'El Rascador','2024-10-05','2024-10-12',640),</v>
      </c>
    </row>
    <row r="89" spans="1:25" x14ac:dyDescent="0.25">
      <c r="A89">
        <f t="shared" si="5"/>
        <v>87</v>
      </c>
      <c r="B89">
        <v>14</v>
      </c>
      <c r="C89" s="7" t="s">
        <v>93</v>
      </c>
      <c r="D89" s="7" t="s">
        <v>324</v>
      </c>
      <c r="E89" s="7" t="s">
        <v>325</v>
      </c>
      <c r="F89">
        <v>960</v>
      </c>
      <c r="G89" s="18">
        <f>+YEAR(Reservas[[#This Row],[ reservaFechaInicio]])</f>
        <v>2024</v>
      </c>
      <c r="I89" s="18">
        <f>+Reservas[[#This Row],[ reservaFechaFin]]-Reservas[[#This Row],[ reservaFechaInicio]]+1</f>
        <v>8</v>
      </c>
      <c r="J89" s="8">
        <f>+_xlfn.XLOOKUP(Reservas[[#This Row],[ habitacionNombre]],Habitaciones[Nombre],Habitaciones[Costo])</f>
        <v>120</v>
      </c>
      <c r="N89" t="s">
        <v>372</v>
      </c>
      <c r="O89">
        <f>+Reservas[[#This Row],[gatoID]]</f>
        <v>14</v>
      </c>
      <c r="P89" t="s">
        <v>374</v>
      </c>
      <c r="Q89" t="str">
        <f>+Reservas[[#This Row],[ habitacionNombre]]</f>
        <v>El Solarium</v>
      </c>
      <c r="R89" s="21" t="s">
        <v>375</v>
      </c>
      <c r="S89" t="str">
        <f>+TEXT(Reservas[[#This Row],[ reservaFechaInicio]],"yyyy-mm-dd")</f>
        <v>2024-10-05</v>
      </c>
      <c r="T89" s="21" t="s">
        <v>375</v>
      </c>
      <c r="U89" t="str">
        <f>+TEXT(Reservas[[#This Row],[ reservaFechaFin]],"yyyy-mm-dd")</f>
        <v>2024-10-12</v>
      </c>
      <c r="V89" s="21" t="s">
        <v>376</v>
      </c>
      <c r="W89">
        <f>+Reservas[[#This Row],[ reservaMonto]]</f>
        <v>960</v>
      </c>
      <c r="X89" t="s">
        <v>373</v>
      </c>
      <c r="Y89" t="str">
        <f t="shared" si="4"/>
        <v>(14,'El Solarium','2024-10-05','2024-10-12',960),</v>
      </c>
    </row>
    <row r="90" spans="1:25" x14ac:dyDescent="0.25">
      <c r="A90">
        <f t="shared" si="5"/>
        <v>88</v>
      </c>
      <c r="B90">
        <v>7</v>
      </c>
      <c r="C90" s="7" t="s">
        <v>90</v>
      </c>
      <c r="D90" s="7" t="s">
        <v>326</v>
      </c>
      <c r="E90" s="7" t="s">
        <v>327</v>
      </c>
      <c r="F90">
        <v>490</v>
      </c>
      <c r="G90" s="18">
        <f>+YEAR(Reservas[[#This Row],[ reservaFechaInicio]])</f>
        <v>2024</v>
      </c>
      <c r="I90" s="18">
        <f>+Reservas[[#This Row],[ reservaFechaFin]]-Reservas[[#This Row],[ reservaFechaInicio]]+1</f>
        <v>7</v>
      </c>
      <c r="J90" s="8">
        <f>+_xlfn.XLOOKUP(Reservas[[#This Row],[ habitacionNombre]],Habitaciones[Nombre],Habitaciones[Costo])</f>
        <v>70</v>
      </c>
      <c r="N90" t="s">
        <v>372</v>
      </c>
      <c r="O90">
        <f>+Reservas[[#This Row],[gatoID]]</f>
        <v>7</v>
      </c>
      <c r="P90" t="s">
        <v>374</v>
      </c>
      <c r="Q90" t="str">
        <f>+Reservas[[#This Row],[ habitacionNombre]]</f>
        <v>El Mirador</v>
      </c>
      <c r="R90" s="21" t="s">
        <v>375</v>
      </c>
      <c r="S90" t="str">
        <f>+TEXT(Reservas[[#This Row],[ reservaFechaInicio]],"yyyy-mm-dd")</f>
        <v>2024-11-01</v>
      </c>
      <c r="T90" s="21" t="s">
        <v>375</v>
      </c>
      <c r="U90" t="str">
        <f>+TEXT(Reservas[[#This Row],[ reservaFechaFin]],"yyyy-mm-dd")</f>
        <v>2024-11-07</v>
      </c>
      <c r="V90" s="21" t="s">
        <v>376</v>
      </c>
      <c r="W90">
        <f>+Reservas[[#This Row],[ reservaMonto]]</f>
        <v>490</v>
      </c>
      <c r="X90" t="s">
        <v>373</v>
      </c>
      <c r="Y90" t="str">
        <f t="shared" si="4"/>
        <v>(7,'El Mirador','2024-11-01','2024-11-07',490),</v>
      </c>
    </row>
    <row r="91" spans="1:25" x14ac:dyDescent="0.25">
      <c r="A91">
        <f t="shared" si="5"/>
        <v>89</v>
      </c>
      <c r="B91">
        <v>15</v>
      </c>
      <c r="C91" s="7" t="s">
        <v>89</v>
      </c>
      <c r="D91" s="7" t="s">
        <v>326</v>
      </c>
      <c r="E91" s="7" t="s">
        <v>327</v>
      </c>
      <c r="F91">
        <v>700</v>
      </c>
      <c r="G91" s="18">
        <f>+YEAR(Reservas[[#This Row],[ reservaFechaInicio]])</f>
        <v>2024</v>
      </c>
      <c r="I91" s="18">
        <f>+Reservas[[#This Row],[ reservaFechaFin]]-Reservas[[#This Row],[ reservaFechaInicio]]+1</f>
        <v>7</v>
      </c>
      <c r="J91" s="8">
        <f>+_xlfn.XLOOKUP(Reservas[[#This Row],[ habitacionNombre]],Habitaciones[Nombre],Habitaciones[Costo])</f>
        <v>100</v>
      </c>
      <c r="N91" t="s">
        <v>372</v>
      </c>
      <c r="O91">
        <f>+Reservas[[#This Row],[gatoID]]</f>
        <v>15</v>
      </c>
      <c r="P91" t="s">
        <v>374</v>
      </c>
      <c r="Q91" t="str">
        <f>+Reservas[[#This Row],[ habitacionNombre]]</f>
        <v>La Almohada</v>
      </c>
      <c r="R91" s="21" t="s">
        <v>375</v>
      </c>
      <c r="S91" t="str">
        <f>+TEXT(Reservas[[#This Row],[ reservaFechaInicio]],"yyyy-mm-dd")</f>
        <v>2024-11-01</v>
      </c>
      <c r="T91" s="21" t="s">
        <v>375</v>
      </c>
      <c r="U91" t="str">
        <f>+TEXT(Reservas[[#This Row],[ reservaFechaFin]],"yyyy-mm-dd")</f>
        <v>2024-11-07</v>
      </c>
      <c r="V91" s="21" t="s">
        <v>376</v>
      </c>
      <c r="W91">
        <f>+Reservas[[#This Row],[ reservaMonto]]</f>
        <v>700</v>
      </c>
      <c r="X91" t="s">
        <v>373</v>
      </c>
      <c r="Y91" t="str">
        <f t="shared" si="4"/>
        <v>(15,'La Almohada','2024-11-01','2024-11-07',700),</v>
      </c>
    </row>
    <row r="92" spans="1:25" x14ac:dyDescent="0.25">
      <c r="A92">
        <f t="shared" si="5"/>
        <v>90</v>
      </c>
      <c r="B92">
        <v>8</v>
      </c>
      <c r="C92" s="7" t="s">
        <v>96</v>
      </c>
      <c r="D92" s="7" t="s">
        <v>328</v>
      </c>
      <c r="E92" s="7" t="s">
        <v>329</v>
      </c>
      <c r="F92">
        <v>490</v>
      </c>
      <c r="G92" s="18">
        <f>+YEAR(Reservas[[#This Row],[ reservaFechaInicio]])</f>
        <v>2024</v>
      </c>
      <c r="I92" s="18">
        <f>+Reservas[[#This Row],[ reservaFechaFin]]-Reservas[[#This Row],[ reservaFechaInicio]]+1</f>
        <v>7</v>
      </c>
      <c r="J92" s="8">
        <f>+_xlfn.XLOOKUP(Reservas[[#This Row],[ habitacionNombre]],Habitaciones[Nombre],Habitaciones[Costo])</f>
        <v>70</v>
      </c>
      <c r="N92" t="s">
        <v>372</v>
      </c>
      <c r="O92">
        <f>+Reservas[[#This Row],[gatoID]]</f>
        <v>8</v>
      </c>
      <c r="P92" t="s">
        <v>374</v>
      </c>
      <c r="Q92" t="str">
        <f>+Reservas[[#This Row],[ habitacionNombre]]</f>
        <v>La Caja</v>
      </c>
      <c r="R92" s="21" t="s">
        <v>375</v>
      </c>
      <c r="S92" t="str">
        <f>+TEXT(Reservas[[#This Row],[ reservaFechaInicio]],"yyyy-mm-dd")</f>
        <v>2024-12-01</v>
      </c>
      <c r="T92" s="21" t="s">
        <v>375</v>
      </c>
      <c r="U92" t="str">
        <f>+TEXT(Reservas[[#This Row],[ reservaFechaFin]],"yyyy-mm-dd")</f>
        <v>2024-12-07</v>
      </c>
      <c r="V92" s="21" t="s">
        <v>376</v>
      </c>
      <c r="W92">
        <f>+Reservas[[#This Row],[ reservaMonto]]</f>
        <v>490</v>
      </c>
      <c r="X92" t="s">
        <v>373</v>
      </c>
      <c r="Y92" t="str">
        <f t="shared" si="4"/>
        <v>(8,'La Caja','2024-12-01','2024-12-07',490),</v>
      </c>
    </row>
    <row r="93" spans="1:25" x14ac:dyDescent="0.25">
      <c r="A93">
        <f t="shared" si="5"/>
        <v>91</v>
      </c>
      <c r="B93">
        <v>16</v>
      </c>
      <c r="C93" s="7" t="s">
        <v>91</v>
      </c>
      <c r="D93" s="7" t="s">
        <v>328</v>
      </c>
      <c r="E93" s="7" t="s">
        <v>364</v>
      </c>
      <c r="F93">
        <v>800</v>
      </c>
      <c r="G93" s="18">
        <f>+YEAR(Reservas[[#This Row],[ reservaFechaInicio]])</f>
        <v>2024</v>
      </c>
      <c r="I93" s="18">
        <f>+Reservas[[#This Row],[ reservaFechaFin]]-Reservas[[#This Row],[ reservaFechaInicio]]+1</f>
        <v>8</v>
      </c>
      <c r="J93" s="8">
        <f>+_xlfn.XLOOKUP(Reservas[[#This Row],[ habitacionNombre]],Habitaciones[Nombre],Habitaciones[Costo])</f>
        <v>100</v>
      </c>
      <c r="N93" t="s">
        <v>372</v>
      </c>
      <c r="O93">
        <f>+Reservas[[#This Row],[gatoID]]</f>
        <v>16</v>
      </c>
      <c r="P93" t="s">
        <v>374</v>
      </c>
      <c r="Q93" t="str">
        <f>+Reservas[[#This Row],[ habitacionNombre]]</f>
        <v>La Cueva</v>
      </c>
      <c r="R93" s="21" t="s">
        <v>375</v>
      </c>
      <c r="S93" t="str">
        <f>+TEXT(Reservas[[#This Row],[ reservaFechaInicio]],"yyyy-mm-dd")</f>
        <v>2024-12-01</v>
      </c>
      <c r="T93" s="21" t="s">
        <v>375</v>
      </c>
      <c r="U93" t="str">
        <f>+TEXT(Reservas[[#This Row],[ reservaFechaFin]],"yyyy-mm-dd")</f>
        <v>2024-12-08</v>
      </c>
      <c r="V93" s="21" t="s">
        <v>376</v>
      </c>
      <c r="W93">
        <f>+Reservas[[#This Row],[ reservaMonto]]</f>
        <v>800</v>
      </c>
      <c r="X93" t="s">
        <v>373</v>
      </c>
      <c r="Y93" t="str">
        <f t="shared" si="4"/>
        <v>(16,'La Cueva','2024-12-01','2024-12-08',800),</v>
      </c>
    </row>
    <row r="94" spans="1:25" x14ac:dyDescent="0.25">
      <c r="D94" s="7"/>
      <c r="E94" s="7"/>
    </row>
    <row r="95" spans="1:25" x14ac:dyDescent="0.25">
      <c r="D95" s="7"/>
      <c r="E95" s="7"/>
    </row>
    <row r="96" spans="1:25" x14ac:dyDescent="0.25">
      <c r="D96" s="7"/>
      <c r="E96" s="7"/>
    </row>
    <row r="97" spans="4:5" x14ac:dyDescent="0.25">
      <c r="D97" s="7"/>
      <c r="E97" s="7"/>
    </row>
    <row r="98" spans="4:5" x14ac:dyDescent="0.25">
      <c r="D98" s="7"/>
      <c r="E98" s="7"/>
    </row>
    <row r="99" spans="4:5" x14ac:dyDescent="0.25">
      <c r="D99" s="7"/>
      <c r="E99" s="7"/>
    </row>
    <row r="100" spans="4:5" x14ac:dyDescent="0.25">
      <c r="D100" s="7"/>
      <c r="E100" s="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1F74-6BC2-4BB2-90F4-2DB2D1E03897}">
  <dimension ref="A1:L102"/>
  <sheetViews>
    <sheetView topLeftCell="A74" workbookViewId="0">
      <selection activeCell="D2" sqref="D2:D94"/>
    </sheetView>
  </sheetViews>
  <sheetFormatPr baseColWidth="10" defaultRowHeight="15" x14ac:dyDescent="0.25"/>
  <cols>
    <col min="1" max="1" width="12.42578125" customWidth="1"/>
    <col min="2" max="2" width="23.28515625" bestFit="1" customWidth="1"/>
    <col min="3" max="3" width="11.28515625" customWidth="1"/>
    <col min="4" max="4" width="29.140625" bestFit="1" customWidth="1"/>
    <col min="5" max="5" width="10.42578125" bestFit="1" customWidth="1"/>
    <col min="6" max="6" width="11.5703125" bestFit="1" customWidth="1"/>
  </cols>
  <sheetData>
    <row r="1" spans="1:12" x14ac:dyDescent="0.25">
      <c r="A1" t="s">
        <v>123</v>
      </c>
      <c r="B1" t="s">
        <v>124</v>
      </c>
      <c r="C1" t="s">
        <v>125</v>
      </c>
      <c r="D1" t="s">
        <v>113</v>
      </c>
      <c r="E1" t="s">
        <v>157</v>
      </c>
      <c r="F1" t="s">
        <v>158</v>
      </c>
      <c r="G1" t="s">
        <v>159</v>
      </c>
      <c r="H1" t="s">
        <v>160</v>
      </c>
    </row>
    <row r="2" spans="1:12" x14ac:dyDescent="0.25">
      <c r="A2">
        <v>3</v>
      </c>
      <c r="B2" t="s">
        <v>105</v>
      </c>
      <c r="C2">
        <v>5</v>
      </c>
      <c r="D2" t="str">
        <f>+"("&amp;ReservaServicio[[#This Row],[ReservaID]]&amp;",'"&amp;ReservaServicio[[#This Row],[ServicioID]]&amp;"',"&amp;ReservaServicio[[#This Row],[Cantidad]]&amp;"),"</f>
        <v>(3,'PELUQUERIA',5),</v>
      </c>
      <c r="E2" s="7">
        <f>+_xlfn.XLOOKUP(ReservaServicio[[#This Row],[ReservaID]],Reservas[ReservaID],Reservas[[ reservaFechaInicio]])</f>
        <v>45160</v>
      </c>
      <c r="F2" s="7">
        <f>+_xlfn.XLOOKUP(ReservaServicio[[#This Row],[ReservaID]],Reservas[ReservaID],Reservas[[ reservaFechaFin]])</f>
        <v>45166</v>
      </c>
      <c r="G2">
        <f>+YEAR(ReservaServicio[[#This Row],[FCHiNICIO]])</f>
        <v>2023</v>
      </c>
      <c r="H2">
        <f>+YEAR(ReservaServicio[[#This Row],[FchFin]])</f>
        <v>2023</v>
      </c>
    </row>
    <row r="3" spans="1:12" x14ac:dyDescent="0.25">
      <c r="A3">
        <v>5</v>
      </c>
      <c r="B3" t="s">
        <v>108</v>
      </c>
      <c r="C3">
        <v>2</v>
      </c>
      <c r="D3" t="str">
        <f>+"("&amp;ReservaServicio[[#This Row],[ReservaID]]&amp;",'"&amp;ReservaServicio[[#This Row],[ServicioID]]&amp;"',"&amp;ReservaServicio[[#This Row],[Cantidad]]&amp;"),"</f>
        <v>(5,'ALIMENTACION_ESPECIAL',2),</v>
      </c>
      <c r="E3" s="7">
        <f>+_xlfn.XLOOKUP(ReservaServicio[[#This Row],[ReservaID]],Reservas[ReservaID],Reservas[[ reservaFechaInicio]])</f>
        <v>45169</v>
      </c>
      <c r="F3" s="7">
        <f>+_xlfn.XLOOKUP(ReservaServicio[[#This Row],[ReservaID]],Reservas[ReservaID],Reservas[[ reservaFechaFin]])</f>
        <v>45179</v>
      </c>
      <c r="G3">
        <f>+YEAR(ReservaServicio[[#This Row],[FCHiNICIO]])</f>
        <v>2023</v>
      </c>
      <c r="H3">
        <f>+YEAR(ReservaServicio[[#This Row],[FchFin]])</f>
        <v>2023</v>
      </c>
      <c r="I3" t="s">
        <v>127</v>
      </c>
      <c r="J3" t="s">
        <v>128</v>
      </c>
      <c r="K3" t="s">
        <v>129</v>
      </c>
    </row>
    <row r="4" spans="1:12" x14ac:dyDescent="0.25">
      <c r="A4">
        <v>6</v>
      </c>
      <c r="B4" t="s">
        <v>103</v>
      </c>
      <c r="C4">
        <v>6</v>
      </c>
      <c r="D4" t="str">
        <f>+"("&amp;ReservaServicio[[#This Row],[ReservaID]]&amp;",'"&amp;ReservaServicio[[#This Row],[ServicioID]]&amp;"',"&amp;ReservaServicio[[#This Row],[Cantidad]]&amp;"),"</f>
        <v>(6,'CONTROL_PARASITOS',6),</v>
      </c>
      <c r="E4" s="7">
        <f>+_xlfn.XLOOKUP(ReservaServicio[[#This Row],[ReservaID]],Reservas[ReservaID],Reservas[[ reservaFechaInicio]])</f>
        <v>45172</v>
      </c>
      <c r="F4" s="7">
        <f>+_xlfn.XLOOKUP(ReservaServicio[[#This Row],[ReservaID]],Reservas[ReservaID],Reservas[[ reservaFechaFin]])</f>
        <v>45178</v>
      </c>
      <c r="G4">
        <f>+YEAR(ReservaServicio[[#This Row],[FCHiNICIO]])</f>
        <v>2023</v>
      </c>
      <c r="H4">
        <f>+YEAR(ReservaServicio[[#This Row],[FchFin]])</f>
        <v>2023</v>
      </c>
      <c r="I4" t="s">
        <v>133</v>
      </c>
      <c r="J4">
        <v>1</v>
      </c>
      <c r="K4">
        <v>1</v>
      </c>
      <c r="L4" t="s">
        <v>130</v>
      </c>
    </row>
    <row r="5" spans="1:12" x14ac:dyDescent="0.25">
      <c r="A5">
        <v>6</v>
      </c>
      <c r="B5" t="s">
        <v>109</v>
      </c>
      <c r="C5">
        <v>8</v>
      </c>
      <c r="D5" t="str">
        <f>+"("&amp;ReservaServicio[[#This Row],[ReservaID]]&amp;",'"&amp;ReservaServicio[[#This Row],[ServicioID]]&amp;"',"&amp;ReservaServicio[[#This Row],[Cantidad]]&amp;"),"</f>
        <v>(6,'JUEGO_GUIADO',8),</v>
      </c>
      <c r="E5" s="7">
        <f>+_xlfn.XLOOKUP(ReservaServicio[[#This Row],[ReservaID]],Reservas[ReservaID],Reservas[[ reservaFechaInicio]])</f>
        <v>45172</v>
      </c>
      <c r="F5" s="7">
        <f>+_xlfn.XLOOKUP(ReservaServicio[[#This Row],[ReservaID]],Reservas[ReservaID],Reservas[[ reservaFechaFin]])</f>
        <v>45178</v>
      </c>
      <c r="G5">
        <f>+YEAR(ReservaServicio[[#This Row],[FCHiNICIO]])</f>
        <v>2023</v>
      </c>
      <c r="H5">
        <f>+YEAR(ReservaServicio[[#This Row],[FchFin]])</f>
        <v>2023</v>
      </c>
      <c r="I5" t="s">
        <v>133</v>
      </c>
      <c r="J5">
        <v>1</v>
      </c>
      <c r="K5">
        <v>2</v>
      </c>
      <c r="L5" t="s">
        <v>130</v>
      </c>
    </row>
    <row r="6" spans="1:12" x14ac:dyDescent="0.25">
      <c r="A6">
        <v>7</v>
      </c>
      <c r="B6" t="s">
        <v>107</v>
      </c>
      <c r="C6">
        <v>7</v>
      </c>
      <c r="D6" t="str">
        <f>+"("&amp;ReservaServicio[[#This Row],[ReservaID]]&amp;",'"&amp;ReservaServicio[[#This Row],[ServicioID]]&amp;"',"&amp;ReservaServicio[[#This Row],[Cantidad]]&amp;"),"</f>
        <v>(7,'CORTE_DE_UNAS',7),</v>
      </c>
      <c r="E6" s="7">
        <f>+_xlfn.XLOOKUP(ReservaServicio[[#This Row],[ReservaID]],Reservas[ReservaID],Reservas[[ reservaFechaInicio]])</f>
        <v>45190</v>
      </c>
      <c r="F6" s="7">
        <f>+_xlfn.XLOOKUP(ReservaServicio[[#This Row],[ReservaID]],Reservas[ReservaID],Reservas[[ reservaFechaFin]])</f>
        <v>45192</v>
      </c>
      <c r="G6">
        <f>+YEAR(ReservaServicio[[#This Row],[FCHiNICIO]])</f>
        <v>2023</v>
      </c>
      <c r="H6">
        <f>+YEAR(ReservaServicio[[#This Row],[FchFin]])</f>
        <v>2023</v>
      </c>
      <c r="I6" t="s">
        <v>131</v>
      </c>
      <c r="J6">
        <v>2</v>
      </c>
      <c r="K6">
        <v>2</v>
      </c>
      <c r="L6" t="s">
        <v>130</v>
      </c>
    </row>
    <row r="7" spans="1:12" x14ac:dyDescent="0.25">
      <c r="A7">
        <v>9</v>
      </c>
      <c r="B7" t="s">
        <v>106</v>
      </c>
      <c r="C7">
        <v>3</v>
      </c>
      <c r="D7" t="str">
        <f>+"("&amp;ReservaServicio[[#This Row],[ReservaID]]&amp;",'"&amp;ReservaServicio[[#This Row],[ServicioID]]&amp;"',"&amp;ReservaServicio[[#This Row],[Cantidad]]&amp;"),"</f>
        <v>(9,'BAÑO',3),</v>
      </c>
      <c r="E7" s="7">
        <f>+_xlfn.XLOOKUP(ReservaServicio[[#This Row],[ReservaID]],Reservas[ReservaID],Reservas[[ reservaFechaInicio]])</f>
        <v>45238</v>
      </c>
      <c r="F7" s="7">
        <f>+_xlfn.XLOOKUP(ReservaServicio[[#This Row],[ReservaID]],Reservas[ReservaID],Reservas[[ reservaFechaFin]])</f>
        <v>45242</v>
      </c>
      <c r="G7">
        <f>+YEAR(ReservaServicio[[#This Row],[FCHiNICIO]])</f>
        <v>2023</v>
      </c>
      <c r="H7">
        <f>+YEAR(ReservaServicio[[#This Row],[FchFin]])</f>
        <v>2023</v>
      </c>
      <c r="I7" t="s">
        <v>131</v>
      </c>
      <c r="J7">
        <v>2</v>
      </c>
      <c r="K7">
        <v>1</v>
      </c>
      <c r="L7" t="s">
        <v>132</v>
      </c>
    </row>
    <row r="8" spans="1:12" x14ac:dyDescent="0.25">
      <c r="A8">
        <v>9</v>
      </c>
      <c r="B8" t="s">
        <v>105</v>
      </c>
      <c r="C8">
        <v>8</v>
      </c>
      <c r="D8" t="str">
        <f>+"("&amp;ReservaServicio[[#This Row],[ReservaID]]&amp;",'"&amp;ReservaServicio[[#This Row],[ServicioID]]&amp;"',"&amp;ReservaServicio[[#This Row],[Cantidad]]&amp;"),"</f>
        <v>(9,'PELUQUERIA',8),</v>
      </c>
      <c r="E8" s="7">
        <f>+_xlfn.XLOOKUP(ReservaServicio[[#This Row],[ReservaID]],Reservas[ReservaID],Reservas[[ reservaFechaInicio]])</f>
        <v>45238</v>
      </c>
      <c r="F8" s="7">
        <f>+_xlfn.XLOOKUP(ReservaServicio[[#This Row],[ReservaID]],Reservas[ReservaID],Reservas[[ reservaFechaFin]])</f>
        <v>45242</v>
      </c>
      <c r="G8">
        <f>+YEAR(ReservaServicio[[#This Row],[FCHiNICIO]])</f>
        <v>2023</v>
      </c>
      <c r="H8">
        <f>+YEAR(ReservaServicio[[#This Row],[FchFin]])</f>
        <v>2023</v>
      </c>
    </row>
    <row r="9" spans="1:12" x14ac:dyDescent="0.25">
      <c r="A9">
        <v>10</v>
      </c>
      <c r="B9" t="s">
        <v>107</v>
      </c>
      <c r="C9">
        <v>4</v>
      </c>
      <c r="D9" t="str">
        <f>+"("&amp;ReservaServicio[[#This Row],[ReservaID]]&amp;",'"&amp;ReservaServicio[[#This Row],[ServicioID]]&amp;"',"&amp;ReservaServicio[[#This Row],[Cantidad]]&amp;"),"</f>
        <v>(10,'CORTE_DE_UNAS',4),</v>
      </c>
      <c r="E9" s="7">
        <f>+_xlfn.XLOOKUP(ReservaServicio[[#This Row],[ReservaID]],Reservas[ReservaID],Reservas[[ reservaFechaInicio]])</f>
        <v>45251</v>
      </c>
      <c r="F9" s="7">
        <f>+_xlfn.XLOOKUP(ReservaServicio[[#This Row],[ReservaID]],Reservas[ReservaID],Reservas[[ reservaFechaFin]])</f>
        <v>45252</v>
      </c>
      <c r="G9">
        <f>+YEAR(ReservaServicio[[#This Row],[FCHiNICIO]])</f>
        <v>2023</v>
      </c>
      <c r="H9">
        <f>+YEAR(ReservaServicio[[#This Row],[FchFin]])</f>
        <v>2023</v>
      </c>
    </row>
    <row r="10" spans="1:12" x14ac:dyDescent="0.25">
      <c r="A10">
        <v>11</v>
      </c>
      <c r="B10" t="s">
        <v>108</v>
      </c>
      <c r="C10">
        <v>2</v>
      </c>
      <c r="D10" t="str">
        <f>+"("&amp;ReservaServicio[[#This Row],[ReservaID]]&amp;",'"&amp;ReservaServicio[[#This Row],[ServicioID]]&amp;"',"&amp;ReservaServicio[[#This Row],[Cantidad]]&amp;"),"</f>
        <v>(11,'ALIMENTACION_ESPECIAL',2),</v>
      </c>
      <c r="E10" s="7">
        <f>+_xlfn.XLOOKUP(ReservaServicio[[#This Row],[ReservaID]],Reservas[ReservaID],Reservas[[ reservaFechaInicio]])</f>
        <v>45259</v>
      </c>
      <c r="F10" s="7">
        <f>+_xlfn.XLOOKUP(ReservaServicio[[#This Row],[ReservaID]],Reservas[ReservaID],Reservas[[ reservaFechaFin]])</f>
        <v>45264</v>
      </c>
      <c r="G10">
        <f>+YEAR(ReservaServicio[[#This Row],[FCHiNICIO]])</f>
        <v>2023</v>
      </c>
      <c r="H10">
        <f>+YEAR(ReservaServicio[[#This Row],[FchFin]])</f>
        <v>2023</v>
      </c>
    </row>
    <row r="11" spans="1:12" x14ac:dyDescent="0.25">
      <c r="A11">
        <v>11</v>
      </c>
      <c r="B11" t="s">
        <v>105</v>
      </c>
      <c r="C11">
        <v>1</v>
      </c>
      <c r="D11" t="str">
        <f>+"("&amp;ReservaServicio[[#This Row],[ReservaID]]&amp;",'"&amp;ReservaServicio[[#This Row],[ServicioID]]&amp;"',"&amp;ReservaServicio[[#This Row],[Cantidad]]&amp;"),"</f>
        <v>(11,'PELUQUERIA',1),</v>
      </c>
      <c r="E11" s="7">
        <f>+_xlfn.XLOOKUP(ReservaServicio[[#This Row],[ReservaID]],Reservas[ReservaID],Reservas[[ reservaFechaInicio]])</f>
        <v>45259</v>
      </c>
      <c r="F11" s="7">
        <f>+_xlfn.XLOOKUP(ReservaServicio[[#This Row],[ReservaID]],Reservas[ReservaID],Reservas[[ reservaFechaFin]])</f>
        <v>45264</v>
      </c>
      <c r="G11">
        <f>+YEAR(ReservaServicio[[#This Row],[FCHiNICIO]])</f>
        <v>2023</v>
      </c>
      <c r="H11">
        <f>+YEAR(ReservaServicio[[#This Row],[FchFin]])</f>
        <v>2023</v>
      </c>
    </row>
    <row r="12" spans="1:12" x14ac:dyDescent="0.25">
      <c r="A12">
        <v>11</v>
      </c>
      <c r="B12" t="s">
        <v>104</v>
      </c>
      <c r="C12">
        <v>8</v>
      </c>
      <c r="D12" t="str">
        <f>+"("&amp;ReservaServicio[[#This Row],[ReservaID]]&amp;",'"&amp;ReservaServicio[[#This Row],[ServicioID]]&amp;"',"&amp;ReservaServicio[[#This Row],[Cantidad]]&amp;"),"</f>
        <v>(11,'REVISION_VETERINARIA',8),</v>
      </c>
      <c r="E12" s="7">
        <f>+_xlfn.XLOOKUP(ReservaServicio[[#This Row],[ReservaID]],Reservas[ReservaID],Reservas[[ reservaFechaInicio]])</f>
        <v>45259</v>
      </c>
      <c r="F12" s="7">
        <f>+_xlfn.XLOOKUP(ReservaServicio[[#This Row],[ReservaID]],Reservas[ReservaID],Reservas[[ reservaFechaFin]])</f>
        <v>45264</v>
      </c>
      <c r="G12">
        <f>+YEAR(ReservaServicio[[#This Row],[FCHiNICIO]])</f>
        <v>2023</v>
      </c>
      <c r="H12">
        <f>+YEAR(ReservaServicio[[#This Row],[FchFin]])</f>
        <v>2023</v>
      </c>
    </row>
    <row r="13" spans="1:12" x14ac:dyDescent="0.25">
      <c r="A13">
        <v>12</v>
      </c>
      <c r="B13" t="s">
        <v>109</v>
      </c>
      <c r="C13">
        <v>7</v>
      </c>
      <c r="D13" t="str">
        <f>+"("&amp;ReservaServicio[[#This Row],[ReservaID]]&amp;",'"&amp;ReservaServicio[[#This Row],[ServicioID]]&amp;"',"&amp;ReservaServicio[[#This Row],[Cantidad]]&amp;"),"</f>
        <v>(12,'JUEGO_GUIADO',7),</v>
      </c>
      <c r="E13" s="7">
        <f>+_xlfn.XLOOKUP(ReservaServicio[[#This Row],[ReservaID]],Reservas[ReservaID],Reservas[[ reservaFechaInicio]])</f>
        <v>45267</v>
      </c>
      <c r="F13" s="7">
        <f>+_xlfn.XLOOKUP(ReservaServicio[[#This Row],[ReservaID]],Reservas[ReservaID],Reservas[[ reservaFechaFin]])</f>
        <v>45277</v>
      </c>
      <c r="G13">
        <f>+YEAR(ReservaServicio[[#This Row],[FCHiNICIO]])</f>
        <v>2023</v>
      </c>
      <c r="H13">
        <f>+YEAR(ReservaServicio[[#This Row],[FchFin]])</f>
        <v>2023</v>
      </c>
    </row>
    <row r="14" spans="1:12" x14ac:dyDescent="0.25">
      <c r="A14">
        <v>15</v>
      </c>
      <c r="B14" t="s">
        <v>105</v>
      </c>
      <c r="C14">
        <v>4</v>
      </c>
      <c r="D14" t="str">
        <f>+"("&amp;ReservaServicio[[#This Row],[ReservaID]]&amp;",'"&amp;ReservaServicio[[#This Row],[ServicioID]]&amp;"',"&amp;ReservaServicio[[#This Row],[Cantidad]]&amp;"),"</f>
        <v>(15,'PELUQUERIA',4),</v>
      </c>
      <c r="E14" s="7">
        <f>+_xlfn.XLOOKUP(ReservaServicio[[#This Row],[ReservaID]],Reservas[ReservaID],Reservas[[ reservaFechaInicio]])</f>
        <v>45327</v>
      </c>
      <c r="F14" s="7">
        <f>+_xlfn.XLOOKUP(ReservaServicio[[#This Row],[ReservaID]],Reservas[ReservaID],Reservas[[ reservaFechaFin]])</f>
        <v>45330</v>
      </c>
      <c r="G14">
        <f>+YEAR(ReservaServicio[[#This Row],[FCHiNICIO]])</f>
        <v>2024</v>
      </c>
      <c r="H14">
        <f>+YEAR(ReservaServicio[[#This Row],[FchFin]])</f>
        <v>2024</v>
      </c>
    </row>
    <row r="15" spans="1:12" x14ac:dyDescent="0.25">
      <c r="A15">
        <v>17</v>
      </c>
      <c r="B15" t="s">
        <v>108</v>
      </c>
      <c r="C15">
        <v>3</v>
      </c>
      <c r="D15" t="str">
        <f>+"("&amp;ReservaServicio[[#This Row],[ReservaID]]&amp;",'"&amp;ReservaServicio[[#This Row],[ServicioID]]&amp;"',"&amp;ReservaServicio[[#This Row],[Cantidad]]&amp;"),"</f>
        <v>(17,'ALIMENTACION_ESPECIAL',3),</v>
      </c>
      <c r="E15" s="7">
        <f>+_xlfn.XLOOKUP(ReservaServicio[[#This Row],[ReservaID]],Reservas[ReservaID],Reservas[[ reservaFechaInicio]])</f>
        <v>45341</v>
      </c>
      <c r="F15" s="7">
        <f>+_xlfn.XLOOKUP(ReservaServicio[[#This Row],[ReservaID]],Reservas[ReservaID],Reservas[[ reservaFechaFin]])</f>
        <v>45349</v>
      </c>
      <c r="G15">
        <f>+YEAR(ReservaServicio[[#This Row],[FCHiNICIO]])</f>
        <v>2024</v>
      </c>
      <c r="H15">
        <f>+YEAR(ReservaServicio[[#This Row],[FchFin]])</f>
        <v>2024</v>
      </c>
    </row>
    <row r="16" spans="1:12" x14ac:dyDescent="0.25">
      <c r="A16">
        <v>17</v>
      </c>
      <c r="B16" t="s">
        <v>106</v>
      </c>
      <c r="C16">
        <v>3</v>
      </c>
      <c r="D16" t="str">
        <f>+"("&amp;ReservaServicio[[#This Row],[ReservaID]]&amp;",'"&amp;ReservaServicio[[#This Row],[ServicioID]]&amp;"',"&amp;ReservaServicio[[#This Row],[Cantidad]]&amp;"),"</f>
        <v>(17,'BAÑO',3),</v>
      </c>
      <c r="E16" s="7">
        <f>+_xlfn.XLOOKUP(ReservaServicio[[#This Row],[ReservaID]],Reservas[ReservaID],Reservas[[ reservaFechaInicio]])</f>
        <v>45341</v>
      </c>
      <c r="F16" s="7">
        <f>+_xlfn.XLOOKUP(ReservaServicio[[#This Row],[ReservaID]],Reservas[ReservaID],Reservas[[ reservaFechaFin]])</f>
        <v>45349</v>
      </c>
      <c r="G16">
        <f>+YEAR(ReservaServicio[[#This Row],[FCHiNICIO]])</f>
        <v>2024</v>
      </c>
      <c r="H16">
        <f>+YEAR(ReservaServicio[[#This Row],[FchFin]])</f>
        <v>2024</v>
      </c>
    </row>
    <row r="17" spans="1:8" x14ac:dyDescent="0.25">
      <c r="A17">
        <v>17</v>
      </c>
      <c r="B17" t="s">
        <v>103</v>
      </c>
      <c r="C17">
        <v>1</v>
      </c>
      <c r="D17" t="str">
        <f>+"("&amp;ReservaServicio[[#This Row],[ReservaID]]&amp;",'"&amp;ReservaServicio[[#This Row],[ServicioID]]&amp;"',"&amp;ReservaServicio[[#This Row],[Cantidad]]&amp;"),"</f>
        <v>(17,'CONTROL_PARASITOS',1),</v>
      </c>
      <c r="E17" s="7">
        <f>+_xlfn.XLOOKUP(ReservaServicio[[#This Row],[ReservaID]],Reservas[ReservaID],Reservas[[ reservaFechaInicio]])</f>
        <v>45341</v>
      </c>
      <c r="F17" s="7">
        <f>+_xlfn.XLOOKUP(ReservaServicio[[#This Row],[ReservaID]],Reservas[ReservaID],Reservas[[ reservaFechaFin]])</f>
        <v>45349</v>
      </c>
      <c r="G17">
        <f>+YEAR(ReservaServicio[[#This Row],[FCHiNICIO]])</f>
        <v>2024</v>
      </c>
      <c r="H17">
        <f>+YEAR(ReservaServicio[[#This Row],[FchFin]])</f>
        <v>2024</v>
      </c>
    </row>
    <row r="18" spans="1:8" x14ac:dyDescent="0.25">
      <c r="A18">
        <v>17</v>
      </c>
      <c r="B18" t="s">
        <v>107</v>
      </c>
      <c r="C18">
        <v>2</v>
      </c>
      <c r="D18" t="str">
        <f>+"("&amp;ReservaServicio[[#This Row],[ReservaID]]&amp;",'"&amp;ReservaServicio[[#This Row],[ServicioID]]&amp;"',"&amp;ReservaServicio[[#This Row],[Cantidad]]&amp;"),"</f>
        <v>(17,'CORTE_DE_UNAS',2),</v>
      </c>
      <c r="E18" s="7">
        <f>+_xlfn.XLOOKUP(ReservaServicio[[#This Row],[ReservaID]],Reservas[ReservaID],Reservas[[ reservaFechaInicio]])</f>
        <v>45341</v>
      </c>
      <c r="F18" s="7">
        <f>+_xlfn.XLOOKUP(ReservaServicio[[#This Row],[ReservaID]],Reservas[ReservaID],Reservas[[ reservaFechaFin]])</f>
        <v>45349</v>
      </c>
      <c r="G18">
        <f>+YEAR(ReservaServicio[[#This Row],[FCHiNICIO]])</f>
        <v>2024</v>
      </c>
      <c r="H18">
        <f>+YEAR(ReservaServicio[[#This Row],[FchFin]])</f>
        <v>2024</v>
      </c>
    </row>
    <row r="19" spans="1:8" x14ac:dyDescent="0.25">
      <c r="A19">
        <v>17</v>
      </c>
      <c r="B19" t="s">
        <v>109</v>
      </c>
      <c r="C19">
        <v>5</v>
      </c>
      <c r="D19" t="str">
        <f>+"("&amp;ReservaServicio[[#This Row],[ReservaID]]&amp;",'"&amp;ReservaServicio[[#This Row],[ServicioID]]&amp;"',"&amp;ReservaServicio[[#This Row],[Cantidad]]&amp;"),"</f>
        <v>(17,'JUEGO_GUIADO',5),</v>
      </c>
      <c r="E19" s="7">
        <f>+_xlfn.XLOOKUP(ReservaServicio[[#This Row],[ReservaID]],Reservas[ReservaID],Reservas[[ reservaFechaInicio]])</f>
        <v>45341</v>
      </c>
      <c r="F19" s="7">
        <f>+_xlfn.XLOOKUP(ReservaServicio[[#This Row],[ReservaID]],Reservas[ReservaID],Reservas[[ reservaFechaFin]])</f>
        <v>45349</v>
      </c>
      <c r="G19">
        <f>+YEAR(ReservaServicio[[#This Row],[FCHiNICIO]])</f>
        <v>2024</v>
      </c>
      <c r="H19">
        <f>+YEAR(ReservaServicio[[#This Row],[FchFin]])</f>
        <v>2024</v>
      </c>
    </row>
    <row r="20" spans="1:8" x14ac:dyDescent="0.25">
      <c r="A20">
        <v>17</v>
      </c>
      <c r="B20" t="s">
        <v>105</v>
      </c>
      <c r="C20">
        <v>2</v>
      </c>
      <c r="D20" t="str">
        <f>+"("&amp;ReservaServicio[[#This Row],[ReservaID]]&amp;",'"&amp;ReservaServicio[[#This Row],[ServicioID]]&amp;"',"&amp;ReservaServicio[[#This Row],[Cantidad]]&amp;"),"</f>
        <v>(17,'PELUQUERIA',2),</v>
      </c>
      <c r="E20" s="7">
        <f>+_xlfn.XLOOKUP(ReservaServicio[[#This Row],[ReservaID]],Reservas[ReservaID],Reservas[[ reservaFechaInicio]])</f>
        <v>45341</v>
      </c>
      <c r="F20" s="7">
        <f>+_xlfn.XLOOKUP(ReservaServicio[[#This Row],[ReservaID]],Reservas[ReservaID],Reservas[[ reservaFechaFin]])</f>
        <v>45349</v>
      </c>
      <c r="G20">
        <f>+YEAR(ReservaServicio[[#This Row],[FCHiNICIO]])</f>
        <v>2024</v>
      </c>
      <c r="H20">
        <f>+YEAR(ReservaServicio[[#This Row],[FchFin]])</f>
        <v>2024</v>
      </c>
    </row>
    <row r="21" spans="1:8" x14ac:dyDescent="0.25">
      <c r="A21">
        <v>17</v>
      </c>
      <c r="B21" t="s">
        <v>104</v>
      </c>
      <c r="C21">
        <v>3</v>
      </c>
      <c r="D21" t="str">
        <f>+"("&amp;ReservaServicio[[#This Row],[ReservaID]]&amp;",'"&amp;ReservaServicio[[#This Row],[ServicioID]]&amp;"',"&amp;ReservaServicio[[#This Row],[Cantidad]]&amp;"),"</f>
        <v>(17,'REVISION_VETERINARIA',3),</v>
      </c>
      <c r="E21" s="7">
        <f>+_xlfn.XLOOKUP(ReservaServicio[[#This Row],[ReservaID]],Reservas[ReservaID],Reservas[[ reservaFechaInicio]])</f>
        <v>45341</v>
      </c>
      <c r="F21" s="7">
        <f>+_xlfn.XLOOKUP(ReservaServicio[[#This Row],[ReservaID]],Reservas[ReservaID],Reservas[[ reservaFechaFin]])</f>
        <v>45349</v>
      </c>
      <c r="G21">
        <f>+YEAR(ReservaServicio[[#This Row],[FCHiNICIO]])</f>
        <v>2024</v>
      </c>
      <c r="H21">
        <f>+YEAR(ReservaServicio[[#This Row],[FchFin]])</f>
        <v>2024</v>
      </c>
    </row>
    <row r="22" spans="1:8" x14ac:dyDescent="0.25">
      <c r="A22">
        <v>18</v>
      </c>
      <c r="B22" t="s">
        <v>109</v>
      </c>
      <c r="C22">
        <v>6</v>
      </c>
      <c r="D22" t="str">
        <f>+"("&amp;ReservaServicio[[#This Row],[ReservaID]]&amp;",'"&amp;ReservaServicio[[#This Row],[ServicioID]]&amp;"',"&amp;ReservaServicio[[#This Row],[Cantidad]]&amp;"),"</f>
        <v>(18,'JUEGO_GUIADO',6),</v>
      </c>
      <c r="E22" s="7">
        <f>+_xlfn.XLOOKUP(ReservaServicio[[#This Row],[ReservaID]],Reservas[ReservaID],Reservas[[ reservaFechaInicio]])</f>
        <v>45341</v>
      </c>
      <c r="F22" s="7">
        <f>+_xlfn.XLOOKUP(ReservaServicio[[#This Row],[ReservaID]],Reservas[ReservaID],Reservas[[ reservaFechaFin]])</f>
        <v>45351</v>
      </c>
      <c r="G22">
        <f>+YEAR(ReservaServicio[[#This Row],[FCHiNICIO]])</f>
        <v>2024</v>
      </c>
      <c r="H22">
        <f>+YEAR(ReservaServicio[[#This Row],[FchFin]])</f>
        <v>2024</v>
      </c>
    </row>
    <row r="23" spans="1:8" x14ac:dyDescent="0.25">
      <c r="A23">
        <v>19</v>
      </c>
      <c r="B23" t="s">
        <v>105</v>
      </c>
      <c r="C23">
        <v>1</v>
      </c>
      <c r="D23" t="str">
        <f>+"("&amp;ReservaServicio[[#This Row],[ReservaID]]&amp;",'"&amp;ReservaServicio[[#This Row],[ServicioID]]&amp;"',"&amp;ReservaServicio[[#This Row],[Cantidad]]&amp;"),"</f>
        <v>(19,'PELUQUERIA',1),</v>
      </c>
      <c r="E23" s="7">
        <f>+_xlfn.XLOOKUP(ReservaServicio[[#This Row],[ReservaID]],Reservas[ReservaID],Reservas[[ reservaFechaInicio]])</f>
        <v>45350</v>
      </c>
      <c r="F23" s="7">
        <f>+_xlfn.XLOOKUP(ReservaServicio[[#This Row],[ReservaID]],Reservas[ReservaID],Reservas[[ reservaFechaFin]])</f>
        <v>45358</v>
      </c>
      <c r="G23">
        <f>+YEAR(ReservaServicio[[#This Row],[FCHiNICIO]])</f>
        <v>2024</v>
      </c>
      <c r="H23">
        <f>+YEAR(ReservaServicio[[#This Row],[FchFin]])</f>
        <v>2024</v>
      </c>
    </row>
    <row r="24" spans="1:8" x14ac:dyDescent="0.25">
      <c r="A24">
        <v>20</v>
      </c>
      <c r="B24" t="s">
        <v>108</v>
      </c>
      <c r="C24">
        <v>3</v>
      </c>
      <c r="D24" t="str">
        <f>+"("&amp;ReservaServicio[[#This Row],[ReservaID]]&amp;",'"&amp;ReservaServicio[[#This Row],[ServicioID]]&amp;"',"&amp;ReservaServicio[[#This Row],[Cantidad]]&amp;"),"</f>
        <v>(20,'ALIMENTACION_ESPECIAL',3),</v>
      </c>
      <c r="E24" s="7">
        <f>+_xlfn.XLOOKUP(ReservaServicio[[#This Row],[ReservaID]],Reservas[ReservaID],Reservas[[ reservaFechaInicio]])</f>
        <v>45374</v>
      </c>
      <c r="F24" s="7">
        <f>+_xlfn.XLOOKUP(ReservaServicio[[#This Row],[ReservaID]],Reservas[ReservaID],Reservas[[ reservaFechaFin]])</f>
        <v>45386</v>
      </c>
      <c r="G24">
        <f>+YEAR(ReservaServicio[[#This Row],[FCHiNICIO]])</f>
        <v>2024</v>
      </c>
      <c r="H24">
        <f>+YEAR(ReservaServicio[[#This Row],[FchFin]])</f>
        <v>2024</v>
      </c>
    </row>
    <row r="25" spans="1:8" x14ac:dyDescent="0.25">
      <c r="A25">
        <v>22</v>
      </c>
      <c r="B25" t="s">
        <v>109</v>
      </c>
      <c r="C25">
        <v>6</v>
      </c>
      <c r="D25" t="str">
        <f>+"("&amp;ReservaServicio[[#This Row],[ReservaID]]&amp;",'"&amp;ReservaServicio[[#This Row],[ServicioID]]&amp;"',"&amp;ReservaServicio[[#This Row],[Cantidad]]&amp;"),"</f>
        <v>(22,'JUEGO_GUIADO',6),</v>
      </c>
      <c r="E25" s="7">
        <f>+_xlfn.XLOOKUP(ReservaServicio[[#This Row],[ReservaID]],Reservas[ReservaID],Reservas[[ reservaFechaInicio]])</f>
        <v>45419</v>
      </c>
      <c r="F25" s="7">
        <f>+_xlfn.XLOOKUP(ReservaServicio[[#This Row],[ReservaID]],Reservas[ReservaID],Reservas[[ reservaFechaFin]])</f>
        <v>45420</v>
      </c>
      <c r="G25">
        <f>+YEAR(ReservaServicio[[#This Row],[FCHiNICIO]])</f>
        <v>2024</v>
      </c>
      <c r="H25">
        <f>+YEAR(ReservaServicio[[#This Row],[FchFin]])</f>
        <v>2024</v>
      </c>
    </row>
    <row r="26" spans="1:8" x14ac:dyDescent="0.25">
      <c r="A26">
        <v>25</v>
      </c>
      <c r="B26" t="s">
        <v>103</v>
      </c>
      <c r="C26">
        <v>2</v>
      </c>
      <c r="D26" t="str">
        <f>+"("&amp;ReservaServicio[[#This Row],[ReservaID]]&amp;",'"&amp;ReservaServicio[[#This Row],[ServicioID]]&amp;"',"&amp;ReservaServicio[[#This Row],[Cantidad]]&amp;"),"</f>
        <v>(25,'CONTROL_PARASITOS',2),</v>
      </c>
      <c r="E26" s="7">
        <f>+_xlfn.XLOOKUP(ReservaServicio[[#This Row],[ReservaID]],Reservas[ReservaID],Reservas[[ reservaFechaInicio]])</f>
        <v>45496</v>
      </c>
      <c r="F26" s="7">
        <f>+_xlfn.XLOOKUP(ReservaServicio[[#This Row],[ReservaID]],Reservas[ReservaID],Reservas[[ reservaFechaFin]])</f>
        <v>45505</v>
      </c>
      <c r="G26">
        <f>+YEAR(ReservaServicio[[#This Row],[FCHiNICIO]])</f>
        <v>2024</v>
      </c>
      <c r="H26">
        <f>+YEAR(ReservaServicio[[#This Row],[FchFin]])</f>
        <v>2024</v>
      </c>
    </row>
    <row r="27" spans="1:8" x14ac:dyDescent="0.25">
      <c r="A27">
        <v>27</v>
      </c>
      <c r="B27" t="s">
        <v>109</v>
      </c>
      <c r="C27">
        <v>5</v>
      </c>
      <c r="D27" t="str">
        <f>+"("&amp;ReservaServicio[[#This Row],[ReservaID]]&amp;",'"&amp;ReservaServicio[[#This Row],[ServicioID]]&amp;"',"&amp;ReservaServicio[[#This Row],[Cantidad]]&amp;"),"</f>
        <v>(27,'JUEGO_GUIADO',5),</v>
      </c>
      <c r="E27" s="7">
        <f>+_xlfn.XLOOKUP(ReservaServicio[[#This Row],[ReservaID]],Reservas[ReservaID],Reservas[[ reservaFechaInicio]])</f>
        <v>45519</v>
      </c>
      <c r="F27" s="7">
        <f>+_xlfn.XLOOKUP(ReservaServicio[[#This Row],[ReservaID]],Reservas[ReservaID],Reservas[[ reservaFechaFin]])</f>
        <v>45529</v>
      </c>
      <c r="G27">
        <f>+YEAR(ReservaServicio[[#This Row],[FCHiNICIO]])</f>
        <v>2024</v>
      </c>
      <c r="H27">
        <f>+YEAR(ReservaServicio[[#This Row],[FchFin]])</f>
        <v>2024</v>
      </c>
    </row>
    <row r="28" spans="1:8" x14ac:dyDescent="0.25">
      <c r="A28">
        <v>29</v>
      </c>
      <c r="B28" t="s">
        <v>108</v>
      </c>
      <c r="C28">
        <v>4</v>
      </c>
      <c r="D28" t="str">
        <f>+"("&amp;ReservaServicio[[#This Row],[ReservaID]]&amp;",'"&amp;ReservaServicio[[#This Row],[ServicioID]]&amp;"',"&amp;ReservaServicio[[#This Row],[Cantidad]]&amp;"),"</f>
        <v>(29,'ALIMENTACION_ESPECIAL',4),</v>
      </c>
      <c r="E28" s="7">
        <f>+_xlfn.XLOOKUP(ReservaServicio[[#This Row],[ReservaID]],Reservas[ReservaID],Reservas[[ reservaFechaInicio]])</f>
        <v>45523</v>
      </c>
      <c r="F28" s="7">
        <f>+_xlfn.XLOOKUP(ReservaServicio[[#This Row],[ReservaID]],Reservas[ReservaID],Reservas[[ reservaFechaFin]])</f>
        <v>45531</v>
      </c>
      <c r="G28">
        <f>+YEAR(ReservaServicio[[#This Row],[FCHiNICIO]])</f>
        <v>2024</v>
      </c>
      <c r="H28">
        <f>+YEAR(ReservaServicio[[#This Row],[FchFin]])</f>
        <v>2024</v>
      </c>
    </row>
    <row r="29" spans="1:8" x14ac:dyDescent="0.25">
      <c r="A29">
        <v>29</v>
      </c>
      <c r="B29" t="s">
        <v>105</v>
      </c>
      <c r="C29">
        <v>2</v>
      </c>
      <c r="D29" t="str">
        <f>+"("&amp;ReservaServicio[[#This Row],[ReservaID]]&amp;",'"&amp;ReservaServicio[[#This Row],[ServicioID]]&amp;"',"&amp;ReservaServicio[[#This Row],[Cantidad]]&amp;"),"</f>
        <v>(29,'PELUQUERIA',2),</v>
      </c>
      <c r="E29" s="7">
        <f>+_xlfn.XLOOKUP(ReservaServicio[[#This Row],[ReservaID]],Reservas[ReservaID],Reservas[[ reservaFechaInicio]])</f>
        <v>45523</v>
      </c>
      <c r="F29" s="7">
        <f>+_xlfn.XLOOKUP(ReservaServicio[[#This Row],[ReservaID]],Reservas[ReservaID],Reservas[[ reservaFechaFin]])</f>
        <v>45531</v>
      </c>
      <c r="G29">
        <f>+YEAR(ReservaServicio[[#This Row],[FCHiNICIO]])</f>
        <v>2024</v>
      </c>
      <c r="H29">
        <f>+YEAR(ReservaServicio[[#This Row],[FchFin]])</f>
        <v>2024</v>
      </c>
    </row>
    <row r="30" spans="1:8" x14ac:dyDescent="0.25">
      <c r="A30">
        <v>32</v>
      </c>
      <c r="B30" t="s">
        <v>108</v>
      </c>
      <c r="C30">
        <v>2</v>
      </c>
      <c r="D30" t="str">
        <f>+"("&amp;ReservaServicio[[#This Row],[ReservaID]]&amp;",'"&amp;ReservaServicio[[#This Row],[ServicioID]]&amp;"',"&amp;ReservaServicio[[#This Row],[Cantidad]]&amp;"),"</f>
        <v>(32,'ALIMENTACION_ESPECIAL',2),</v>
      </c>
      <c r="E30" s="7">
        <f>+_xlfn.XLOOKUP(ReservaServicio[[#This Row],[ReservaID]],Reservas[ReservaID],Reservas[[ reservaFechaInicio]])</f>
        <v>45542</v>
      </c>
      <c r="F30" s="7">
        <f>+_xlfn.XLOOKUP(ReservaServicio[[#This Row],[ReservaID]],Reservas[ReservaID],Reservas[[ reservaFechaFin]])</f>
        <v>45546</v>
      </c>
      <c r="G30">
        <f>+YEAR(ReservaServicio[[#This Row],[FCHiNICIO]])</f>
        <v>2024</v>
      </c>
      <c r="H30">
        <f>+YEAR(ReservaServicio[[#This Row],[FchFin]])</f>
        <v>2024</v>
      </c>
    </row>
    <row r="31" spans="1:8" x14ac:dyDescent="0.25">
      <c r="A31">
        <v>32</v>
      </c>
      <c r="B31" t="s">
        <v>106</v>
      </c>
      <c r="C31">
        <v>4</v>
      </c>
      <c r="D31" t="str">
        <f>+"("&amp;ReservaServicio[[#This Row],[ReservaID]]&amp;",'"&amp;ReservaServicio[[#This Row],[ServicioID]]&amp;"',"&amp;ReservaServicio[[#This Row],[Cantidad]]&amp;"),"</f>
        <v>(32,'BAÑO',4),</v>
      </c>
      <c r="E31" s="7">
        <f>+_xlfn.XLOOKUP(ReservaServicio[[#This Row],[ReservaID]],Reservas[ReservaID],Reservas[[ reservaFechaInicio]])</f>
        <v>45542</v>
      </c>
      <c r="F31" s="7">
        <f>+_xlfn.XLOOKUP(ReservaServicio[[#This Row],[ReservaID]],Reservas[ReservaID],Reservas[[ reservaFechaFin]])</f>
        <v>45546</v>
      </c>
      <c r="G31">
        <f>+YEAR(ReservaServicio[[#This Row],[FCHiNICIO]])</f>
        <v>2024</v>
      </c>
      <c r="H31">
        <f>+YEAR(ReservaServicio[[#This Row],[FchFin]])</f>
        <v>2024</v>
      </c>
    </row>
    <row r="32" spans="1:8" x14ac:dyDescent="0.25">
      <c r="A32">
        <v>32</v>
      </c>
      <c r="B32" t="s">
        <v>105</v>
      </c>
      <c r="C32">
        <v>2</v>
      </c>
      <c r="D32" t="str">
        <f>+"("&amp;ReservaServicio[[#This Row],[ReservaID]]&amp;",'"&amp;ReservaServicio[[#This Row],[ServicioID]]&amp;"',"&amp;ReservaServicio[[#This Row],[Cantidad]]&amp;"),"</f>
        <v>(32,'PELUQUERIA',2),</v>
      </c>
      <c r="E32" s="7">
        <f>+_xlfn.XLOOKUP(ReservaServicio[[#This Row],[ReservaID]],Reservas[ReservaID],Reservas[[ reservaFechaInicio]])</f>
        <v>45542</v>
      </c>
      <c r="F32" s="7">
        <f>+_xlfn.XLOOKUP(ReservaServicio[[#This Row],[ReservaID]],Reservas[ReservaID],Reservas[[ reservaFechaFin]])</f>
        <v>45546</v>
      </c>
      <c r="G32">
        <f>+YEAR(ReservaServicio[[#This Row],[FCHiNICIO]])</f>
        <v>2024</v>
      </c>
      <c r="H32">
        <f>+YEAR(ReservaServicio[[#This Row],[FchFin]])</f>
        <v>2024</v>
      </c>
    </row>
    <row r="33" spans="1:8" x14ac:dyDescent="0.25">
      <c r="A33">
        <v>34</v>
      </c>
      <c r="B33" t="s">
        <v>108</v>
      </c>
      <c r="C33">
        <v>4</v>
      </c>
      <c r="D33" t="str">
        <f>+"("&amp;ReservaServicio[[#This Row],[ReservaID]]&amp;",'"&amp;ReservaServicio[[#This Row],[ServicioID]]&amp;"',"&amp;ReservaServicio[[#This Row],[Cantidad]]&amp;"),"</f>
        <v>(34,'ALIMENTACION_ESPECIAL',4),</v>
      </c>
      <c r="E33" s="7">
        <f>+_xlfn.XLOOKUP(ReservaServicio[[#This Row],[ReservaID]],Reservas[ReservaID],Reservas[[ reservaFechaInicio]])</f>
        <v>45566</v>
      </c>
      <c r="F33" s="7">
        <f>+_xlfn.XLOOKUP(ReservaServicio[[#This Row],[ReservaID]],Reservas[ReservaID],Reservas[[ reservaFechaFin]])</f>
        <v>45569</v>
      </c>
      <c r="G33">
        <f>+YEAR(ReservaServicio[[#This Row],[FCHiNICIO]])</f>
        <v>2024</v>
      </c>
      <c r="H33">
        <f>+YEAR(ReservaServicio[[#This Row],[FchFin]])</f>
        <v>2024</v>
      </c>
    </row>
    <row r="34" spans="1:8" x14ac:dyDescent="0.25">
      <c r="A34">
        <v>35</v>
      </c>
      <c r="B34" t="s">
        <v>108</v>
      </c>
      <c r="C34">
        <v>2</v>
      </c>
      <c r="D34" t="str">
        <f>+"("&amp;ReservaServicio[[#This Row],[ReservaID]]&amp;",'"&amp;ReservaServicio[[#This Row],[ServicioID]]&amp;"',"&amp;ReservaServicio[[#This Row],[Cantidad]]&amp;"),"</f>
        <v>(35,'ALIMENTACION_ESPECIAL',2),</v>
      </c>
      <c r="E34" s="7">
        <f>+_xlfn.XLOOKUP(ReservaServicio[[#This Row],[ReservaID]],Reservas[ReservaID],Reservas[[ reservaFechaInicio]])</f>
        <v>45575</v>
      </c>
      <c r="F34" s="7">
        <f>+_xlfn.XLOOKUP(ReservaServicio[[#This Row],[ReservaID]],Reservas[ReservaID],Reservas[[ reservaFechaFin]])</f>
        <v>45590</v>
      </c>
      <c r="G34">
        <f>+YEAR(ReservaServicio[[#This Row],[FCHiNICIO]])</f>
        <v>2024</v>
      </c>
      <c r="H34">
        <f>+YEAR(ReservaServicio[[#This Row],[FchFin]])</f>
        <v>2024</v>
      </c>
    </row>
    <row r="35" spans="1:8" x14ac:dyDescent="0.25">
      <c r="A35">
        <v>35</v>
      </c>
      <c r="B35" t="s">
        <v>109</v>
      </c>
      <c r="C35">
        <v>3</v>
      </c>
      <c r="D35" t="str">
        <f>+"("&amp;ReservaServicio[[#This Row],[ReservaID]]&amp;",'"&amp;ReservaServicio[[#This Row],[ServicioID]]&amp;"',"&amp;ReservaServicio[[#This Row],[Cantidad]]&amp;"),"</f>
        <v>(35,'JUEGO_GUIADO',3),</v>
      </c>
      <c r="E35" s="7">
        <f>+_xlfn.XLOOKUP(ReservaServicio[[#This Row],[ReservaID]],Reservas[ReservaID],Reservas[[ reservaFechaInicio]])</f>
        <v>45575</v>
      </c>
      <c r="F35" s="7">
        <f>+_xlfn.XLOOKUP(ReservaServicio[[#This Row],[ReservaID]],Reservas[ReservaID],Reservas[[ reservaFechaFin]])</f>
        <v>45590</v>
      </c>
      <c r="G35">
        <f>+YEAR(ReservaServicio[[#This Row],[FCHiNICIO]])</f>
        <v>2024</v>
      </c>
      <c r="H35">
        <f>+YEAR(ReservaServicio[[#This Row],[FchFin]])</f>
        <v>2024</v>
      </c>
    </row>
    <row r="36" spans="1:8" x14ac:dyDescent="0.25">
      <c r="A36">
        <v>36</v>
      </c>
      <c r="B36" t="s">
        <v>105</v>
      </c>
      <c r="C36">
        <v>4</v>
      </c>
      <c r="D36" t="str">
        <f>+"("&amp;ReservaServicio[[#This Row],[ReservaID]]&amp;",'"&amp;ReservaServicio[[#This Row],[ServicioID]]&amp;"',"&amp;ReservaServicio[[#This Row],[Cantidad]]&amp;"),"</f>
        <v>(36,'PELUQUERIA',4),</v>
      </c>
      <c r="E36" s="7" t="str">
        <f>+_xlfn.XLOOKUP(ReservaServicio[[#This Row],[ReservaID]],Reservas[ReservaID],Reservas[[ reservaFechaInicio]])</f>
        <v>2023-01-10</v>
      </c>
      <c r="F36" s="7" t="str">
        <f>+_xlfn.XLOOKUP(ReservaServicio[[#This Row],[ReservaID]],Reservas[ReservaID],Reservas[[ reservaFechaFin]])</f>
        <v>2023-01-17</v>
      </c>
      <c r="G36">
        <f>+YEAR(ReservaServicio[[#This Row],[FCHiNICIO]])</f>
        <v>2023</v>
      </c>
      <c r="H36">
        <f>+YEAR(ReservaServicio[[#This Row],[FchFin]])</f>
        <v>2023</v>
      </c>
    </row>
    <row r="37" spans="1:8" x14ac:dyDescent="0.25">
      <c r="A37">
        <v>40</v>
      </c>
      <c r="B37" t="s">
        <v>103</v>
      </c>
      <c r="C37">
        <v>2</v>
      </c>
      <c r="D37" t="str">
        <f>+"("&amp;ReservaServicio[[#This Row],[ReservaID]]&amp;",'"&amp;ReservaServicio[[#This Row],[ServicioID]]&amp;"',"&amp;ReservaServicio[[#This Row],[Cantidad]]&amp;"),"</f>
        <v>(40,'CONTROL_PARASITOS',2),</v>
      </c>
      <c r="E37" s="7" t="str">
        <f>+_xlfn.XLOOKUP(ReservaServicio[[#This Row],[ReservaID]],Reservas[ReservaID],Reservas[[ reservaFechaInicio]])</f>
        <v>2023-02-05</v>
      </c>
      <c r="F37" s="7" t="str">
        <f>+_xlfn.XLOOKUP(ReservaServicio[[#This Row],[ReservaID]],Reservas[ReservaID],Reservas[[ reservaFechaFin]])</f>
        <v>2023-02-12</v>
      </c>
      <c r="G37">
        <f>+YEAR(ReservaServicio[[#This Row],[FCHiNICIO]])</f>
        <v>2023</v>
      </c>
      <c r="H37">
        <f>+YEAR(ReservaServicio[[#This Row],[FchFin]])</f>
        <v>2023</v>
      </c>
    </row>
    <row r="38" spans="1:8" x14ac:dyDescent="0.25">
      <c r="A38">
        <v>41</v>
      </c>
      <c r="B38" t="s">
        <v>103</v>
      </c>
      <c r="C38">
        <v>6</v>
      </c>
      <c r="D38" t="str">
        <f>+"("&amp;ReservaServicio[[#This Row],[ReservaID]]&amp;",'"&amp;ReservaServicio[[#This Row],[ServicioID]]&amp;"',"&amp;ReservaServicio[[#This Row],[Cantidad]]&amp;"),"</f>
        <v>(41,'CONTROL_PARASITOS',6),</v>
      </c>
      <c r="E38" s="7" t="str">
        <f>+_xlfn.XLOOKUP(ReservaServicio[[#This Row],[ReservaID]],Reservas[ReservaID],Reservas[[ reservaFechaInicio]])</f>
        <v>2023-02-10</v>
      </c>
      <c r="F38" s="7" t="str">
        <f>+_xlfn.XLOOKUP(ReservaServicio[[#This Row],[ReservaID]],Reservas[ReservaID],Reservas[[ reservaFechaFin]])</f>
        <v>2023-02-17</v>
      </c>
      <c r="G38">
        <f>+YEAR(ReservaServicio[[#This Row],[FCHiNICIO]])</f>
        <v>2023</v>
      </c>
      <c r="H38">
        <f>+YEAR(ReservaServicio[[#This Row],[FchFin]])</f>
        <v>2023</v>
      </c>
    </row>
    <row r="39" spans="1:8" x14ac:dyDescent="0.25">
      <c r="A39">
        <v>41</v>
      </c>
      <c r="B39" t="s">
        <v>107</v>
      </c>
      <c r="C39">
        <v>6</v>
      </c>
      <c r="D39" t="str">
        <f>+"("&amp;ReservaServicio[[#This Row],[ReservaID]]&amp;",'"&amp;ReservaServicio[[#This Row],[ServicioID]]&amp;"',"&amp;ReservaServicio[[#This Row],[Cantidad]]&amp;"),"</f>
        <v>(41,'CORTE_DE_UNAS',6),</v>
      </c>
      <c r="E39" s="7" t="str">
        <f>+_xlfn.XLOOKUP(ReservaServicio[[#This Row],[ReservaID]],Reservas[ReservaID],Reservas[[ reservaFechaInicio]])</f>
        <v>2023-02-10</v>
      </c>
      <c r="F39" s="7" t="str">
        <f>+_xlfn.XLOOKUP(ReservaServicio[[#This Row],[ReservaID]],Reservas[ReservaID],Reservas[[ reservaFechaFin]])</f>
        <v>2023-02-17</v>
      </c>
      <c r="G39">
        <f>+YEAR(ReservaServicio[[#This Row],[FCHiNICIO]])</f>
        <v>2023</v>
      </c>
      <c r="H39">
        <f>+YEAR(ReservaServicio[[#This Row],[FchFin]])</f>
        <v>2023</v>
      </c>
    </row>
    <row r="40" spans="1:8" x14ac:dyDescent="0.25">
      <c r="A40">
        <v>42</v>
      </c>
      <c r="B40" t="s">
        <v>109</v>
      </c>
      <c r="C40">
        <v>6</v>
      </c>
      <c r="D40" t="str">
        <f>+"("&amp;ReservaServicio[[#This Row],[ReservaID]]&amp;",'"&amp;ReservaServicio[[#This Row],[ServicioID]]&amp;"',"&amp;ReservaServicio[[#This Row],[Cantidad]]&amp;"),"</f>
        <v>(42,'JUEGO_GUIADO',6),</v>
      </c>
      <c r="E40" s="7" t="str">
        <f>+_xlfn.XLOOKUP(ReservaServicio[[#This Row],[ReservaID]],Reservas[ReservaID],Reservas[[ reservaFechaInicio]])</f>
        <v>2023-03-01</v>
      </c>
      <c r="F40" s="7" t="str">
        <f>+_xlfn.XLOOKUP(ReservaServicio[[#This Row],[ReservaID]],Reservas[ReservaID],Reservas[[ reservaFechaFin]])</f>
        <v>2023-03-08</v>
      </c>
      <c r="G40">
        <f>+YEAR(ReservaServicio[[#This Row],[FCHiNICIO]])</f>
        <v>2023</v>
      </c>
      <c r="H40">
        <f>+YEAR(ReservaServicio[[#This Row],[FchFin]])</f>
        <v>2023</v>
      </c>
    </row>
    <row r="41" spans="1:8" x14ac:dyDescent="0.25">
      <c r="A41">
        <v>43</v>
      </c>
      <c r="B41" t="s">
        <v>108</v>
      </c>
      <c r="C41">
        <v>8</v>
      </c>
      <c r="D41" t="str">
        <f>+"("&amp;ReservaServicio[[#This Row],[ReservaID]]&amp;",'"&amp;ReservaServicio[[#This Row],[ServicioID]]&amp;"',"&amp;ReservaServicio[[#This Row],[Cantidad]]&amp;"),"</f>
        <v>(43,'ALIMENTACION_ESPECIAL',8),</v>
      </c>
      <c r="E41" s="7" t="str">
        <f>+_xlfn.XLOOKUP(ReservaServicio[[#This Row],[ReservaID]],Reservas[ReservaID],Reservas[[ reservaFechaInicio]])</f>
        <v>2023-03-05</v>
      </c>
      <c r="F41" s="7" t="str">
        <f>+_xlfn.XLOOKUP(ReservaServicio[[#This Row],[ReservaID]],Reservas[ReservaID],Reservas[[ reservaFechaFin]])</f>
        <v>2023-03-12</v>
      </c>
      <c r="G41">
        <f>+YEAR(ReservaServicio[[#This Row],[FCHiNICIO]])</f>
        <v>2023</v>
      </c>
      <c r="H41">
        <f>+YEAR(ReservaServicio[[#This Row],[FchFin]])</f>
        <v>2023</v>
      </c>
    </row>
    <row r="42" spans="1:8" x14ac:dyDescent="0.25">
      <c r="A42">
        <v>43</v>
      </c>
      <c r="B42" t="s">
        <v>106</v>
      </c>
      <c r="C42">
        <v>7</v>
      </c>
      <c r="D42" t="str">
        <f>+"("&amp;ReservaServicio[[#This Row],[ReservaID]]&amp;",'"&amp;ReservaServicio[[#This Row],[ServicioID]]&amp;"',"&amp;ReservaServicio[[#This Row],[Cantidad]]&amp;"),"</f>
        <v>(43,'BAÑO',7),</v>
      </c>
      <c r="E42" s="7" t="str">
        <f>+_xlfn.XLOOKUP(ReservaServicio[[#This Row],[ReservaID]],Reservas[ReservaID],Reservas[[ reservaFechaInicio]])</f>
        <v>2023-03-05</v>
      </c>
      <c r="F42" s="7" t="str">
        <f>+_xlfn.XLOOKUP(ReservaServicio[[#This Row],[ReservaID]],Reservas[ReservaID],Reservas[[ reservaFechaFin]])</f>
        <v>2023-03-12</v>
      </c>
      <c r="G42">
        <f>+YEAR(ReservaServicio[[#This Row],[FCHiNICIO]])</f>
        <v>2023</v>
      </c>
      <c r="H42">
        <f>+YEAR(ReservaServicio[[#This Row],[FchFin]])</f>
        <v>2023</v>
      </c>
    </row>
    <row r="43" spans="1:8" x14ac:dyDescent="0.25">
      <c r="A43">
        <v>43</v>
      </c>
      <c r="B43" t="s">
        <v>103</v>
      </c>
      <c r="C43">
        <v>3</v>
      </c>
      <c r="D43" t="str">
        <f>+"("&amp;ReservaServicio[[#This Row],[ReservaID]]&amp;",'"&amp;ReservaServicio[[#This Row],[ServicioID]]&amp;"',"&amp;ReservaServicio[[#This Row],[Cantidad]]&amp;"),"</f>
        <v>(43,'CONTROL_PARASITOS',3),</v>
      </c>
      <c r="E43" s="7" t="str">
        <f>+_xlfn.XLOOKUP(ReservaServicio[[#This Row],[ReservaID]],Reservas[ReservaID],Reservas[[ reservaFechaInicio]])</f>
        <v>2023-03-05</v>
      </c>
      <c r="F43" s="7" t="str">
        <f>+_xlfn.XLOOKUP(ReservaServicio[[#This Row],[ReservaID]],Reservas[ReservaID],Reservas[[ reservaFechaFin]])</f>
        <v>2023-03-12</v>
      </c>
      <c r="G43">
        <f>+YEAR(ReservaServicio[[#This Row],[FCHiNICIO]])</f>
        <v>2023</v>
      </c>
      <c r="H43">
        <f>+YEAR(ReservaServicio[[#This Row],[FchFin]])</f>
        <v>2023</v>
      </c>
    </row>
    <row r="44" spans="1:8" x14ac:dyDescent="0.25">
      <c r="A44">
        <v>44</v>
      </c>
      <c r="B44" t="s">
        <v>107</v>
      </c>
      <c r="C44">
        <v>6</v>
      </c>
      <c r="D44" t="str">
        <f>+"("&amp;ReservaServicio[[#This Row],[ReservaID]]&amp;",'"&amp;ReservaServicio[[#This Row],[ServicioID]]&amp;"',"&amp;ReservaServicio[[#This Row],[Cantidad]]&amp;"),"</f>
        <v>(44,'CORTE_DE_UNAS',6),</v>
      </c>
      <c r="E44" s="7" t="str">
        <f>+_xlfn.XLOOKUP(ReservaServicio[[#This Row],[ReservaID]],Reservas[ReservaID],Reservas[[ reservaFechaInicio]])</f>
        <v>2023-03-12</v>
      </c>
      <c r="F44" s="7" t="str">
        <f>+_xlfn.XLOOKUP(ReservaServicio[[#This Row],[ReservaID]],Reservas[ReservaID],Reservas[[ reservaFechaFin]])</f>
        <v>2023-03-18</v>
      </c>
      <c r="G44">
        <f>+YEAR(ReservaServicio[[#This Row],[FCHiNICIO]])</f>
        <v>2023</v>
      </c>
      <c r="H44">
        <f>+YEAR(ReservaServicio[[#This Row],[FchFin]])</f>
        <v>2023</v>
      </c>
    </row>
    <row r="45" spans="1:8" x14ac:dyDescent="0.25">
      <c r="A45">
        <v>45</v>
      </c>
      <c r="B45" t="s">
        <v>106</v>
      </c>
      <c r="C45">
        <v>5</v>
      </c>
      <c r="D45" t="str">
        <f>+"("&amp;ReservaServicio[[#This Row],[ReservaID]]&amp;",'"&amp;ReservaServicio[[#This Row],[ServicioID]]&amp;"',"&amp;ReservaServicio[[#This Row],[Cantidad]]&amp;"),"</f>
        <v>(45,'BAÑO',5),</v>
      </c>
      <c r="E45" s="7" t="str">
        <f>+_xlfn.XLOOKUP(ReservaServicio[[#This Row],[ReservaID]],Reservas[ReservaID],Reservas[[ reservaFechaInicio]])</f>
        <v>2023-04-01</v>
      </c>
      <c r="F45" s="7" t="str">
        <f>+_xlfn.XLOOKUP(ReservaServicio[[#This Row],[ReservaID]],Reservas[ReservaID],Reservas[[ reservaFechaFin]])</f>
        <v>2023-04-07</v>
      </c>
      <c r="G45">
        <f>+YEAR(ReservaServicio[[#This Row],[FCHiNICIO]])</f>
        <v>2023</v>
      </c>
      <c r="H45">
        <f>+YEAR(ReservaServicio[[#This Row],[FchFin]])</f>
        <v>2023</v>
      </c>
    </row>
    <row r="46" spans="1:8" x14ac:dyDescent="0.25">
      <c r="A46">
        <v>47</v>
      </c>
      <c r="B46" t="s">
        <v>107</v>
      </c>
      <c r="C46">
        <v>2</v>
      </c>
      <c r="D46" t="str">
        <f>+"("&amp;ReservaServicio[[#This Row],[ReservaID]]&amp;",'"&amp;ReservaServicio[[#This Row],[ServicioID]]&amp;"',"&amp;ReservaServicio[[#This Row],[Cantidad]]&amp;"),"</f>
        <v>(47,'CORTE_DE_UNAS',2),</v>
      </c>
      <c r="E46" s="7" t="str">
        <f>+_xlfn.XLOOKUP(ReservaServicio[[#This Row],[ReservaID]],Reservas[ReservaID],Reservas[[ reservaFechaInicio]])</f>
        <v>2023-04-15</v>
      </c>
      <c r="F46" s="7" t="str">
        <f>+_xlfn.XLOOKUP(ReservaServicio[[#This Row],[ReservaID]],Reservas[ReservaID],Reservas[[ reservaFechaFin]])</f>
        <v>2023-04-22</v>
      </c>
      <c r="G46">
        <f>+YEAR(ReservaServicio[[#This Row],[FCHiNICIO]])</f>
        <v>2023</v>
      </c>
      <c r="H46">
        <f>+YEAR(ReservaServicio[[#This Row],[FchFin]])</f>
        <v>2023</v>
      </c>
    </row>
    <row r="47" spans="1:8" x14ac:dyDescent="0.25">
      <c r="A47">
        <v>48</v>
      </c>
      <c r="B47" t="s">
        <v>103</v>
      </c>
      <c r="C47">
        <v>1</v>
      </c>
      <c r="D47" t="str">
        <f>+"("&amp;ReservaServicio[[#This Row],[ReservaID]]&amp;",'"&amp;ReservaServicio[[#This Row],[ServicioID]]&amp;"',"&amp;ReservaServicio[[#This Row],[Cantidad]]&amp;"),"</f>
        <v>(48,'CONTROL_PARASITOS',1),</v>
      </c>
      <c r="E47" s="7" t="str">
        <f>+_xlfn.XLOOKUP(ReservaServicio[[#This Row],[ReservaID]],Reservas[ReservaID],Reservas[[ reservaFechaInicio]])</f>
        <v>2023-05-05</v>
      </c>
      <c r="F47" s="7" t="str">
        <f>+_xlfn.XLOOKUP(ReservaServicio[[#This Row],[ReservaID]],Reservas[ReservaID],Reservas[[ reservaFechaFin]])</f>
        <v>2023-05-12</v>
      </c>
      <c r="G47">
        <f>+YEAR(ReservaServicio[[#This Row],[FCHiNICIO]])</f>
        <v>2023</v>
      </c>
      <c r="H47">
        <f>+YEAR(ReservaServicio[[#This Row],[FchFin]])</f>
        <v>2023</v>
      </c>
    </row>
    <row r="48" spans="1:8" x14ac:dyDescent="0.25">
      <c r="A48">
        <v>49</v>
      </c>
      <c r="B48" t="s">
        <v>105</v>
      </c>
      <c r="C48">
        <v>8</v>
      </c>
      <c r="D48" t="str">
        <f>+"("&amp;ReservaServicio[[#This Row],[ReservaID]]&amp;",'"&amp;ReservaServicio[[#This Row],[ServicioID]]&amp;"',"&amp;ReservaServicio[[#This Row],[Cantidad]]&amp;"),"</f>
        <v>(49,'PELUQUERIA',8),</v>
      </c>
      <c r="E48" s="7" t="str">
        <f>+_xlfn.XLOOKUP(ReservaServicio[[#This Row],[ReservaID]],Reservas[ReservaID],Reservas[[ reservaFechaInicio]])</f>
        <v>2023-05-05</v>
      </c>
      <c r="F48" s="7" t="str">
        <f>+_xlfn.XLOOKUP(ReservaServicio[[#This Row],[ReservaID]],Reservas[ReservaID],Reservas[[ reservaFechaFin]])</f>
        <v>2023-05-12</v>
      </c>
      <c r="G48">
        <f>+YEAR(ReservaServicio[[#This Row],[FCHiNICIO]])</f>
        <v>2023</v>
      </c>
      <c r="H48">
        <f>+YEAR(ReservaServicio[[#This Row],[FchFin]])</f>
        <v>2023</v>
      </c>
    </row>
    <row r="49" spans="1:12" x14ac:dyDescent="0.25">
      <c r="A49">
        <v>53</v>
      </c>
      <c r="B49" t="s">
        <v>108</v>
      </c>
      <c r="C49">
        <v>3</v>
      </c>
      <c r="D49" t="str">
        <f>+"("&amp;ReservaServicio[[#This Row],[ReservaID]]&amp;",'"&amp;ReservaServicio[[#This Row],[ServicioID]]&amp;"',"&amp;ReservaServicio[[#This Row],[Cantidad]]&amp;"),"</f>
        <v>(53,'ALIMENTACION_ESPECIAL',3),</v>
      </c>
      <c r="E49" s="7" t="str">
        <f>+_xlfn.XLOOKUP(ReservaServicio[[#This Row],[ReservaID]],Reservas[ReservaID],Reservas[[ reservaFechaInicio]])</f>
        <v>2023-06-20</v>
      </c>
      <c r="F49" s="7" t="str">
        <f>+_xlfn.XLOOKUP(ReservaServicio[[#This Row],[ReservaID]],Reservas[ReservaID],Reservas[[ reservaFechaFin]])</f>
        <v>2023-06-25</v>
      </c>
      <c r="G49">
        <f>+YEAR(ReservaServicio[[#This Row],[FCHiNICIO]])</f>
        <v>2023</v>
      </c>
      <c r="H49">
        <f>+YEAR(ReservaServicio[[#This Row],[FchFin]])</f>
        <v>2023</v>
      </c>
    </row>
    <row r="50" spans="1:12" x14ac:dyDescent="0.25">
      <c r="A50">
        <v>54</v>
      </c>
      <c r="B50" t="s">
        <v>108</v>
      </c>
      <c r="C50">
        <v>1</v>
      </c>
      <c r="D50" t="str">
        <f>+"("&amp;ReservaServicio[[#This Row],[ReservaID]]&amp;",'"&amp;ReservaServicio[[#This Row],[ServicioID]]&amp;"',"&amp;ReservaServicio[[#This Row],[Cantidad]]&amp;"),"</f>
        <v>(54,'ALIMENTACION_ESPECIAL',1),</v>
      </c>
      <c r="E50" s="7" t="str">
        <f>+_xlfn.XLOOKUP(ReservaServicio[[#This Row],[ReservaID]],Reservas[ReservaID],Reservas[[ reservaFechaInicio]])</f>
        <v>2023-07-05</v>
      </c>
      <c r="F50" s="7" t="str">
        <f>+_xlfn.XLOOKUP(ReservaServicio[[#This Row],[ReservaID]],Reservas[ReservaID],Reservas[[ reservaFechaFin]])</f>
        <v>2023-07-12</v>
      </c>
      <c r="G50">
        <f>+YEAR(ReservaServicio[[#This Row],[FCHiNICIO]])</f>
        <v>2023</v>
      </c>
      <c r="H50">
        <f>+YEAR(ReservaServicio[[#This Row],[FchFin]])</f>
        <v>2023</v>
      </c>
    </row>
    <row r="51" spans="1:12" x14ac:dyDescent="0.25">
      <c r="A51">
        <v>54</v>
      </c>
      <c r="B51" t="s">
        <v>109</v>
      </c>
      <c r="C51">
        <v>3</v>
      </c>
      <c r="D51" t="str">
        <f>+"("&amp;ReservaServicio[[#This Row],[ReservaID]]&amp;",'"&amp;ReservaServicio[[#This Row],[ServicioID]]&amp;"',"&amp;ReservaServicio[[#This Row],[Cantidad]]&amp;"),"</f>
        <v>(54,'JUEGO_GUIADO',3),</v>
      </c>
      <c r="E51" s="7" t="str">
        <f>+_xlfn.XLOOKUP(ReservaServicio[[#This Row],[ReservaID]],Reservas[ReservaID],Reservas[[ reservaFechaInicio]])</f>
        <v>2023-07-05</v>
      </c>
      <c r="F51" s="7" t="str">
        <f>+_xlfn.XLOOKUP(ReservaServicio[[#This Row],[ReservaID]],Reservas[ReservaID],Reservas[[ reservaFechaFin]])</f>
        <v>2023-07-12</v>
      </c>
      <c r="G51">
        <f>+YEAR(ReservaServicio[[#This Row],[FCHiNICIO]])</f>
        <v>2023</v>
      </c>
      <c r="H51">
        <f>+YEAR(ReservaServicio[[#This Row],[FchFin]])</f>
        <v>2023</v>
      </c>
    </row>
    <row r="52" spans="1:12" x14ac:dyDescent="0.25">
      <c r="A52">
        <v>54</v>
      </c>
      <c r="B52" t="s">
        <v>105</v>
      </c>
      <c r="C52">
        <v>3</v>
      </c>
      <c r="D52" t="str">
        <f>+"("&amp;ReservaServicio[[#This Row],[ReservaID]]&amp;",'"&amp;ReservaServicio[[#This Row],[ServicioID]]&amp;"',"&amp;ReservaServicio[[#This Row],[Cantidad]]&amp;"),"</f>
        <v>(54,'PELUQUERIA',3),</v>
      </c>
      <c r="E52" s="7" t="str">
        <f>+_xlfn.XLOOKUP(ReservaServicio[[#This Row],[ReservaID]],Reservas[ReservaID],Reservas[[ reservaFechaInicio]])</f>
        <v>2023-07-05</v>
      </c>
      <c r="F52" s="7" t="str">
        <f>+_xlfn.XLOOKUP(ReservaServicio[[#This Row],[ReservaID]],Reservas[ReservaID],Reservas[[ reservaFechaFin]])</f>
        <v>2023-07-12</v>
      </c>
      <c r="G52">
        <f>+YEAR(ReservaServicio[[#This Row],[FCHiNICIO]])</f>
        <v>2023</v>
      </c>
      <c r="H52">
        <f>+YEAR(ReservaServicio[[#This Row],[FchFin]])</f>
        <v>2023</v>
      </c>
    </row>
    <row r="53" spans="1:12" x14ac:dyDescent="0.25">
      <c r="A53">
        <v>55</v>
      </c>
      <c r="B53" t="s">
        <v>105</v>
      </c>
      <c r="C53">
        <v>3</v>
      </c>
      <c r="D53" t="str">
        <f>+"("&amp;ReservaServicio[[#This Row],[ReservaID]]&amp;",'"&amp;ReservaServicio[[#This Row],[ServicioID]]&amp;"',"&amp;ReservaServicio[[#This Row],[Cantidad]]&amp;"),"</f>
        <v>(55,'PELUQUERIA',3),</v>
      </c>
      <c r="E53" s="7" t="str">
        <f>+_xlfn.XLOOKUP(ReservaServicio[[#This Row],[ReservaID]],Reservas[ReservaID],Reservas[[ reservaFechaInicio]])</f>
        <v>2023-07-10</v>
      </c>
      <c r="F53" s="7" t="str">
        <f>+_xlfn.XLOOKUP(ReservaServicio[[#This Row],[ReservaID]],Reservas[ReservaID],Reservas[[ reservaFechaFin]])</f>
        <v>2023-07-17</v>
      </c>
      <c r="G53">
        <f>+YEAR(ReservaServicio[[#This Row],[FCHiNICIO]])</f>
        <v>2023</v>
      </c>
      <c r="H53">
        <f>+YEAR(ReservaServicio[[#This Row],[FchFin]])</f>
        <v>2023</v>
      </c>
    </row>
    <row r="54" spans="1:12" x14ac:dyDescent="0.25">
      <c r="A54">
        <v>60</v>
      </c>
      <c r="B54" t="s">
        <v>108</v>
      </c>
      <c r="C54">
        <v>2</v>
      </c>
      <c r="D54" t="str">
        <f>+"("&amp;ReservaServicio[[#This Row],[ReservaID]]&amp;",'"&amp;ReservaServicio[[#This Row],[ServicioID]]&amp;"',"&amp;ReservaServicio[[#This Row],[Cantidad]]&amp;"),"</f>
        <v>(60,'ALIMENTACION_ESPECIAL',2),</v>
      </c>
      <c r="E54" s="7" t="str">
        <f>+_xlfn.XLOOKUP(ReservaServicio[[#This Row],[ReservaID]],Reservas[ReservaID],Reservas[[ reservaFechaInicio]])</f>
        <v>2023-09-05</v>
      </c>
      <c r="F54" s="7" t="str">
        <f>+_xlfn.XLOOKUP(ReservaServicio[[#This Row],[ReservaID]],Reservas[ReservaID],Reservas[[ reservaFechaFin]])</f>
        <v>2023-09-12</v>
      </c>
      <c r="G54">
        <f>+YEAR(ReservaServicio[[#This Row],[FCHiNICIO]])</f>
        <v>2023</v>
      </c>
      <c r="H54">
        <f>+YEAR(ReservaServicio[[#This Row],[FchFin]])</f>
        <v>2023</v>
      </c>
    </row>
    <row r="55" spans="1:12" x14ac:dyDescent="0.25">
      <c r="A55">
        <v>60</v>
      </c>
      <c r="B55" t="s">
        <v>106</v>
      </c>
      <c r="C55">
        <v>1</v>
      </c>
      <c r="D55" t="str">
        <f>+"("&amp;ReservaServicio[[#This Row],[ReservaID]]&amp;",'"&amp;ReservaServicio[[#This Row],[ServicioID]]&amp;"',"&amp;ReservaServicio[[#This Row],[Cantidad]]&amp;"),"</f>
        <v>(60,'BAÑO',1),</v>
      </c>
      <c r="E55" s="7" t="str">
        <f>+_xlfn.XLOOKUP(ReservaServicio[[#This Row],[ReservaID]],Reservas[ReservaID],Reservas[[ reservaFechaInicio]])</f>
        <v>2023-09-05</v>
      </c>
      <c r="F55" s="7" t="str">
        <f>+_xlfn.XLOOKUP(ReservaServicio[[#This Row],[ReservaID]],Reservas[ReservaID],Reservas[[ reservaFechaFin]])</f>
        <v>2023-09-12</v>
      </c>
      <c r="G55">
        <f>+YEAR(ReservaServicio[[#This Row],[FCHiNICIO]])</f>
        <v>2023</v>
      </c>
      <c r="H55">
        <f>+YEAR(ReservaServicio[[#This Row],[FchFin]])</f>
        <v>2023</v>
      </c>
    </row>
    <row r="56" spans="1:12" x14ac:dyDescent="0.25">
      <c r="A56">
        <v>61</v>
      </c>
      <c r="B56" t="s">
        <v>103</v>
      </c>
      <c r="C56">
        <v>1</v>
      </c>
      <c r="D56" t="str">
        <f>+"("&amp;ReservaServicio[[#This Row],[ReservaID]]&amp;",'"&amp;ReservaServicio[[#This Row],[ServicioID]]&amp;"',"&amp;ReservaServicio[[#This Row],[Cantidad]]&amp;"),"</f>
        <v>(61,'CONTROL_PARASITOS',1),</v>
      </c>
      <c r="E56" s="7" t="str">
        <f>+_xlfn.XLOOKUP(ReservaServicio[[#This Row],[ReservaID]],Reservas[ReservaID],Reservas[[ reservaFechaInicio]])</f>
        <v>2023-09-15</v>
      </c>
      <c r="F56" s="7" t="str">
        <f>+_xlfn.XLOOKUP(ReservaServicio[[#This Row],[ReservaID]],Reservas[ReservaID],Reservas[[ reservaFechaFin]])</f>
        <v>2023-09-22</v>
      </c>
      <c r="G56">
        <f>+YEAR(ReservaServicio[[#This Row],[FCHiNICIO]])</f>
        <v>2023</v>
      </c>
      <c r="H56">
        <f>+YEAR(ReservaServicio[[#This Row],[FchFin]])</f>
        <v>2023</v>
      </c>
    </row>
    <row r="57" spans="1:12" x14ac:dyDescent="0.25">
      <c r="A57">
        <v>61</v>
      </c>
      <c r="B57" t="s">
        <v>109</v>
      </c>
      <c r="C57">
        <v>3</v>
      </c>
      <c r="D57" t="str">
        <f>+"("&amp;ReservaServicio[[#This Row],[ReservaID]]&amp;",'"&amp;ReservaServicio[[#This Row],[ServicioID]]&amp;"',"&amp;ReservaServicio[[#This Row],[Cantidad]]&amp;"),"</f>
        <v>(61,'JUEGO_GUIADO',3),</v>
      </c>
      <c r="E57" s="7" t="str">
        <f>+_xlfn.XLOOKUP(ReservaServicio[[#This Row],[ReservaID]],Reservas[ReservaID],Reservas[[ reservaFechaInicio]])</f>
        <v>2023-09-15</v>
      </c>
      <c r="F57" s="7" t="str">
        <f>+_xlfn.XLOOKUP(ReservaServicio[[#This Row],[ReservaID]],Reservas[ReservaID],Reservas[[ reservaFechaFin]])</f>
        <v>2023-09-22</v>
      </c>
      <c r="G57">
        <f>+YEAR(ReservaServicio[[#This Row],[FCHiNICIO]])</f>
        <v>2023</v>
      </c>
      <c r="H57">
        <f>+YEAR(ReservaServicio[[#This Row],[FchFin]])</f>
        <v>2023</v>
      </c>
    </row>
    <row r="58" spans="1:12" x14ac:dyDescent="0.25">
      <c r="A58">
        <v>62</v>
      </c>
      <c r="B58" t="s">
        <v>105</v>
      </c>
      <c r="C58">
        <v>1</v>
      </c>
      <c r="D58" t="str">
        <f>+"("&amp;ReservaServicio[[#This Row],[ReservaID]]&amp;",'"&amp;ReservaServicio[[#This Row],[ServicioID]]&amp;"',"&amp;ReservaServicio[[#This Row],[Cantidad]]&amp;"),"</f>
        <v>(62,'PELUQUERIA',1),</v>
      </c>
      <c r="E58" s="7" t="str">
        <f>+_xlfn.XLOOKUP(ReservaServicio[[#This Row],[ReservaID]],Reservas[ReservaID],Reservas[[ reservaFechaInicio]])</f>
        <v>2023-10-10</v>
      </c>
      <c r="F58" s="7" t="str">
        <f>+_xlfn.XLOOKUP(ReservaServicio[[#This Row],[ReservaID]],Reservas[ReservaID],Reservas[[ reservaFechaFin]])</f>
        <v>2023-10-17</v>
      </c>
      <c r="G58">
        <f>+YEAR(ReservaServicio[[#This Row],[FCHiNICIO]])</f>
        <v>2023</v>
      </c>
      <c r="H58">
        <f>+YEAR(ReservaServicio[[#This Row],[FchFin]])</f>
        <v>2023</v>
      </c>
    </row>
    <row r="59" spans="1:12" x14ac:dyDescent="0.25">
      <c r="A59">
        <v>62</v>
      </c>
      <c r="B59" t="s">
        <v>107</v>
      </c>
      <c r="C59">
        <v>2</v>
      </c>
      <c r="D59" t="str">
        <f>+"("&amp;ReservaServicio[[#This Row],[ReservaID]]&amp;",'"&amp;ReservaServicio[[#This Row],[ServicioID]]&amp;"',"&amp;ReservaServicio[[#This Row],[Cantidad]]&amp;"),"</f>
        <v>(62,'CORTE_DE_UNAS',2),</v>
      </c>
      <c r="E59" s="7" t="str">
        <f>+_xlfn.XLOOKUP(ReservaServicio[[#This Row],[ReservaID]],Reservas[ReservaID],Reservas[[ reservaFechaInicio]])</f>
        <v>2023-10-10</v>
      </c>
      <c r="F59" s="7" t="str">
        <f>+_xlfn.XLOOKUP(ReservaServicio[[#This Row],[ReservaID]],Reservas[ReservaID],Reservas[[ reservaFechaFin]])</f>
        <v>2023-10-17</v>
      </c>
      <c r="G59">
        <f>+YEAR(ReservaServicio[[#This Row],[FCHiNICIO]])</f>
        <v>2023</v>
      </c>
      <c r="H59">
        <f>+YEAR(ReservaServicio[[#This Row],[FchFin]])</f>
        <v>2023</v>
      </c>
    </row>
    <row r="60" spans="1:12" x14ac:dyDescent="0.25">
      <c r="A60">
        <v>63</v>
      </c>
      <c r="B60" t="s">
        <v>104</v>
      </c>
      <c r="C60">
        <v>1</v>
      </c>
      <c r="D60" t="str">
        <f>+"("&amp;ReservaServicio[[#This Row],[ReservaID]]&amp;",'"&amp;ReservaServicio[[#This Row],[ServicioID]]&amp;"',"&amp;ReservaServicio[[#This Row],[Cantidad]]&amp;"),"</f>
        <v>(63,'REVISION_VETERINARIA',1),</v>
      </c>
      <c r="E60" s="7" t="str">
        <f>+_xlfn.XLOOKUP(ReservaServicio[[#This Row],[ReservaID]],Reservas[ReservaID],Reservas[[ reservaFechaInicio]])</f>
        <v>2023-10-15</v>
      </c>
      <c r="F60" s="7" t="str">
        <f>+_xlfn.XLOOKUP(ReservaServicio[[#This Row],[ReservaID]],Reservas[ReservaID],Reservas[[ reservaFechaFin]])</f>
        <v>2023-10-22</v>
      </c>
      <c r="G60">
        <f>+YEAR(ReservaServicio[[#This Row],[FCHiNICIO]])</f>
        <v>2023</v>
      </c>
      <c r="H60">
        <f>+YEAR(ReservaServicio[[#This Row],[FchFin]])</f>
        <v>2023</v>
      </c>
    </row>
    <row r="61" spans="1:12" x14ac:dyDescent="0.25">
      <c r="A61">
        <v>64</v>
      </c>
      <c r="B61" t="s">
        <v>108</v>
      </c>
      <c r="C61">
        <v>3</v>
      </c>
      <c r="D61" t="str">
        <f>+"("&amp;ReservaServicio[[#This Row],[ReservaID]]&amp;",'"&amp;ReservaServicio[[#This Row],[ServicioID]]&amp;"',"&amp;ReservaServicio[[#This Row],[Cantidad]]&amp;"),"</f>
        <v>(64,'ALIMENTACION_ESPECIAL',3),</v>
      </c>
      <c r="E61" s="7" t="str">
        <f>+_xlfn.XLOOKUP(ReservaServicio[[#This Row],[ReservaID]],Reservas[ReservaID],Reservas[[ reservaFechaInicio]])</f>
        <v>2023-11-01</v>
      </c>
      <c r="F61" s="7" t="str">
        <f>+_xlfn.XLOOKUP(ReservaServicio[[#This Row],[ReservaID]],Reservas[ReservaID],Reservas[[ reservaFechaFin]])</f>
        <v>2023-11-08</v>
      </c>
      <c r="G61">
        <f>+YEAR(ReservaServicio[[#This Row],[FCHiNICIO]])</f>
        <v>2023</v>
      </c>
      <c r="H61">
        <f>+YEAR(ReservaServicio[[#This Row],[FchFin]])</f>
        <v>2023</v>
      </c>
    </row>
    <row r="62" spans="1:12" x14ac:dyDescent="0.25">
      <c r="A62">
        <v>65</v>
      </c>
      <c r="B62" t="s">
        <v>109</v>
      </c>
      <c r="C62">
        <v>2</v>
      </c>
      <c r="D62" t="str">
        <f>+"("&amp;ReservaServicio[[#This Row],[ReservaID]]&amp;",'"&amp;ReservaServicio[[#This Row],[ServicioID]]&amp;"',"&amp;ReservaServicio[[#This Row],[Cantidad]]&amp;"),"</f>
        <v>(65,'JUEGO_GUIADO',2),</v>
      </c>
      <c r="E62" s="7" t="str">
        <f>+_xlfn.XLOOKUP(ReservaServicio[[#This Row],[ReservaID]],Reservas[ReservaID],Reservas[[ reservaFechaInicio]])</f>
        <v>2023-11-05</v>
      </c>
      <c r="F62" s="7" t="str">
        <f>+_xlfn.XLOOKUP(ReservaServicio[[#This Row],[ReservaID]],Reservas[ReservaID],Reservas[[ reservaFechaFin]])</f>
        <v>2023-11-12</v>
      </c>
      <c r="G62">
        <f>+YEAR(ReservaServicio[[#This Row],[FCHiNICIO]])</f>
        <v>2023</v>
      </c>
      <c r="H62">
        <f>+YEAR(ReservaServicio[[#This Row],[FchFin]])</f>
        <v>2023</v>
      </c>
      <c r="J62">
        <v>60</v>
      </c>
      <c r="K62" t="s">
        <v>108</v>
      </c>
      <c r="L62">
        <v>2</v>
      </c>
    </row>
    <row r="63" spans="1:12" x14ac:dyDescent="0.25">
      <c r="A63">
        <v>65</v>
      </c>
      <c r="B63" t="s">
        <v>105</v>
      </c>
      <c r="C63">
        <v>1</v>
      </c>
      <c r="D63" t="str">
        <f>+"("&amp;ReservaServicio[[#This Row],[ReservaID]]&amp;",'"&amp;ReservaServicio[[#This Row],[ServicioID]]&amp;"',"&amp;ReservaServicio[[#This Row],[Cantidad]]&amp;"),"</f>
        <v>(65,'PELUQUERIA',1),</v>
      </c>
      <c r="E63" s="7" t="str">
        <f>+_xlfn.XLOOKUP(ReservaServicio[[#This Row],[ReservaID]],Reservas[ReservaID],Reservas[[ reservaFechaInicio]])</f>
        <v>2023-11-05</v>
      </c>
      <c r="F63" s="7" t="str">
        <f>+_xlfn.XLOOKUP(ReservaServicio[[#This Row],[ReservaID]],Reservas[ReservaID],Reservas[[ reservaFechaFin]])</f>
        <v>2023-11-12</v>
      </c>
      <c r="G63">
        <f>+YEAR(ReservaServicio[[#This Row],[FCHiNICIO]])</f>
        <v>2023</v>
      </c>
      <c r="H63">
        <f>+YEAR(ReservaServicio[[#This Row],[FchFin]])</f>
        <v>2023</v>
      </c>
      <c r="J63">
        <v>60</v>
      </c>
      <c r="K63" t="s">
        <v>106</v>
      </c>
      <c r="L63">
        <v>1</v>
      </c>
    </row>
    <row r="64" spans="1:12" x14ac:dyDescent="0.25">
      <c r="A64">
        <v>66</v>
      </c>
      <c r="B64" t="s">
        <v>103</v>
      </c>
      <c r="C64">
        <v>1</v>
      </c>
      <c r="D64" t="str">
        <f>+"("&amp;ReservaServicio[[#This Row],[ReservaID]]&amp;",'"&amp;ReservaServicio[[#This Row],[ServicioID]]&amp;"',"&amp;ReservaServicio[[#This Row],[Cantidad]]&amp;"),"</f>
        <v>(66,'CONTROL_PARASITOS',1),</v>
      </c>
      <c r="E64" s="7" t="str">
        <f>+_xlfn.XLOOKUP(ReservaServicio[[#This Row],[ReservaID]],Reservas[ReservaID],Reservas[[ reservaFechaInicio]])</f>
        <v>2023-12-01</v>
      </c>
      <c r="F64" s="7" t="str">
        <f>+_xlfn.XLOOKUP(ReservaServicio[[#This Row],[ReservaID]],Reservas[ReservaID],Reservas[[ reservaFechaFin]])</f>
        <v>2023-12-08</v>
      </c>
      <c r="G64">
        <f>+YEAR(ReservaServicio[[#This Row],[FCHiNICIO]])</f>
        <v>2023</v>
      </c>
      <c r="H64">
        <f>+YEAR(ReservaServicio[[#This Row],[FchFin]])</f>
        <v>2023</v>
      </c>
      <c r="J64">
        <v>61</v>
      </c>
      <c r="K64" t="s">
        <v>103</v>
      </c>
      <c r="L64">
        <v>1</v>
      </c>
    </row>
    <row r="65" spans="1:12" x14ac:dyDescent="0.25">
      <c r="A65">
        <v>67</v>
      </c>
      <c r="B65" t="s">
        <v>107</v>
      </c>
      <c r="C65">
        <v>2</v>
      </c>
      <c r="D65" t="str">
        <f>+"("&amp;ReservaServicio[[#This Row],[ReservaID]]&amp;",'"&amp;ReservaServicio[[#This Row],[ServicioID]]&amp;"',"&amp;ReservaServicio[[#This Row],[Cantidad]]&amp;"),"</f>
        <v>(67,'CORTE_DE_UNAS',2),</v>
      </c>
      <c r="E65" s="7" t="str">
        <f>+_xlfn.XLOOKUP(ReservaServicio[[#This Row],[ReservaID]],Reservas[ReservaID],Reservas[[ reservaFechaInicio]])</f>
        <v>2023-12-05</v>
      </c>
      <c r="F65" s="7" t="str">
        <f>+_xlfn.XLOOKUP(ReservaServicio[[#This Row],[ReservaID]],Reservas[ReservaID],Reservas[[ reservaFechaFin]])</f>
        <v>2023-12-12</v>
      </c>
      <c r="G65">
        <f>+YEAR(ReservaServicio[[#This Row],[FCHiNICIO]])</f>
        <v>2023</v>
      </c>
      <c r="H65">
        <f>+YEAR(ReservaServicio[[#This Row],[FchFin]])</f>
        <v>2023</v>
      </c>
      <c r="J65">
        <v>61</v>
      </c>
      <c r="K65" t="s">
        <v>109</v>
      </c>
      <c r="L65">
        <v>3</v>
      </c>
    </row>
    <row r="66" spans="1:12" x14ac:dyDescent="0.25">
      <c r="A66">
        <v>68</v>
      </c>
      <c r="B66" t="s">
        <v>104</v>
      </c>
      <c r="C66">
        <v>1</v>
      </c>
      <c r="D66" t="str">
        <f>+"("&amp;ReservaServicio[[#This Row],[ReservaID]]&amp;",'"&amp;ReservaServicio[[#This Row],[ServicioID]]&amp;"',"&amp;ReservaServicio[[#This Row],[Cantidad]]&amp;"),"</f>
        <v>(68,'REVISION_VETERINARIA',1),</v>
      </c>
      <c r="E66" s="7" t="str">
        <f>+_xlfn.XLOOKUP(ReservaServicio[[#This Row],[ReservaID]],Reservas[ReservaID],Reservas[[ reservaFechaInicio]])</f>
        <v>2024-01-05</v>
      </c>
      <c r="F66" s="7" t="str">
        <f>+_xlfn.XLOOKUP(ReservaServicio[[#This Row],[ReservaID]],Reservas[ReservaID],Reservas[[ reservaFechaFin]])</f>
        <v>2024-01-10</v>
      </c>
      <c r="G66">
        <f>+YEAR(ReservaServicio[[#This Row],[FCHiNICIO]])</f>
        <v>2024</v>
      </c>
      <c r="H66">
        <f>+YEAR(ReservaServicio[[#This Row],[FchFin]])</f>
        <v>2024</v>
      </c>
      <c r="J66">
        <v>62</v>
      </c>
      <c r="K66" t="s">
        <v>105</v>
      </c>
      <c r="L66">
        <v>1</v>
      </c>
    </row>
    <row r="67" spans="1:12" x14ac:dyDescent="0.25">
      <c r="A67">
        <v>69</v>
      </c>
      <c r="B67" t="s">
        <v>108</v>
      </c>
      <c r="C67">
        <v>2</v>
      </c>
      <c r="D67" t="str">
        <f>+"("&amp;ReservaServicio[[#This Row],[ReservaID]]&amp;",'"&amp;ReservaServicio[[#This Row],[ServicioID]]&amp;"',"&amp;ReservaServicio[[#This Row],[Cantidad]]&amp;"),"</f>
        <v>(69,'ALIMENTACION_ESPECIAL',2),</v>
      </c>
      <c r="E67" s="7" t="str">
        <f>+_xlfn.XLOOKUP(ReservaServicio[[#This Row],[ReservaID]],Reservas[ReservaID],Reservas[[ reservaFechaInicio]])</f>
        <v>2024-01-15</v>
      </c>
      <c r="F67" s="7" t="str">
        <f>+_xlfn.XLOOKUP(ReservaServicio[[#This Row],[ReservaID]],Reservas[ReservaID],Reservas[[ reservaFechaFin]])</f>
        <v>2024-01-22</v>
      </c>
      <c r="G67">
        <f>+YEAR(ReservaServicio[[#This Row],[FCHiNICIO]])</f>
        <v>2024</v>
      </c>
      <c r="H67">
        <f>+YEAR(ReservaServicio[[#This Row],[FchFin]])</f>
        <v>2024</v>
      </c>
      <c r="J67">
        <v>62</v>
      </c>
      <c r="K67" t="s">
        <v>107</v>
      </c>
      <c r="L67">
        <v>2</v>
      </c>
    </row>
    <row r="68" spans="1:12" x14ac:dyDescent="0.25">
      <c r="A68">
        <v>69</v>
      </c>
      <c r="B68" t="s">
        <v>106</v>
      </c>
      <c r="C68">
        <v>1</v>
      </c>
      <c r="D68" t="str">
        <f>+"("&amp;ReservaServicio[[#This Row],[ReservaID]]&amp;",'"&amp;ReservaServicio[[#This Row],[ServicioID]]&amp;"',"&amp;ReservaServicio[[#This Row],[Cantidad]]&amp;"),"</f>
        <v>(69,'BAÑO',1),</v>
      </c>
      <c r="E68" s="7" t="str">
        <f>+_xlfn.XLOOKUP(ReservaServicio[[#This Row],[ReservaID]],Reservas[ReservaID],Reservas[[ reservaFechaInicio]])</f>
        <v>2024-01-15</v>
      </c>
      <c r="F68" s="7" t="str">
        <f>+_xlfn.XLOOKUP(ReservaServicio[[#This Row],[ReservaID]],Reservas[ReservaID],Reservas[[ reservaFechaFin]])</f>
        <v>2024-01-22</v>
      </c>
      <c r="G68">
        <f>+YEAR(ReservaServicio[[#This Row],[FCHiNICIO]])</f>
        <v>2024</v>
      </c>
      <c r="H68">
        <f>+YEAR(ReservaServicio[[#This Row],[FchFin]])</f>
        <v>2024</v>
      </c>
      <c r="J68">
        <v>63</v>
      </c>
      <c r="K68" t="s">
        <v>104</v>
      </c>
      <c r="L68">
        <v>1</v>
      </c>
    </row>
    <row r="69" spans="1:12" x14ac:dyDescent="0.25">
      <c r="A69">
        <v>70</v>
      </c>
      <c r="B69" t="s">
        <v>103</v>
      </c>
      <c r="C69">
        <v>3</v>
      </c>
      <c r="D69" t="str">
        <f>+"("&amp;ReservaServicio[[#This Row],[ReservaID]]&amp;",'"&amp;ReservaServicio[[#This Row],[ServicioID]]&amp;"',"&amp;ReservaServicio[[#This Row],[Cantidad]]&amp;"),"</f>
        <v>(70,'CONTROL_PARASITOS',3),</v>
      </c>
      <c r="E69" s="7" t="str">
        <f>+_xlfn.XLOOKUP(ReservaServicio[[#This Row],[ReservaID]],Reservas[ReservaID],Reservas[[ reservaFechaInicio]])</f>
        <v>2024-02-01</v>
      </c>
      <c r="F69" s="7" t="str">
        <f>+_xlfn.XLOOKUP(ReservaServicio[[#This Row],[ReservaID]],Reservas[ReservaID],Reservas[[ reservaFechaFin]])</f>
        <v>2024-02-06</v>
      </c>
      <c r="G69">
        <f>+YEAR(ReservaServicio[[#This Row],[FCHiNICIO]])</f>
        <v>2024</v>
      </c>
      <c r="H69">
        <f>+YEAR(ReservaServicio[[#This Row],[FchFin]])</f>
        <v>2024</v>
      </c>
      <c r="J69">
        <v>64</v>
      </c>
      <c r="K69" t="s">
        <v>108</v>
      </c>
      <c r="L69">
        <v>3</v>
      </c>
    </row>
    <row r="70" spans="1:12" x14ac:dyDescent="0.25">
      <c r="A70">
        <v>71</v>
      </c>
      <c r="B70" t="s">
        <v>109</v>
      </c>
      <c r="C70">
        <v>1</v>
      </c>
      <c r="D70" t="str">
        <f>+"("&amp;ReservaServicio[[#This Row],[ReservaID]]&amp;",'"&amp;ReservaServicio[[#This Row],[ServicioID]]&amp;"',"&amp;ReservaServicio[[#This Row],[Cantidad]]&amp;"),"</f>
        <v>(71,'JUEGO_GUIADO',1),</v>
      </c>
      <c r="E70" s="7" t="str">
        <f>+_xlfn.XLOOKUP(ReservaServicio[[#This Row],[ReservaID]],Reservas[ReservaID],Reservas[[ reservaFechaInicio]])</f>
        <v>2024-02-05</v>
      </c>
      <c r="F70" s="7" t="str">
        <f>+_xlfn.XLOOKUP(ReservaServicio[[#This Row],[ReservaID]],Reservas[ReservaID],Reservas[[ reservaFechaFin]])</f>
        <v>2024-02-12</v>
      </c>
      <c r="G70">
        <f>+YEAR(ReservaServicio[[#This Row],[FCHiNICIO]])</f>
        <v>2024</v>
      </c>
      <c r="H70">
        <f>+YEAR(ReservaServicio[[#This Row],[FchFin]])</f>
        <v>2024</v>
      </c>
      <c r="J70">
        <v>65</v>
      </c>
      <c r="K70" t="s">
        <v>109</v>
      </c>
      <c r="L70">
        <v>2</v>
      </c>
    </row>
    <row r="71" spans="1:12" x14ac:dyDescent="0.25">
      <c r="A71">
        <v>72</v>
      </c>
      <c r="B71" t="s">
        <v>105</v>
      </c>
      <c r="C71">
        <v>1</v>
      </c>
      <c r="D71" t="str">
        <f>+"("&amp;ReservaServicio[[#This Row],[ReservaID]]&amp;",'"&amp;ReservaServicio[[#This Row],[ServicioID]]&amp;"',"&amp;ReservaServicio[[#This Row],[Cantidad]]&amp;"),"</f>
        <v>(72,'PELUQUERIA',1),</v>
      </c>
      <c r="E71" s="7" t="str">
        <f>+_xlfn.XLOOKUP(ReservaServicio[[#This Row],[ReservaID]],Reservas[ReservaID],Reservas[[ reservaFechaInicio]])</f>
        <v>2024-03-01</v>
      </c>
      <c r="F71" s="7" t="str">
        <f>+_xlfn.XLOOKUP(ReservaServicio[[#This Row],[ReservaID]],Reservas[ReservaID],Reservas[[ reservaFechaFin]])</f>
        <v>2024-03-08</v>
      </c>
      <c r="G71">
        <f>+YEAR(ReservaServicio[[#This Row],[FCHiNICIO]])</f>
        <v>2024</v>
      </c>
      <c r="H71">
        <f>+YEAR(ReservaServicio[[#This Row],[FchFin]])</f>
        <v>2024</v>
      </c>
      <c r="J71">
        <v>65</v>
      </c>
      <c r="K71" t="s">
        <v>105</v>
      </c>
      <c r="L71">
        <v>1</v>
      </c>
    </row>
    <row r="72" spans="1:12" x14ac:dyDescent="0.25">
      <c r="A72">
        <v>73</v>
      </c>
      <c r="B72" t="s">
        <v>108</v>
      </c>
      <c r="C72">
        <v>4</v>
      </c>
      <c r="D72" t="str">
        <f>+"("&amp;ReservaServicio[[#This Row],[ReservaID]]&amp;",'"&amp;ReservaServicio[[#This Row],[ServicioID]]&amp;"',"&amp;ReservaServicio[[#This Row],[Cantidad]]&amp;"),"</f>
        <v>(73,'ALIMENTACION_ESPECIAL',4),</v>
      </c>
      <c r="E72" s="7" t="str">
        <f>+_xlfn.XLOOKUP(ReservaServicio[[#This Row],[ReservaID]],Reservas[ReservaID],Reservas[[ reservaFechaInicio]])</f>
        <v>2024-03-01</v>
      </c>
      <c r="F72" s="7" t="str">
        <f>+_xlfn.XLOOKUP(ReservaServicio[[#This Row],[ReservaID]],Reservas[ReservaID],Reservas[[ reservaFechaFin]])</f>
        <v>2024-03-08</v>
      </c>
      <c r="G72">
        <f>+YEAR(ReservaServicio[[#This Row],[FCHiNICIO]])</f>
        <v>2024</v>
      </c>
      <c r="H72">
        <f>+YEAR(ReservaServicio[[#This Row],[FchFin]])</f>
        <v>2024</v>
      </c>
      <c r="J72">
        <v>66</v>
      </c>
      <c r="K72" t="s">
        <v>103</v>
      </c>
      <c r="L72">
        <v>1</v>
      </c>
    </row>
    <row r="73" spans="1:12" x14ac:dyDescent="0.25">
      <c r="A73">
        <v>74</v>
      </c>
      <c r="B73" t="s">
        <v>104</v>
      </c>
      <c r="C73">
        <v>2</v>
      </c>
      <c r="D73" t="str">
        <f>+"("&amp;ReservaServicio[[#This Row],[ReservaID]]&amp;",'"&amp;ReservaServicio[[#This Row],[ServicioID]]&amp;"',"&amp;ReservaServicio[[#This Row],[Cantidad]]&amp;"),"</f>
        <v>(74,'REVISION_VETERINARIA',2),</v>
      </c>
      <c r="E73" s="7" t="str">
        <f>+_xlfn.XLOOKUP(ReservaServicio[[#This Row],[ReservaID]],Reservas[ReservaID],Reservas[[ reservaFechaInicio]])</f>
        <v>2024-04-10</v>
      </c>
      <c r="F73" s="7" t="str">
        <f>+_xlfn.XLOOKUP(ReservaServicio[[#This Row],[ReservaID]],Reservas[ReservaID],Reservas[[ reservaFechaFin]])</f>
        <v>2024-04-15</v>
      </c>
      <c r="G73">
        <f>+YEAR(ReservaServicio[[#This Row],[FCHiNICIO]])</f>
        <v>2024</v>
      </c>
      <c r="H73">
        <f>+YEAR(ReservaServicio[[#This Row],[FchFin]])</f>
        <v>2024</v>
      </c>
      <c r="J73">
        <v>67</v>
      </c>
      <c r="K73" t="s">
        <v>107</v>
      </c>
      <c r="L73">
        <v>2</v>
      </c>
    </row>
    <row r="74" spans="1:12" x14ac:dyDescent="0.25">
      <c r="A74">
        <v>75</v>
      </c>
      <c r="B74" t="s">
        <v>109</v>
      </c>
      <c r="C74">
        <v>3</v>
      </c>
      <c r="D74" t="str">
        <f>+"("&amp;ReservaServicio[[#This Row],[ReservaID]]&amp;",'"&amp;ReservaServicio[[#This Row],[ServicioID]]&amp;"',"&amp;ReservaServicio[[#This Row],[Cantidad]]&amp;"),"</f>
        <v>(75,'JUEGO_GUIADO',3),</v>
      </c>
      <c r="E74" s="7" t="str">
        <f>+_xlfn.XLOOKUP(ReservaServicio[[#This Row],[ReservaID]],Reservas[ReservaID],Reservas[[ reservaFechaInicio]])</f>
        <v>2024-04-15</v>
      </c>
      <c r="F74" s="7" t="str">
        <f>+_xlfn.XLOOKUP(ReservaServicio[[#This Row],[ReservaID]],Reservas[ReservaID],Reservas[[ reservaFechaFin]])</f>
        <v>2024-04-22</v>
      </c>
      <c r="G74">
        <f>+YEAR(ReservaServicio[[#This Row],[FCHiNICIO]])</f>
        <v>2024</v>
      </c>
      <c r="H74">
        <f>+YEAR(ReservaServicio[[#This Row],[FchFin]])</f>
        <v>2024</v>
      </c>
      <c r="J74">
        <v>68</v>
      </c>
      <c r="K74" t="s">
        <v>104</v>
      </c>
      <c r="L74">
        <v>1</v>
      </c>
    </row>
    <row r="75" spans="1:12" x14ac:dyDescent="0.25">
      <c r="A75">
        <v>76</v>
      </c>
      <c r="B75" t="s">
        <v>107</v>
      </c>
      <c r="C75">
        <v>2</v>
      </c>
      <c r="D75" t="str">
        <f>+"("&amp;ReservaServicio[[#This Row],[ReservaID]]&amp;",'"&amp;ReservaServicio[[#This Row],[ServicioID]]&amp;"',"&amp;ReservaServicio[[#This Row],[Cantidad]]&amp;"),"</f>
        <v>(76,'CORTE_DE_UNAS',2),</v>
      </c>
      <c r="E75" s="7" t="str">
        <f>+_xlfn.XLOOKUP(ReservaServicio[[#This Row],[ReservaID]],Reservas[ReservaID],Reservas[[ reservaFechaInicio]])</f>
        <v>2024-05-05</v>
      </c>
      <c r="F75" s="7" t="str">
        <f>+_xlfn.XLOOKUP(ReservaServicio[[#This Row],[ReservaID]],Reservas[ReservaID],Reservas[[ reservaFechaFin]])</f>
        <v>2024-05-12</v>
      </c>
      <c r="G75">
        <f>+YEAR(ReservaServicio[[#This Row],[FCHiNICIO]])</f>
        <v>2024</v>
      </c>
      <c r="H75">
        <f>+YEAR(ReservaServicio[[#This Row],[FchFin]])</f>
        <v>2024</v>
      </c>
      <c r="J75">
        <v>69</v>
      </c>
      <c r="K75" t="s">
        <v>108</v>
      </c>
      <c r="L75">
        <v>2</v>
      </c>
    </row>
    <row r="76" spans="1:12" x14ac:dyDescent="0.25">
      <c r="A76">
        <v>77</v>
      </c>
      <c r="B76" t="s">
        <v>103</v>
      </c>
      <c r="C76">
        <v>1</v>
      </c>
      <c r="D76" t="str">
        <f>+"("&amp;ReservaServicio[[#This Row],[ReservaID]]&amp;",'"&amp;ReservaServicio[[#This Row],[ServicioID]]&amp;"',"&amp;ReservaServicio[[#This Row],[Cantidad]]&amp;"),"</f>
        <v>(77,'CONTROL_PARASITOS',1),</v>
      </c>
      <c r="E76" s="7" t="str">
        <f>+_xlfn.XLOOKUP(ReservaServicio[[#This Row],[ReservaID]],Reservas[ReservaID],Reservas[[ reservaFechaInicio]])</f>
        <v>2024-05-20</v>
      </c>
      <c r="F76" s="7" t="str">
        <f>+_xlfn.XLOOKUP(ReservaServicio[[#This Row],[ReservaID]],Reservas[ReservaID],Reservas[[ reservaFechaFin]])</f>
        <v>2024-05-25</v>
      </c>
      <c r="G76">
        <f>+YEAR(ReservaServicio[[#This Row],[FCHiNICIO]])</f>
        <v>2024</v>
      </c>
      <c r="H76">
        <f>+YEAR(ReservaServicio[[#This Row],[FchFin]])</f>
        <v>2024</v>
      </c>
      <c r="J76">
        <v>69</v>
      </c>
      <c r="K76" t="s">
        <v>106</v>
      </c>
      <c r="L76">
        <v>1</v>
      </c>
    </row>
    <row r="77" spans="1:12" x14ac:dyDescent="0.25">
      <c r="A77">
        <v>77</v>
      </c>
      <c r="B77" t="s">
        <v>105</v>
      </c>
      <c r="C77">
        <v>2</v>
      </c>
      <c r="D77" t="str">
        <f>+"("&amp;ReservaServicio[[#This Row],[ReservaID]]&amp;",'"&amp;ReservaServicio[[#This Row],[ServicioID]]&amp;"',"&amp;ReservaServicio[[#This Row],[Cantidad]]&amp;"),"</f>
        <v>(77,'PELUQUERIA',2),</v>
      </c>
      <c r="E77" s="7" t="str">
        <f>+_xlfn.XLOOKUP(ReservaServicio[[#This Row],[ReservaID]],Reservas[ReservaID],Reservas[[ reservaFechaInicio]])</f>
        <v>2024-05-20</v>
      </c>
      <c r="F77" s="7" t="str">
        <f>+_xlfn.XLOOKUP(ReservaServicio[[#This Row],[ReservaID]],Reservas[ReservaID],Reservas[[ reservaFechaFin]])</f>
        <v>2024-05-25</v>
      </c>
      <c r="G77">
        <f>+YEAR(ReservaServicio[[#This Row],[FCHiNICIO]])</f>
        <v>2024</v>
      </c>
      <c r="H77">
        <f>+YEAR(ReservaServicio[[#This Row],[FchFin]])</f>
        <v>2024</v>
      </c>
      <c r="J77">
        <v>70</v>
      </c>
      <c r="K77" t="s">
        <v>103</v>
      </c>
      <c r="L77">
        <v>3</v>
      </c>
    </row>
    <row r="78" spans="1:12" x14ac:dyDescent="0.25">
      <c r="A78">
        <v>78</v>
      </c>
      <c r="B78" t="s">
        <v>108</v>
      </c>
      <c r="C78">
        <v>3</v>
      </c>
      <c r="D78" t="str">
        <f>+"("&amp;ReservaServicio[[#This Row],[ReservaID]]&amp;",'"&amp;ReservaServicio[[#This Row],[ServicioID]]&amp;"',"&amp;ReservaServicio[[#This Row],[Cantidad]]&amp;"),"</f>
        <v>(78,'ALIMENTACION_ESPECIAL',3),</v>
      </c>
      <c r="E78" s="7" t="str">
        <f>+_xlfn.XLOOKUP(ReservaServicio[[#This Row],[ReservaID]],Reservas[ReservaID],Reservas[[ reservaFechaInicio]])</f>
        <v>2024-06-01</v>
      </c>
      <c r="F78" s="7" t="str">
        <f>+_xlfn.XLOOKUP(ReservaServicio[[#This Row],[ReservaID]],Reservas[ReservaID],Reservas[[ reservaFechaFin]])</f>
        <v>2024-06-08</v>
      </c>
      <c r="G78">
        <f>+YEAR(ReservaServicio[[#This Row],[FCHiNICIO]])</f>
        <v>2024</v>
      </c>
      <c r="H78">
        <f>+YEAR(ReservaServicio[[#This Row],[FchFin]])</f>
        <v>2024</v>
      </c>
      <c r="J78">
        <v>71</v>
      </c>
      <c r="K78" t="s">
        <v>109</v>
      </c>
      <c r="L78">
        <v>1</v>
      </c>
    </row>
    <row r="79" spans="1:12" x14ac:dyDescent="0.25">
      <c r="A79">
        <v>79</v>
      </c>
      <c r="B79" t="s">
        <v>104</v>
      </c>
      <c r="C79">
        <v>1</v>
      </c>
      <c r="D79" t="str">
        <f>+"("&amp;ReservaServicio[[#This Row],[ReservaID]]&amp;",'"&amp;ReservaServicio[[#This Row],[ServicioID]]&amp;"',"&amp;ReservaServicio[[#This Row],[Cantidad]]&amp;"),"</f>
        <v>(79,'REVISION_VETERINARIA',1),</v>
      </c>
      <c r="E79" s="7" t="str">
        <f>+_xlfn.XLOOKUP(ReservaServicio[[#This Row],[ReservaID]],Reservas[ReservaID],Reservas[[ reservaFechaInicio]])</f>
        <v>2024-06-10</v>
      </c>
      <c r="F79" s="7" t="str">
        <f>+_xlfn.XLOOKUP(ReservaServicio[[#This Row],[ReservaID]],Reservas[ReservaID],Reservas[[ reservaFechaFin]])</f>
        <v>2024-06-18</v>
      </c>
      <c r="G79">
        <f>+YEAR(ReservaServicio[[#This Row],[FCHiNICIO]])</f>
        <v>2024</v>
      </c>
      <c r="H79">
        <f>+YEAR(ReservaServicio[[#This Row],[FchFin]])</f>
        <v>2024</v>
      </c>
      <c r="J79">
        <v>72</v>
      </c>
      <c r="K79" t="s">
        <v>105</v>
      </c>
      <c r="L79">
        <v>1</v>
      </c>
    </row>
    <row r="80" spans="1:12" x14ac:dyDescent="0.25">
      <c r="A80">
        <v>80</v>
      </c>
      <c r="B80" t="s">
        <v>109</v>
      </c>
      <c r="C80">
        <v>2</v>
      </c>
      <c r="D80" t="str">
        <f>+"("&amp;ReservaServicio[[#This Row],[ReservaID]]&amp;",'"&amp;ReservaServicio[[#This Row],[ServicioID]]&amp;"',"&amp;ReservaServicio[[#This Row],[Cantidad]]&amp;"),"</f>
        <v>(80,'JUEGO_GUIADO',2),</v>
      </c>
      <c r="E80" s="7" t="str">
        <f>+_xlfn.XLOOKUP(ReservaServicio[[#This Row],[ReservaID]],Reservas[ReservaID],Reservas[[ reservaFechaInicio]])</f>
        <v>2024-07-01</v>
      </c>
      <c r="F80" s="7" t="str">
        <f>+_xlfn.XLOOKUP(ReservaServicio[[#This Row],[ReservaID]],Reservas[ReservaID],Reservas[[ reservaFechaFin]])</f>
        <v>2024-07-08</v>
      </c>
      <c r="G80">
        <f>+YEAR(ReservaServicio[[#This Row],[FCHiNICIO]])</f>
        <v>2024</v>
      </c>
      <c r="H80">
        <f>+YEAR(ReservaServicio[[#This Row],[FchFin]])</f>
        <v>2024</v>
      </c>
      <c r="J80">
        <v>73</v>
      </c>
      <c r="K80" t="s">
        <v>108</v>
      </c>
      <c r="L80">
        <v>4</v>
      </c>
    </row>
    <row r="81" spans="1:12" x14ac:dyDescent="0.25">
      <c r="A81">
        <v>81</v>
      </c>
      <c r="B81" t="s">
        <v>106</v>
      </c>
      <c r="C81">
        <v>1</v>
      </c>
      <c r="D81" t="str">
        <f>+"("&amp;ReservaServicio[[#This Row],[ReservaID]]&amp;",'"&amp;ReservaServicio[[#This Row],[ServicioID]]&amp;"',"&amp;ReservaServicio[[#This Row],[Cantidad]]&amp;"),"</f>
        <v>(81,'BAÑO',1),</v>
      </c>
      <c r="E81" s="7" t="str">
        <f>+_xlfn.XLOOKUP(ReservaServicio[[#This Row],[ReservaID]],Reservas[ReservaID],Reservas[[ reservaFechaInicio]])</f>
        <v>2024-07-10</v>
      </c>
      <c r="F81" s="7" t="str">
        <f>+_xlfn.XLOOKUP(ReservaServicio[[#This Row],[ReservaID]],Reservas[ReservaID],Reservas[[ reservaFechaFin]])</f>
        <v>2024-07-17</v>
      </c>
      <c r="G81">
        <f>+YEAR(ReservaServicio[[#This Row],[FCHiNICIO]])</f>
        <v>2024</v>
      </c>
      <c r="H81">
        <f>+YEAR(ReservaServicio[[#This Row],[FchFin]])</f>
        <v>2024</v>
      </c>
      <c r="J81">
        <v>74</v>
      </c>
      <c r="K81" t="s">
        <v>104</v>
      </c>
      <c r="L81">
        <v>2</v>
      </c>
    </row>
    <row r="82" spans="1:12" x14ac:dyDescent="0.25">
      <c r="A82">
        <v>81</v>
      </c>
      <c r="B82" t="s">
        <v>103</v>
      </c>
      <c r="C82">
        <v>1</v>
      </c>
      <c r="D82" t="str">
        <f>+"("&amp;ReservaServicio[[#This Row],[ReservaID]]&amp;",'"&amp;ReservaServicio[[#This Row],[ServicioID]]&amp;"',"&amp;ReservaServicio[[#This Row],[Cantidad]]&amp;"),"</f>
        <v>(81,'CONTROL_PARASITOS',1),</v>
      </c>
      <c r="E82" s="7" t="str">
        <f>+_xlfn.XLOOKUP(ReservaServicio[[#This Row],[ReservaID]],Reservas[ReservaID],Reservas[[ reservaFechaInicio]])</f>
        <v>2024-07-10</v>
      </c>
      <c r="F82" s="7" t="str">
        <f>+_xlfn.XLOOKUP(ReservaServicio[[#This Row],[ReservaID]],Reservas[ReservaID],Reservas[[ reservaFechaFin]])</f>
        <v>2024-07-17</v>
      </c>
      <c r="G82">
        <f>+YEAR(ReservaServicio[[#This Row],[FCHiNICIO]])</f>
        <v>2024</v>
      </c>
      <c r="H82">
        <f>+YEAR(ReservaServicio[[#This Row],[FchFin]])</f>
        <v>2024</v>
      </c>
      <c r="J82">
        <v>75</v>
      </c>
      <c r="K82" t="s">
        <v>109</v>
      </c>
      <c r="L82">
        <v>3</v>
      </c>
    </row>
    <row r="83" spans="1:12" x14ac:dyDescent="0.25">
      <c r="A83">
        <v>82</v>
      </c>
      <c r="B83" t="s">
        <v>105</v>
      </c>
      <c r="C83">
        <v>2</v>
      </c>
      <c r="D83" t="str">
        <f>+"("&amp;ReservaServicio[[#This Row],[ReservaID]]&amp;",'"&amp;ReservaServicio[[#This Row],[ServicioID]]&amp;"',"&amp;ReservaServicio[[#This Row],[Cantidad]]&amp;"),"</f>
        <v>(82,'PELUQUERIA',2),</v>
      </c>
      <c r="E83" s="7" t="str">
        <f>+_xlfn.XLOOKUP(ReservaServicio[[#This Row],[ReservaID]],Reservas[ReservaID],Reservas[[ reservaFechaInicio]])</f>
        <v>2024-08-15</v>
      </c>
      <c r="F83" s="7" t="str">
        <f>+_xlfn.XLOOKUP(ReservaServicio[[#This Row],[ReservaID]],Reservas[ReservaID],Reservas[[ reservaFechaFin]])</f>
        <v>2024-08-22</v>
      </c>
      <c r="G83">
        <f>+YEAR(ReservaServicio[[#This Row],[FCHiNICIO]])</f>
        <v>2024</v>
      </c>
      <c r="H83">
        <f>+YEAR(ReservaServicio[[#This Row],[FchFin]])</f>
        <v>2024</v>
      </c>
      <c r="J83">
        <v>76</v>
      </c>
      <c r="K83" t="s">
        <v>107</v>
      </c>
      <c r="L83">
        <v>2</v>
      </c>
    </row>
    <row r="84" spans="1:12" x14ac:dyDescent="0.25">
      <c r="A84">
        <v>83</v>
      </c>
      <c r="B84" t="s">
        <v>107</v>
      </c>
      <c r="C84">
        <v>1</v>
      </c>
      <c r="D84" t="str">
        <f>+"("&amp;ReservaServicio[[#This Row],[ReservaID]]&amp;",'"&amp;ReservaServicio[[#This Row],[ServicioID]]&amp;"',"&amp;ReservaServicio[[#This Row],[Cantidad]]&amp;"),"</f>
        <v>(83,'CORTE_DE_UNAS',1),</v>
      </c>
      <c r="E84" s="7" t="str">
        <f>+_xlfn.XLOOKUP(ReservaServicio[[#This Row],[ReservaID]],Reservas[ReservaID],Reservas[[ reservaFechaInicio]])</f>
        <v>2024-08-15</v>
      </c>
      <c r="F84" s="7" t="str">
        <f>+_xlfn.XLOOKUP(ReservaServicio[[#This Row],[ReservaID]],Reservas[ReservaID],Reservas[[ reservaFechaFin]])</f>
        <v>2024-08-22</v>
      </c>
      <c r="G84">
        <f>+YEAR(ReservaServicio[[#This Row],[FCHiNICIO]])</f>
        <v>2024</v>
      </c>
      <c r="H84">
        <f>+YEAR(ReservaServicio[[#This Row],[FchFin]])</f>
        <v>2024</v>
      </c>
      <c r="J84">
        <v>77</v>
      </c>
      <c r="K84" t="s">
        <v>103</v>
      </c>
      <c r="L84">
        <v>1</v>
      </c>
    </row>
    <row r="85" spans="1:12" x14ac:dyDescent="0.25">
      <c r="A85">
        <v>84</v>
      </c>
      <c r="B85" t="s">
        <v>109</v>
      </c>
      <c r="C85">
        <v>1</v>
      </c>
      <c r="D85" t="str">
        <f>+"("&amp;ReservaServicio[[#This Row],[ReservaID]]&amp;",'"&amp;ReservaServicio[[#This Row],[ServicioID]]&amp;"',"&amp;ReservaServicio[[#This Row],[Cantidad]]&amp;"),"</f>
        <v>(84,'JUEGO_GUIADO',1),</v>
      </c>
      <c r="E85" s="7" t="str">
        <f>+_xlfn.XLOOKUP(ReservaServicio[[#This Row],[ReservaID]],Reservas[ReservaID],Reservas[[ reservaFechaInicio]])</f>
        <v>2024-09-01</v>
      </c>
      <c r="F85" s="7" t="str">
        <f>+_xlfn.XLOOKUP(ReservaServicio[[#This Row],[ReservaID]],Reservas[ReservaID],Reservas[[ reservaFechaFin]])</f>
        <v>2024-09-08</v>
      </c>
      <c r="G85">
        <f>+YEAR(ReservaServicio[[#This Row],[FCHiNICIO]])</f>
        <v>2024</v>
      </c>
      <c r="H85">
        <f>+YEAR(ReservaServicio[[#This Row],[FchFin]])</f>
        <v>2024</v>
      </c>
      <c r="J85">
        <v>77</v>
      </c>
      <c r="K85" t="s">
        <v>105</v>
      </c>
      <c r="L85">
        <v>2</v>
      </c>
    </row>
    <row r="86" spans="1:12" x14ac:dyDescent="0.25">
      <c r="A86">
        <v>85</v>
      </c>
      <c r="B86" t="s">
        <v>104</v>
      </c>
      <c r="C86">
        <v>3</v>
      </c>
      <c r="D86" t="str">
        <f>+"("&amp;ReservaServicio[[#This Row],[ReservaID]]&amp;",'"&amp;ReservaServicio[[#This Row],[ServicioID]]&amp;"',"&amp;ReservaServicio[[#This Row],[Cantidad]]&amp;"),"</f>
        <v>(85,'REVISION_VETERINARIA',3),</v>
      </c>
      <c r="E86" s="7" t="str">
        <f>+_xlfn.XLOOKUP(ReservaServicio[[#This Row],[ReservaID]],Reservas[ReservaID],Reservas[[ reservaFechaInicio]])</f>
        <v>2024-09-10</v>
      </c>
      <c r="F86" s="7" t="str">
        <f>+_xlfn.XLOOKUP(ReservaServicio[[#This Row],[ReservaID]],Reservas[ReservaID],Reservas[[ reservaFechaFin]])</f>
        <v>2024-09-17</v>
      </c>
      <c r="G86">
        <f>+YEAR(ReservaServicio[[#This Row],[FCHiNICIO]])</f>
        <v>2024</v>
      </c>
      <c r="H86">
        <f>+YEAR(ReservaServicio[[#This Row],[FchFin]])</f>
        <v>2024</v>
      </c>
      <c r="J86">
        <v>78</v>
      </c>
      <c r="K86" t="s">
        <v>108</v>
      </c>
      <c r="L86">
        <v>3</v>
      </c>
    </row>
    <row r="87" spans="1:12" x14ac:dyDescent="0.25">
      <c r="A87">
        <v>86</v>
      </c>
      <c r="B87" t="s">
        <v>108</v>
      </c>
      <c r="C87">
        <v>2</v>
      </c>
      <c r="D87" t="str">
        <f>+"("&amp;ReservaServicio[[#This Row],[ReservaID]]&amp;",'"&amp;ReservaServicio[[#This Row],[ServicioID]]&amp;"',"&amp;ReservaServicio[[#This Row],[Cantidad]]&amp;"),"</f>
        <v>(86,'ALIMENTACION_ESPECIAL',2),</v>
      </c>
      <c r="E87" s="7" t="str">
        <f>+_xlfn.XLOOKUP(ReservaServicio[[#This Row],[ReservaID]],Reservas[ReservaID],Reservas[[ reservaFechaInicio]])</f>
        <v>2024-10-05</v>
      </c>
      <c r="F87" s="7" t="str">
        <f>+_xlfn.XLOOKUP(ReservaServicio[[#This Row],[ReservaID]],Reservas[ReservaID],Reservas[[ reservaFechaFin]])</f>
        <v>2024-10-12</v>
      </c>
      <c r="G87">
        <f>+YEAR(ReservaServicio[[#This Row],[FCHiNICIO]])</f>
        <v>2024</v>
      </c>
      <c r="H87">
        <f>+YEAR(ReservaServicio[[#This Row],[FchFin]])</f>
        <v>2024</v>
      </c>
      <c r="J87">
        <v>79</v>
      </c>
      <c r="K87" t="s">
        <v>104</v>
      </c>
      <c r="L87">
        <v>1</v>
      </c>
    </row>
    <row r="88" spans="1:12" x14ac:dyDescent="0.25">
      <c r="A88">
        <v>86</v>
      </c>
      <c r="B88" t="s">
        <v>106</v>
      </c>
      <c r="C88">
        <v>1</v>
      </c>
      <c r="D88" t="str">
        <f>+"("&amp;ReservaServicio[[#This Row],[ReservaID]]&amp;",'"&amp;ReservaServicio[[#This Row],[ServicioID]]&amp;"',"&amp;ReservaServicio[[#This Row],[Cantidad]]&amp;"),"</f>
        <v>(86,'BAÑO',1),</v>
      </c>
      <c r="E88" s="7" t="str">
        <f>+_xlfn.XLOOKUP(ReservaServicio[[#This Row],[ReservaID]],Reservas[ReservaID],Reservas[[ reservaFechaInicio]])</f>
        <v>2024-10-05</v>
      </c>
      <c r="F88" s="7" t="str">
        <f>+_xlfn.XLOOKUP(ReservaServicio[[#This Row],[ReservaID]],Reservas[ReservaID],Reservas[[ reservaFechaFin]])</f>
        <v>2024-10-12</v>
      </c>
      <c r="G88">
        <f>+YEAR(ReservaServicio[[#This Row],[FCHiNICIO]])</f>
        <v>2024</v>
      </c>
      <c r="H88">
        <f>+YEAR(ReservaServicio[[#This Row],[FchFin]])</f>
        <v>2024</v>
      </c>
      <c r="J88">
        <v>80</v>
      </c>
      <c r="K88" t="s">
        <v>109</v>
      </c>
      <c r="L88">
        <v>2</v>
      </c>
    </row>
    <row r="89" spans="1:12" x14ac:dyDescent="0.25">
      <c r="A89">
        <v>87</v>
      </c>
      <c r="B89" t="s">
        <v>103</v>
      </c>
      <c r="C89">
        <v>4</v>
      </c>
      <c r="D89" t="str">
        <f>+"("&amp;ReservaServicio[[#This Row],[ReservaID]]&amp;",'"&amp;ReservaServicio[[#This Row],[ServicioID]]&amp;"',"&amp;ReservaServicio[[#This Row],[Cantidad]]&amp;"),"</f>
        <v>(87,'CONTROL_PARASITOS',4),</v>
      </c>
      <c r="E89" s="7" t="str">
        <f>+_xlfn.XLOOKUP(ReservaServicio[[#This Row],[ReservaID]],Reservas[ReservaID],Reservas[[ reservaFechaInicio]])</f>
        <v>2024-10-05</v>
      </c>
      <c r="F89" s="7" t="str">
        <f>+_xlfn.XLOOKUP(ReservaServicio[[#This Row],[ReservaID]],Reservas[ReservaID],Reservas[[ reservaFechaFin]])</f>
        <v>2024-10-12</v>
      </c>
      <c r="G89">
        <f>+YEAR(ReservaServicio[[#This Row],[FCHiNICIO]])</f>
        <v>2024</v>
      </c>
      <c r="H89">
        <f>+YEAR(ReservaServicio[[#This Row],[FchFin]])</f>
        <v>2024</v>
      </c>
      <c r="J89">
        <v>81</v>
      </c>
      <c r="K89" t="s">
        <v>106</v>
      </c>
      <c r="L89">
        <v>1</v>
      </c>
    </row>
    <row r="90" spans="1:12" x14ac:dyDescent="0.25">
      <c r="A90">
        <v>88</v>
      </c>
      <c r="B90" t="s">
        <v>105</v>
      </c>
      <c r="C90">
        <v>1</v>
      </c>
      <c r="D90" t="str">
        <f>+"("&amp;ReservaServicio[[#This Row],[ReservaID]]&amp;",'"&amp;ReservaServicio[[#This Row],[ServicioID]]&amp;"',"&amp;ReservaServicio[[#This Row],[Cantidad]]&amp;"),"</f>
        <v>(88,'PELUQUERIA',1),</v>
      </c>
      <c r="E90" s="7" t="str">
        <f>+_xlfn.XLOOKUP(ReservaServicio[[#This Row],[ReservaID]],Reservas[ReservaID],Reservas[[ reservaFechaInicio]])</f>
        <v>2024-11-01</v>
      </c>
      <c r="F90" s="7" t="str">
        <f>+_xlfn.XLOOKUP(ReservaServicio[[#This Row],[ReservaID]],Reservas[ReservaID],Reservas[[ reservaFechaFin]])</f>
        <v>2024-11-07</v>
      </c>
      <c r="G90">
        <f>+YEAR(ReservaServicio[[#This Row],[FCHiNICIO]])</f>
        <v>2024</v>
      </c>
      <c r="H90">
        <f>+YEAR(ReservaServicio[[#This Row],[FchFin]])</f>
        <v>2024</v>
      </c>
      <c r="J90">
        <v>81</v>
      </c>
      <c r="K90" t="s">
        <v>103</v>
      </c>
      <c r="L90">
        <v>1</v>
      </c>
    </row>
    <row r="91" spans="1:12" x14ac:dyDescent="0.25">
      <c r="A91">
        <v>89</v>
      </c>
      <c r="B91" t="s">
        <v>109</v>
      </c>
      <c r="C91">
        <v>2</v>
      </c>
      <c r="D91" t="str">
        <f>+"("&amp;ReservaServicio[[#This Row],[ReservaID]]&amp;",'"&amp;ReservaServicio[[#This Row],[ServicioID]]&amp;"',"&amp;ReservaServicio[[#This Row],[Cantidad]]&amp;"),"</f>
        <v>(89,'JUEGO_GUIADO',2),</v>
      </c>
      <c r="E91" s="7" t="str">
        <f>+_xlfn.XLOOKUP(ReservaServicio[[#This Row],[ReservaID]],Reservas[ReservaID],Reservas[[ reservaFechaInicio]])</f>
        <v>2024-11-01</v>
      </c>
      <c r="F91" s="7" t="str">
        <f>+_xlfn.XLOOKUP(ReservaServicio[[#This Row],[ReservaID]],Reservas[ReservaID],Reservas[[ reservaFechaFin]])</f>
        <v>2024-11-07</v>
      </c>
      <c r="G91">
        <f>+YEAR(ReservaServicio[[#This Row],[FCHiNICIO]])</f>
        <v>2024</v>
      </c>
      <c r="H91">
        <f>+YEAR(ReservaServicio[[#This Row],[FchFin]])</f>
        <v>2024</v>
      </c>
      <c r="J91">
        <v>82</v>
      </c>
      <c r="K91" t="s">
        <v>105</v>
      </c>
      <c r="L91">
        <v>2</v>
      </c>
    </row>
    <row r="92" spans="1:12" x14ac:dyDescent="0.25">
      <c r="A92">
        <v>90</v>
      </c>
      <c r="B92" t="s">
        <v>104</v>
      </c>
      <c r="C92">
        <v>1</v>
      </c>
      <c r="D92" t="str">
        <f>+"("&amp;ReservaServicio[[#This Row],[ReservaID]]&amp;",'"&amp;ReservaServicio[[#This Row],[ServicioID]]&amp;"',"&amp;ReservaServicio[[#This Row],[Cantidad]]&amp;"),"</f>
        <v>(90,'REVISION_VETERINARIA',1),</v>
      </c>
      <c r="E92" s="7" t="str">
        <f>+_xlfn.XLOOKUP(ReservaServicio[[#This Row],[ReservaID]],Reservas[ReservaID],Reservas[[ reservaFechaInicio]])</f>
        <v>2024-12-01</v>
      </c>
      <c r="F92" s="7" t="str">
        <f>+_xlfn.XLOOKUP(ReservaServicio[[#This Row],[ReservaID]],Reservas[ReservaID],Reservas[[ reservaFechaFin]])</f>
        <v>2024-12-07</v>
      </c>
      <c r="G92">
        <f>+YEAR(ReservaServicio[[#This Row],[FCHiNICIO]])</f>
        <v>2024</v>
      </c>
      <c r="H92">
        <f>+YEAR(ReservaServicio[[#This Row],[FchFin]])</f>
        <v>2024</v>
      </c>
      <c r="J92">
        <v>83</v>
      </c>
      <c r="K92" t="s">
        <v>107</v>
      </c>
      <c r="L92">
        <v>1</v>
      </c>
    </row>
    <row r="93" spans="1:12" x14ac:dyDescent="0.25">
      <c r="A93">
        <v>90</v>
      </c>
      <c r="B93" t="s">
        <v>107</v>
      </c>
      <c r="C93">
        <v>1</v>
      </c>
      <c r="D93" t="str">
        <f>+"("&amp;ReservaServicio[[#This Row],[ReservaID]]&amp;",'"&amp;ReservaServicio[[#This Row],[ServicioID]]&amp;"',"&amp;ReservaServicio[[#This Row],[Cantidad]]&amp;"),"</f>
        <v>(90,'CORTE_DE_UNAS',1),</v>
      </c>
      <c r="E93" s="7" t="str">
        <f>+_xlfn.XLOOKUP(ReservaServicio[[#This Row],[ReservaID]],Reservas[ReservaID],Reservas[[ reservaFechaInicio]])</f>
        <v>2024-12-01</v>
      </c>
      <c r="F93" s="7" t="str">
        <f>+_xlfn.XLOOKUP(ReservaServicio[[#This Row],[ReservaID]],Reservas[ReservaID],Reservas[[ reservaFechaFin]])</f>
        <v>2024-12-07</v>
      </c>
      <c r="G93">
        <f>+YEAR(ReservaServicio[[#This Row],[FCHiNICIO]])</f>
        <v>2024</v>
      </c>
      <c r="H93">
        <f>+YEAR(ReservaServicio[[#This Row],[FchFin]])</f>
        <v>2024</v>
      </c>
      <c r="J93">
        <v>84</v>
      </c>
      <c r="K93" t="s">
        <v>109</v>
      </c>
      <c r="L93">
        <v>1</v>
      </c>
    </row>
    <row r="94" spans="1:12" x14ac:dyDescent="0.25">
      <c r="A94">
        <v>91</v>
      </c>
      <c r="B94" t="s">
        <v>108</v>
      </c>
      <c r="C94">
        <v>3</v>
      </c>
      <c r="D94" t="str">
        <f>+"("&amp;ReservaServicio[[#This Row],[ReservaID]]&amp;",'"&amp;ReservaServicio[[#This Row],[ServicioID]]&amp;"',"&amp;ReservaServicio[[#This Row],[Cantidad]]&amp;"),"</f>
        <v>(91,'ALIMENTACION_ESPECIAL',3),</v>
      </c>
      <c r="E94" s="7" t="str">
        <f>+_xlfn.XLOOKUP(ReservaServicio[[#This Row],[ReservaID]],Reservas[ReservaID],Reservas[[ reservaFechaInicio]])</f>
        <v>2024-12-01</v>
      </c>
      <c r="F94" s="7" t="str">
        <f>+_xlfn.XLOOKUP(ReservaServicio[[#This Row],[ReservaID]],Reservas[ReservaID],Reservas[[ reservaFechaFin]])</f>
        <v>2024-12-08</v>
      </c>
      <c r="G94">
        <f>+YEAR(ReservaServicio[[#This Row],[FCHiNICIO]])</f>
        <v>2024</v>
      </c>
      <c r="H94">
        <f>+YEAR(ReservaServicio[[#This Row],[FchFin]])</f>
        <v>2024</v>
      </c>
      <c r="J94">
        <v>85</v>
      </c>
      <c r="K94" t="s">
        <v>104</v>
      </c>
      <c r="L94">
        <v>3</v>
      </c>
    </row>
    <row r="95" spans="1:12" x14ac:dyDescent="0.25">
      <c r="J95">
        <v>109</v>
      </c>
      <c r="K95" t="s">
        <v>108</v>
      </c>
      <c r="L95">
        <v>3</v>
      </c>
    </row>
    <row r="96" spans="1:12" x14ac:dyDescent="0.25">
      <c r="J96">
        <v>110</v>
      </c>
      <c r="K96" t="s">
        <v>103</v>
      </c>
      <c r="L96">
        <v>4</v>
      </c>
    </row>
    <row r="97" spans="10:12" x14ac:dyDescent="0.25">
      <c r="J97">
        <v>111</v>
      </c>
      <c r="K97" t="s">
        <v>105</v>
      </c>
      <c r="L97">
        <v>2</v>
      </c>
    </row>
    <row r="98" spans="10:12" x14ac:dyDescent="0.25">
      <c r="J98">
        <v>112</v>
      </c>
      <c r="K98" t="s">
        <v>104</v>
      </c>
      <c r="L98">
        <v>1</v>
      </c>
    </row>
    <row r="99" spans="10:12" x14ac:dyDescent="0.25">
      <c r="J99">
        <v>113</v>
      </c>
      <c r="K99" t="s">
        <v>108</v>
      </c>
      <c r="L99">
        <v>2</v>
      </c>
    </row>
    <row r="100" spans="10:12" x14ac:dyDescent="0.25">
      <c r="J100">
        <v>114</v>
      </c>
      <c r="K100" t="s">
        <v>106</v>
      </c>
      <c r="L100">
        <v>1</v>
      </c>
    </row>
    <row r="101" spans="10:12" x14ac:dyDescent="0.25">
      <c r="J101">
        <v>115</v>
      </c>
      <c r="K101" t="s">
        <v>103</v>
      </c>
      <c r="L101">
        <v>1</v>
      </c>
    </row>
    <row r="102" spans="10:12" x14ac:dyDescent="0.25">
      <c r="J102">
        <v>116</v>
      </c>
      <c r="K102" t="s">
        <v>105</v>
      </c>
      <c r="L102">
        <v>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Propietarios</vt:lpstr>
      <vt:lpstr>Datos</vt:lpstr>
      <vt:lpstr>Gatos</vt:lpstr>
      <vt:lpstr>Habitaciones</vt:lpstr>
      <vt:lpstr>Servicios</vt:lpstr>
      <vt:lpstr>Reservas</vt:lpstr>
      <vt:lpstr>ReservaServicio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García</dc:creator>
  <cp:lastModifiedBy>Cristian García</cp:lastModifiedBy>
  <dcterms:created xsi:type="dcterms:W3CDTF">2024-09-16T22:16:55Z</dcterms:created>
  <dcterms:modified xsi:type="dcterms:W3CDTF">2024-11-25T03:05:54Z</dcterms:modified>
</cp:coreProperties>
</file>