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5.xml" ContentType="application/vnd.openxmlformats-officedocument.spreadsheetml.comments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1AE16C4-0B05-4925-B816-FFEF25283CF0}" xr6:coauthVersionLast="47" xr6:coauthVersionMax="47" xr10:uidLastSave="{00000000-0000-0000-0000-000000000000}"/>
  <bookViews>
    <workbookView xWindow="-120" yWindow="-120" windowWidth="20730" windowHeight="11040" tabRatio="857" firstSheet="9" activeTab="16" xr2:uid="{EB152AEC-6A70-417F-A0EF-B03759D65F03}"/>
  </bookViews>
  <sheets>
    <sheet name="DETALLE PRODUCTOSxPrecio (2)" sheetId="17" state="hidden" r:id="rId1"/>
    <sheet name="Recetas x Prod" sheetId="4" state="hidden" r:id="rId2"/>
    <sheet name="RECETAS" sheetId="1" state="hidden" r:id="rId3"/>
    <sheet name="PRECIO COMPR" sheetId="7" state="hidden" r:id="rId4"/>
    <sheet name="Preci Comp Prod" sheetId="6" state="hidden" r:id="rId5"/>
    <sheet name="GRUPOS SAI OPEN" sheetId="18" state="hidden" r:id="rId6"/>
    <sheet name="DETALLE PRODUCTOSxPrecio" sheetId="5" state="hidden" r:id="rId7"/>
    <sheet name="Prec Materia Prima y Empaq" sheetId="16" state="hidden" r:id="rId8"/>
    <sheet name="Gtos Varios" sheetId="9" state="hidden" r:id="rId9"/>
    <sheet name="RECETAS UNGUENTOS" sheetId="13" r:id="rId10"/>
    <sheet name="RECETAS JARABES" sheetId="11" r:id="rId11"/>
    <sheet name="RECETAS PASTILLAS" sheetId="12" r:id="rId12"/>
    <sheet name="RECETA FIBRA " sheetId="19" r:id="rId13"/>
    <sheet name="RECETAS GOTAS" sheetId="10" r:id="rId14"/>
    <sheet name="RECETAS CAPS" sheetId="8" r:id="rId15"/>
    <sheet name="RECETAS JARAB NUEVOS" sheetId="14" r:id="rId16"/>
    <sheet name="Hoja1" sheetId="15" r:id="rId17"/>
  </sheets>
  <externalReferences>
    <externalReference r:id="rId18"/>
    <externalReference r:id="rId19"/>
    <externalReference r:id="rId20"/>
    <externalReference r:id="rId21"/>
  </externalReferences>
  <definedNames>
    <definedName name="_xlnm._FilterDatabase" localSheetId="6" hidden="1">'DETALLE PRODUCTOSxPrecio'!$A$7:$AN$7</definedName>
    <definedName name="_xlnm._FilterDatabase" localSheetId="0" hidden="1">'DETALLE PRODUCTOSxPrecio (2)'!$A$7:$AH$7</definedName>
    <definedName name="_xlnm._FilterDatabase" localSheetId="7" hidden="1">'Prec Materia Prima y Empaq'!$F$125:$M$201</definedName>
    <definedName name="_xlnm._FilterDatabase" localSheetId="4" hidden="1">'Preci Comp Prod'!$C$6:$G$61</definedName>
    <definedName name="_xlnm.Print_Area" localSheetId="6">'DETALLE PRODUCTOSxPrecio'!$A$1:$AO$151</definedName>
    <definedName name="_xlnm.Print_Area" localSheetId="0">'DETALLE PRODUCTOSxPrecio (2)'!$A$1:$O$139</definedName>
    <definedName name="clientes" localSheetId="6">[1]CLIENTES!$A$1:$A$3</definedName>
    <definedName name="clientes" localSheetId="0">[1]CLIENTES!$A$1:$A$3</definedName>
    <definedName name="clientes" localSheetId="5">[2]CLIENTES!$A$1:$A$3</definedName>
    <definedName name="clientes">[3]CLIENTES!$A$1:$A$3</definedName>
    <definedName name="codigos" localSheetId="6">'DETALLE PRODUCTOSxPrecio'!$A$8:$A$99</definedName>
    <definedName name="codigos" localSheetId="0">'DETALLE PRODUCTOSxPrecio (2)'!$A$8:$A$98</definedName>
    <definedName name="codigos">#REF!</definedName>
    <definedName name="datos" localSheetId="6">'DETALLE PRODUCTOSxPrecio'!$A$7:$AJ$99</definedName>
    <definedName name="datos" localSheetId="0">'DETALLE PRODUCTOSxPrecio (2)'!$A$7:$AE$98</definedName>
    <definedName name="dat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3" i="11" l="1"/>
  <c r="C390" i="14" l="1"/>
  <c r="H18" i="16" l="1"/>
  <c r="D388" i="14" l="1"/>
  <c r="E388" i="14" s="1"/>
  <c r="I110" i="16" l="1"/>
  <c r="J110" i="16" s="1"/>
  <c r="I109" i="16"/>
  <c r="J109" i="16" s="1"/>
  <c r="I108" i="16"/>
  <c r="J108" i="16" s="1"/>
  <c r="J107" i="16"/>
  <c r="I107" i="16"/>
  <c r="I97" i="16"/>
  <c r="J97" i="16" s="1"/>
  <c r="J106" i="16"/>
  <c r="J176" i="16"/>
  <c r="I105" i="16"/>
  <c r="J105" i="16" s="1"/>
  <c r="I104" i="16"/>
  <c r="J104" i="16" s="1"/>
  <c r="J175" i="16"/>
  <c r="I103" i="16"/>
  <c r="J103" i="16" s="1"/>
  <c r="J102" i="16"/>
  <c r="H133" i="16"/>
  <c r="J101" i="16"/>
  <c r="I26" i="16"/>
  <c r="I100" i="16" l="1"/>
  <c r="J100" i="16" s="1"/>
  <c r="D7" i="19" s="1"/>
  <c r="E7" i="19" s="1"/>
  <c r="J99" i="16"/>
  <c r="I99" i="16"/>
  <c r="E9" i="19"/>
  <c r="E10" i="19"/>
  <c r="E8" i="19"/>
  <c r="E6" i="19"/>
  <c r="C14" i="19"/>
  <c r="E11" i="19"/>
  <c r="E12" i="19"/>
  <c r="D14" i="19" l="1"/>
  <c r="E14" i="19"/>
  <c r="L9" i="9" l="1"/>
  <c r="I9" i="9"/>
  <c r="F9" i="9"/>
  <c r="I12" i="9" l="1"/>
  <c r="I14" i="9" s="1"/>
  <c r="D206" i="8"/>
  <c r="F206" i="8" s="1"/>
  <c r="D205" i="8"/>
  <c r="F205" i="8" s="1"/>
  <c r="D204" i="8"/>
  <c r="E204" i="8" s="1"/>
  <c r="F204" i="8" s="1"/>
  <c r="D203" i="8"/>
  <c r="E203" i="8" s="1"/>
  <c r="F203" i="8" s="1"/>
  <c r="D202" i="8"/>
  <c r="F202" i="8" s="1"/>
  <c r="D201" i="8"/>
  <c r="E201" i="8" s="1"/>
  <c r="F201" i="8" s="1"/>
  <c r="H200" i="8"/>
  <c r="K200" i="8" s="1"/>
  <c r="D200" i="8"/>
  <c r="E200" i="8" s="1"/>
  <c r="F200" i="8" s="1"/>
  <c r="D197" i="8"/>
  <c r="C193" i="8"/>
  <c r="C192" i="8"/>
  <c r="D176" i="8"/>
  <c r="F176" i="8" s="1"/>
  <c r="D175" i="8"/>
  <c r="F175" i="8" s="1"/>
  <c r="D174" i="8"/>
  <c r="E174" i="8" s="1"/>
  <c r="F174" i="8" s="1"/>
  <c r="D173" i="8"/>
  <c r="E173" i="8" s="1"/>
  <c r="F173" i="8" s="1"/>
  <c r="D172" i="8"/>
  <c r="F172" i="8" s="1"/>
  <c r="D171" i="8"/>
  <c r="E171" i="8" s="1"/>
  <c r="F171" i="8" s="1"/>
  <c r="H170" i="8"/>
  <c r="K170" i="8" s="1"/>
  <c r="D170" i="8"/>
  <c r="E170" i="8" s="1"/>
  <c r="F170" i="8" s="1"/>
  <c r="D167" i="8"/>
  <c r="C163" i="8"/>
  <c r="T24" i="5"/>
  <c r="S24" i="5"/>
  <c r="O24" i="5"/>
  <c r="D144" i="8"/>
  <c r="F144" i="8" s="1"/>
  <c r="D143" i="8"/>
  <c r="F143" i="8" s="1"/>
  <c r="D142" i="8"/>
  <c r="E142" i="8" s="1"/>
  <c r="F142" i="8" s="1"/>
  <c r="D141" i="8"/>
  <c r="E141" i="8" s="1"/>
  <c r="F141" i="8" s="1"/>
  <c r="D140" i="8"/>
  <c r="F140" i="8" s="1"/>
  <c r="D139" i="8"/>
  <c r="E139" i="8" s="1"/>
  <c r="F139" i="8" s="1"/>
  <c r="H138" i="8"/>
  <c r="K138" i="8" s="1"/>
  <c r="D138" i="8"/>
  <c r="E138" i="8" s="1"/>
  <c r="F138" i="8" s="1"/>
  <c r="D135" i="8"/>
  <c r="C131" i="8"/>
  <c r="C130" i="8"/>
  <c r="H1388" i="11"/>
  <c r="H1387" i="11"/>
  <c r="H1386" i="11"/>
  <c r="K1377" i="11"/>
  <c r="V129" i="5"/>
  <c r="W129" i="5" s="1"/>
  <c r="S130" i="5"/>
  <c r="B2185" i="11"/>
  <c r="D2185" i="11"/>
  <c r="F2185" i="11" s="1"/>
  <c r="D2184" i="11"/>
  <c r="D2183" i="11"/>
  <c r="F2183" i="11" s="1"/>
  <c r="D2182" i="11"/>
  <c r="F2182" i="11" s="1"/>
  <c r="D2181" i="11"/>
  <c r="F2181" i="11" s="1"/>
  <c r="D2180" i="11"/>
  <c r="E2180" i="11" s="1"/>
  <c r="F2180" i="11" s="1"/>
  <c r="D2179" i="11"/>
  <c r="E2179" i="11" s="1"/>
  <c r="F2179" i="11" s="1"/>
  <c r="D2178" i="11"/>
  <c r="E2178" i="11" s="1"/>
  <c r="F2178" i="11" s="1"/>
  <c r="D2177" i="11"/>
  <c r="E2177" i="11" s="1"/>
  <c r="F2177" i="11" s="1"/>
  <c r="D2175" i="11"/>
  <c r="E2175" i="11" s="1"/>
  <c r="F2175" i="11" s="1"/>
  <c r="D2174" i="11"/>
  <c r="E2174" i="11" s="1"/>
  <c r="F2174" i="11" s="1"/>
  <c r="D2173" i="11"/>
  <c r="E2173" i="11" s="1"/>
  <c r="F2173" i="11" s="1"/>
  <c r="D2172" i="11"/>
  <c r="E2172" i="11" s="1"/>
  <c r="F2172" i="11" s="1"/>
  <c r="C2165" i="11"/>
  <c r="C2164" i="11"/>
  <c r="H2189" i="11"/>
  <c r="F2187" i="11"/>
  <c r="F2186" i="11"/>
  <c r="F2184" i="11"/>
  <c r="H2182" i="11"/>
  <c r="H2187" i="11" s="1"/>
  <c r="K2187" i="11" s="1"/>
  <c r="K2181" i="11"/>
  <c r="K2180" i="11"/>
  <c r="K2179" i="11"/>
  <c r="K2178" i="11"/>
  <c r="K2177" i="11"/>
  <c r="K2176" i="11"/>
  <c r="K2175" i="11"/>
  <c r="K2174" i="11"/>
  <c r="K2173" i="11"/>
  <c r="K2172" i="11"/>
  <c r="AA130" i="5"/>
  <c r="Q130" i="5"/>
  <c r="Z130" i="5" s="1"/>
  <c r="P130" i="5"/>
  <c r="J174" i="16"/>
  <c r="J173" i="16"/>
  <c r="J172" i="16"/>
  <c r="J171" i="16"/>
  <c r="J170" i="16"/>
  <c r="J169" i="16"/>
  <c r="J168" i="16"/>
  <c r="J166" i="16"/>
  <c r="J165" i="16"/>
  <c r="J164" i="16"/>
  <c r="J163" i="16"/>
  <c r="J162" i="16"/>
  <c r="J161" i="16"/>
  <c r="J160" i="16"/>
  <c r="J159" i="16"/>
  <c r="I158" i="16"/>
  <c r="J158" i="16" s="1"/>
  <c r="I157" i="16"/>
  <c r="J157" i="16" s="1"/>
  <c r="J156" i="16"/>
  <c r="I155" i="16"/>
  <c r="J155" i="16" s="1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D387" i="14" s="1"/>
  <c r="E387" i="14" s="1"/>
  <c r="J140" i="16"/>
  <c r="J139" i="16"/>
  <c r="J138" i="16"/>
  <c r="J137" i="16"/>
  <c r="J136" i="16"/>
  <c r="J135" i="16"/>
  <c r="J134" i="16"/>
  <c r="I133" i="16"/>
  <c r="J133" i="16" s="1"/>
  <c r="J132" i="16"/>
  <c r="J131" i="16"/>
  <c r="J130" i="16"/>
  <c r="J129" i="16"/>
  <c r="J126" i="16"/>
  <c r="G1983" i="11" l="1"/>
  <c r="E391" i="14"/>
  <c r="E393" i="14" s="1"/>
  <c r="AK59" i="10"/>
  <c r="AH53" i="8"/>
  <c r="D2299" i="11"/>
  <c r="D2154" i="11"/>
  <c r="D2017" i="11"/>
  <c r="D1853" i="11"/>
  <c r="D1716" i="11"/>
  <c r="D1580" i="11"/>
  <c r="O23" i="13"/>
  <c r="AV53" i="8"/>
  <c r="BX21" i="8"/>
  <c r="D2189" i="11"/>
  <c r="F2189" i="11" s="1"/>
  <c r="G2189" i="11" s="1"/>
  <c r="D1888" i="11"/>
  <c r="D1614" i="11"/>
  <c r="BJ53" i="8"/>
  <c r="AH21" i="8"/>
  <c r="D2265" i="11"/>
  <c r="D2121" i="11"/>
  <c r="D1954" i="11"/>
  <c r="D1817" i="11"/>
  <c r="D1681" i="11"/>
  <c r="D1548" i="11"/>
  <c r="D23" i="13"/>
  <c r="BX53" i="8"/>
  <c r="D2232" i="11"/>
  <c r="D2088" i="11"/>
  <c r="D1923" i="11"/>
  <c r="D1785" i="11"/>
  <c r="D1645" i="11"/>
  <c r="D1514" i="11"/>
  <c r="AH85" i="8"/>
  <c r="D2054" i="11"/>
  <c r="D1752" i="11"/>
  <c r="D1481" i="11"/>
  <c r="AV21" i="8"/>
  <c r="D268" i="14"/>
  <c r="D137" i="14"/>
  <c r="F29" i="14"/>
  <c r="F209" i="8"/>
  <c r="F85" i="8"/>
  <c r="V26" i="10"/>
  <c r="G184" i="10"/>
  <c r="G59" i="10"/>
  <c r="O17" i="12"/>
  <c r="D17" i="12"/>
  <c r="D1329" i="11"/>
  <c r="D1197" i="11"/>
  <c r="D1056" i="11"/>
  <c r="D204" i="14"/>
  <c r="T53" i="8"/>
  <c r="F21" i="8"/>
  <c r="G245" i="10"/>
  <c r="Z17" i="12"/>
  <c r="D1390" i="11"/>
  <c r="D1265" i="11"/>
  <c r="D304" i="14"/>
  <c r="D29" i="14"/>
  <c r="F116" i="8"/>
  <c r="G215" i="10"/>
  <c r="O44" i="12"/>
  <c r="D1358" i="11"/>
  <c r="D1089" i="11"/>
  <c r="E15" i="19"/>
  <c r="E16" i="19" s="1"/>
  <c r="D367" i="14"/>
  <c r="D239" i="14"/>
  <c r="D103" i="14"/>
  <c r="T85" i="8"/>
  <c r="F179" i="8"/>
  <c r="F53" i="8"/>
  <c r="G274" i="10"/>
  <c r="G153" i="10"/>
  <c r="G26" i="10"/>
  <c r="D97" i="12"/>
  <c r="D1416" i="11"/>
  <c r="D1297" i="11"/>
  <c r="D1158" i="11"/>
  <c r="D1026" i="11"/>
  <c r="D336" i="14"/>
  <c r="D65" i="14"/>
  <c r="F147" i="8"/>
  <c r="G122" i="10"/>
  <c r="D71" i="12"/>
  <c r="D1124" i="11"/>
  <c r="D169" i="14"/>
  <c r="T21" i="8"/>
  <c r="V59" i="10"/>
  <c r="G94" i="10"/>
  <c r="D46" i="12"/>
  <c r="D1229" i="11"/>
  <c r="D665" i="11"/>
  <c r="D530" i="11"/>
  <c r="D397" i="11"/>
  <c r="D265" i="11"/>
  <c r="D133" i="11"/>
  <c r="G33" i="11"/>
  <c r="D630" i="11"/>
  <c r="D496" i="11"/>
  <c r="D365" i="11"/>
  <c r="D233" i="11"/>
  <c r="D99" i="11"/>
  <c r="D995" i="11"/>
  <c r="D596" i="11"/>
  <c r="D461" i="11"/>
  <c r="D328" i="11"/>
  <c r="D201" i="11"/>
  <c r="D69" i="11"/>
  <c r="D965" i="11"/>
  <c r="D563" i="11"/>
  <c r="D427" i="11"/>
  <c r="D296" i="11"/>
  <c r="D168" i="11"/>
  <c r="D34" i="11"/>
  <c r="BY21" i="8"/>
  <c r="U21" i="8"/>
  <c r="BK21" i="8"/>
  <c r="K59" i="10"/>
  <c r="BJ21" i="8"/>
  <c r="L2181" i="11"/>
  <c r="L203" i="8"/>
  <c r="G203" i="8"/>
  <c r="L206" i="8"/>
  <c r="G206" i="8"/>
  <c r="L201" i="8"/>
  <c r="G201" i="8"/>
  <c r="L202" i="8"/>
  <c r="G202" i="8"/>
  <c r="L204" i="8"/>
  <c r="G204" i="8"/>
  <c r="G205" i="8"/>
  <c r="L205" i="8"/>
  <c r="L200" i="8"/>
  <c r="G200" i="8"/>
  <c r="L172" i="8"/>
  <c r="G172" i="8"/>
  <c r="G174" i="8"/>
  <c r="L174" i="8"/>
  <c r="L175" i="8"/>
  <c r="G175" i="8"/>
  <c r="G170" i="8"/>
  <c r="L170" i="8"/>
  <c r="G176" i="8"/>
  <c r="L176" i="8"/>
  <c r="L171" i="8"/>
  <c r="G171" i="8"/>
  <c r="L173" i="8"/>
  <c r="G173" i="8"/>
  <c r="G139" i="8"/>
  <c r="L139" i="8"/>
  <c r="L141" i="8"/>
  <c r="G141" i="8"/>
  <c r="L142" i="8"/>
  <c r="G142" i="8"/>
  <c r="L143" i="8"/>
  <c r="G143" i="8"/>
  <c r="L144" i="8"/>
  <c r="G144" i="8"/>
  <c r="L140" i="8"/>
  <c r="G140" i="8"/>
  <c r="L138" i="8"/>
  <c r="G138" i="8"/>
  <c r="AD130" i="5"/>
  <c r="AE130" i="5" s="1"/>
  <c r="G2173" i="11"/>
  <c r="L2173" i="11"/>
  <c r="L2172" i="11"/>
  <c r="G2172" i="11"/>
  <c r="G2175" i="11"/>
  <c r="L2175" i="11"/>
  <c r="L2180" i="11"/>
  <c r="G2180" i="11"/>
  <c r="G2182" i="11"/>
  <c r="G2187" i="11"/>
  <c r="L2178" i="11"/>
  <c r="G2178" i="11"/>
  <c r="L2174" i="11"/>
  <c r="G2174" i="11"/>
  <c r="G2177" i="11"/>
  <c r="L2177" i="11"/>
  <c r="G2179" i="11"/>
  <c r="L2179" i="11"/>
  <c r="L2185" i="11"/>
  <c r="G2185" i="11"/>
  <c r="H2184" i="11"/>
  <c r="K2184" i="11" s="1"/>
  <c r="L2184" i="11" s="1"/>
  <c r="G2181" i="11"/>
  <c r="K2182" i="11"/>
  <c r="L2182" i="11" s="1"/>
  <c r="L2187" i="11"/>
  <c r="H2183" i="11"/>
  <c r="K2183" i="11" s="1"/>
  <c r="L2183" i="11" s="1"/>
  <c r="H2186" i="11"/>
  <c r="K2186" i="11" s="1"/>
  <c r="L2186" i="11" s="1"/>
  <c r="F6" i="19" l="1"/>
  <c r="E17" i="19"/>
  <c r="G177" i="8"/>
  <c r="G207" i="8"/>
  <c r="L207" i="8"/>
  <c r="L177" i="8"/>
  <c r="G145" i="8"/>
  <c r="L145" i="8"/>
  <c r="G2186" i="11"/>
  <c r="G2183" i="11"/>
  <c r="G2184" i="11"/>
  <c r="H1409" i="11" l="1"/>
  <c r="K1409" i="11" s="1"/>
  <c r="H1412" i="11"/>
  <c r="H1414" i="11" s="1"/>
  <c r="K1414" i="11" s="1"/>
  <c r="H1416" i="11"/>
  <c r="D1414" i="11"/>
  <c r="F1414" i="11" s="1"/>
  <c r="D1413" i="11"/>
  <c r="F1413" i="11" s="1"/>
  <c r="D1412" i="11"/>
  <c r="F1412" i="11" s="1"/>
  <c r="K1411" i="11"/>
  <c r="E1411" i="11"/>
  <c r="F1411" i="11" s="1"/>
  <c r="K1410" i="11"/>
  <c r="E1410" i="11"/>
  <c r="F1410" i="11" s="1"/>
  <c r="E1409" i="11"/>
  <c r="F1409" i="11" s="1"/>
  <c r="C1402" i="11"/>
  <c r="C1401" i="11"/>
  <c r="E271" i="10"/>
  <c r="G271" i="10" s="1"/>
  <c r="E270" i="10"/>
  <c r="G270" i="10" s="1"/>
  <c r="E269" i="10"/>
  <c r="G269" i="10" s="1"/>
  <c r="G268" i="10"/>
  <c r="E267" i="10"/>
  <c r="K267" i="10" s="1"/>
  <c r="F266" i="10"/>
  <c r="G266" i="10" s="1"/>
  <c r="K263" i="10"/>
  <c r="L262" i="10"/>
  <c r="E262" i="10"/>
  <c r="F262" i="10" s="1"/>
  <c r="G262" i="10" s="1"/>
  <c r="L261" i="10"/>
  <c r="E261" i="10"/>
  <c r="F261" i="10" s="1"/>
  <c r="G261" i="10" s="1"/>
  <c r="D256" i="10"/>
  <c r="D254" i="10"/>
  <c r="D253" i="10"/>
  <c r="S44" i="5"/>
  <c r="E242" i="10"/>
  <c r="G242" i="10" s="1"/>
  <c r="E241" i="10"/>
  <c r="G241" i="10" s="1"/>
  <c r="E240" i="10"/>
  <c r="G240" i="10" s="1"/>
  <c r="G239" i="10"/>
  <c r="E238" i="10"/>
  <c r="K238" i="10" s="1"/>
  <c r="F237" i="10"/>
  <c r="G237" i="10" s="1"/>
  <c r="K234" i="10"/>
  <c r="L233" i="10"/>
  <c r="E233" i="10"/>
  <c r="F233" i="10" s="1"/>
  <c r="G233" i="10" s="1"/>
  <c r="L232" i="10"/>
  <c r="E232" i="10"/>
  <c r="F232" i="10" s="1"/>
  <c r="G232" i="10" s="1"/>
  <c r="D227" i="10"/>
  <c r="D225" i="10"/>
  <c r="D224" i="10"/>
  <c r="K269" i="10" l="1"/>
  <c r="K271" i="10"/>
  <c r="K242" i="10"/>
  <c r="K270" i="10"/>
  <c r="K240" i="10"/>
  <c r="K241" i="10"/>
  <c r="K1412" i="11"/>
  <c r="L1412" i="11" s="1"/>
  <c r="H1413" i="11"/>
  <c r="K1413" i="11" s="1"/>
  <c r="L1413" i="11" s="1"/>
  <c r="L1409" i="11"/>
  <c r="G1409" i="11"/>
  <c r="F1419" i="11"/>
  <c r="L1411" i="11"/>
  <c r="G1411" i="11"/>
  <c r="G1412" i="11"/>
  <c r="G1410" i="11"/>
  <c r="L1410" i="11"/>
  <c r="G1414" i="11"/>
  <c r="L1414" i="11"/>
  <c r="K262" i="10"/>
  <c r="H262" i="10"/>
  <c r="K261" i="10"/>
  <c r="H261" i="10"/>
  <c r="G267" i="10"/>
  <c r="K232" i="10"/>
  <c r="H232" i="10"/>
  <c r="K233" i="10"/>
  <c r="H233" i="10"/>
  <c r="G238" i="10"/>
  <c r="I37" i="16"/>
  <c r="J37" i="16" s="1"/>
  <c r="I56" i="16"/>
  <c r="J56" i="16" s="1"/>
  <c r="D2228" i="11"/>
  <c r="D2150" i="11"/>
  <c r="D2117" i="11"/>
  <c r="D1813" i="11"/>
  <c r="D1781" i="11"/>
  <c r="D1748" i="11"/>
  <c r="D1544" i="11"/>
  <c r="D1194" i="11"/>
  <c r="D1120" i="11"/>
  <c r="D1053" i="11"/>
  <c r="D1022" i="11"/>
  <c r="D961" i="11"/>
  <c r="D927" i="11"/>
  <c r="D893" i="11"/>
  <c r="D823" i="11"/>
  <c r="D791" i="11"/>
  <c r="D559" i="11"/>
  <c r="D262" i="11"/>
  <c r="D198" i="11"/>
  <c r="D30" i="11"/>
  <c r="S81" i="5"/>
  <c r="O17" i="13"/>
  <c r="D17" i="14"/>
  <c r="E17" i="14" s="1"/>
  <c r="F17" i="14" s="1"/>
  <c r="D2290" i="11"/>
  <c r="S85" i="5"/>
  <c r="E212" i="10"/>
  <c r="G212" i="10" s="1"/>
  <c r="E211" i="10"/>
  <c r="G211" i="10" s="1"/>
  <c r="E210" i="10"/>
  <c r="G209" i="10"/>
  <c r="E208" i="10"/>
  <c r="K208" i="10" s="1"/>
  <c r="F207" i="10"/>
  <c r="G207" i="10" s="1"/>
  <c r="K204" i="10"/>
  <c r="L203" i="10"/>
  <c r="E203" i="10"/>
  <c r="F203" i="10" s="1"/>
  <c r="G203" i="10" s="1"/>
  <c r="L202" i="10"/>
  <c r="E202" i="10"/>
  <c r="F202" i="10" s="1"/>
  <c r="G202" i="10" s="1"/>
  <c r="D197" i="10"/>
  <c r="D195" i="10"/>
  <c r="D194" i="10"/>
  <c r="S25" i="5"/>
  <c r="E177" i="10"/>
  <c r="K177" i="10" s="1"/>
  <c r="E146" i="10"/>
  <c r="E115" i="10"/>
  <c r="E181" i="10"/>
  <c r="G181" i="10" s="1"/>
  <c r="E180" i="10"/>
  <c r="G180" i="10" s="1"/>
  <c r="E179" i="10"/>
  <c r="G179" i="10" s="1"/>
  <c r="G178" i="10"/>
  <c r="F176" i="10"/>
  <c r="G176" i="10" s="1"/>
  <c r="K173" i="10"/>
  <c r="L172" i="10"/>
  <c r="E172" i="10"/>
  <c r="F172" i="10" s="1"/>
  <c r="G172" i="10" s="1"/>
  <c r="L171" i="10"/>
  <c r="E171" i="10"/>
  <c r="F171" i="10" s="1"/>
  <c r="G171" i="10" s="1"/>
  <c r="K171" i="10" s="1"/>
  <c r="D166" i="10"/>
  <c r="D164" i="10"/>
  <c r="D163" i="10"/>
  <c r="L141" i="10"/>
  <c r="K142" i="10"/>
  <c r="BS16" i="10"/>
  <c r="L113" i="10"/>
  <c r="L112" i="10"/>
  <c r="L140" i="10"/>
  <c r="E114" i="10"/>
  <c r="E113" i="10"/>
  <c r="I57" i="16"/>
  <c r="J57" i="16" s="1"/>
  <c r="I51" i="16"/>
  <c r="J51" i="16" s="1"/>
  <c r="I46" i="16"/>
  <c r="J46" i="16" s="1"/>
  <c r="I45" i="16"/>
  <c r="J45" i="16" s="1"/>
  <c r="I42" i="16"/>
  <c r="J42" i="16" s="1"/>
  <c r="S133" i="17"/>
  <c r="S132" i="17"/>
  <c r="S131" i="17"/>
  <c r="S130" i="17"/>
  <c r="S129" i="17"/>
  <c r="S128" i="17"/>
  <c r="N127" i="17"/>
  <c r="N126" i="17"/>
  <c r="N125" i="17"/>
  <c r="N124" i="17"/>
  <c r="N123" i="17"/>
  <c r="N122" i="17"/>
  <c r="S121" i="17"/>
  <c r="S120" i="17"/>
  <c r="N119" i="17"/>
  <c r="S118" i="17"/>
  <c r="N117" i="17"/>
  <c r="N116" i="17"/>
  <c r="N115" i="17"/>
  <c r="N114" i="17"/>
  <c r="N113" i="17"/>
  <c r="N112" i="17"/>
  <c r="N111" i="17"/>
  <c r="N110" i="17"/>
  <c r="N109" i="17"/>
  <c r="N108" i="17"/>
  <c r="N107" i="17"/>
  <c r="N106" i="17"/>
  <c r="N105" i="17"/>
  <c r="N104" i="17"/>
  <c r="N103" i="17"/>
  <c r="N102" i="17"/>
  <c r="N101" i="17"/>
  <c r="N100" i="17"/>
  <c r="N99" i="17"/>
  <c r="N98" i="17"/>
  <c r="N97" i="17"/>
  <c r="N96" i="17"/>
  <c r="N95" i="17"/>
  <c r="N94" i="17"/>
  <c r="N93" i="17"/>
  <c r="N92" i="17"/>
  <c r="N91" i="17"/>
  <c r="N90" i="17"/>
  <c r="N89" i="17"/>
  <c r="N88" i="17"/>
  <c r="N87" i="17"/>
  <c r="N86" i="17"/>
  <c r="N85" i="17"/>
  <c r="N84" i="17"/>
  <c r="N83" i="17"/>
  <c r="N82" i="17"/>
  <c r="N81" i="17"/>
  <c r="Y80" i="17"/>
  <c r="Z80" i="17" s="1"/>
  <c r="W80" i="17"/>
  <c r="U80" i="17"/>
  <c r="V80" i="17" s="1"/>
  <c r="Q80" i="17"/>
  <c r="R80" i="17" s="1"/>
  <c r="N79" i="17"/>
  <c r="N78" i="17"/>
  <c r="N77" i="17"/>
  <c r="N76" i="17"/>
  <c r="N75" i="17"/>
  <c r="N74" i="17"/>
  <c r="N73" i="17"/>
  <c r="N72" i="17"/>
  <c r="N71" i="17"/>
  <c r="N70" i="17"/>
  <c r="N69" i="17"/>
  <c r="N68" i="17"/>
  <c r="N67" i="17"/>
  <c r="N66" i="17"/>
  <c r="N65" i="17"/>
  <c r="N64" i="17"/>
  <c r="N63" i="17"/>
  <c r="W62" i="17"/>
  <c r="U62" i="17"/>
  <c r="V62" i="17" s="1"/>
  <c r="Q62" i="17"/>
  <c r="R62" i="17" s="1"/>
  <c r="N61" i="17"/>
  <c r="N60" i="17"/>
  <c r="N59" i="17"/>
  <c r="N58" i="17"/>
  <c r="W57" i="17"/>
  <c r="U57" i="17"/>
  <c r="V57" i="17" s="1"/>
  <c r="Q57" i="17"/>
  <c r="R57" i="17" s="1"/>
  <c r="N56" i="17"/>
  <c r="N55" i="17"/>
  <c r="N54" i="17"/>
  <c r="N53" i="17"/>
  <c r="N52" i="17"/>
  <c r="N51" i="17"/>
  <c r="N50" i="17"/>
  <c r="N49" i="17"/>
  <c r="N48" i="17"/>
  <c r="N47" i="17"/>
  <c r="N46" i="17"/>
  <c r="U45" i="17"/>
  <c r="V45" i="17" s="1"/>
  <c r="Q45" i="17"/>
  <c r="R45" i="17" s="1"/>
  <c r="N45" i="17"/>
  <c r="N44" i="17"/>
  <c r="W43" i="17"/>
  <c r="N42" i="17"/>
  <c r="N41" i="17"/>
  <c r="N40" i="17"/>
  <c r="N39" i="17"/>
  <c r="N38" i="17"/>
  <c r="N37" i="17"/>
  <c r="N36" i="17"/>
  <c r="N35" i="17"/>
  <c r="N34" i="17"/>
  <c r="N33" i="17"/>
  <c r="N32" i="17"/>
  <c r="N31" i="17"/>
  <c r="N30" i="17"/>
  <c r="N29" i="17"/>
  <c r="N28" i="17"/>
  <c r="N27" i="17"/>
  <c r="N26" i="17"/>
  <c r="N25" i="17"/>
  <c r="W24" i="17"/>
  <c r="U24" i="17"/>
  <c r="V24" i="17" s="1"/>
  <c r="Q24" i="17"/>
  <c r="R24" i="17" s="1"/>
  <c r="U23" i="17"/>
  <c r="V23" i="17" s="1"/>
  <c r="Q23" i="17"/>
  <c r="R23" i="17" s="1"/>
  <c r="N23" i="17"/>
  <c r="N22" i="17"/>
  <c r="N21" i="17"/>
  <c r="N20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E141" i="10"/>
  <c r="F141" i="10" s="1"/>
  <c r="E140" i="10"/>
  <c r="S80" i="5"/>
  <c r="AD17" i="12"/>
  <c r="Z15" i="12"/>
  <c r="AB15" i="12" s="1"/>
  <c r="AC15" i="12" s="1"/>
  <c r="X15" i="12"/>
  <c r="Z14" i="12"/>
  <c r="AB14" i="12" s="1"/>
  <c r="AC14" i="12" s="1"/>
  <c r="Z13" i="12"/>
  <c r="AB13" i="12" s="1"/>
  <c r="Z6" i="12"/>
  <c r="Z5" i="12"/>
  <c r="V12" i="8"/>
  <c r="Y12" i="8" s="1"/>
  <c r="S93" i="5"/>
  <c r="V63" i="5"/>
  <c r="W63" i="5" s="1"/>
  <c r="V58" i="5"/>
  <c r="W58" i="5" s="1"/>
  <c r="S118" i="5"/>
  <c r="D159" i="14"/>
  <c r="D92" i="14"/>
  <c r="D1320" i="11"/>
  <c r="E1320" i="11" s="1"/>
  <c r="F1320" i="11" s="1"/>
  <c r="G1320" i="11" s="1"/>
  <c r="I54" i="16"/>
  <c r="J54" i="16" s="1"/>
  <c r="I61" i="16"/>
  <c r="J61" i="16" s="1"/>
  <c r="Z58" i="5"/>
  <c r="AA58" i="5" s="1"/>
  <c r="AB58" i="5"/>
  <c r="Z63" i="5"/>
  <c r="AA63" i="5" s="1"/>
  <c r="AB63" i="5"/>
  <c r="X122" i="5"/>
  <c r="X121" i="5"/>
  <c r="X119" i="5"/>
  <c r="K179" i="10" l="1"/>
  <c r="K212" i="10"/>
  <c r="K210" i="10"/>
  <c r="G210" i="10"/>
  <c r="K180" i="10"/>
  <c r="K211" i="10"/>
  <c r="K243" i="10"/>
  <c r="O44" i="5" s="1"/>
  <c r="K181" i="10"/>
  <c r="K272" i="10"/>
  <c r="G1413" i="11"/>
  <c r="G1415" i="11" s="1"/>
  <c r="G1419" i="11" s="1"/>
  <c r="L1415" i="11"/>
  <c r="K203" i="10"/>
  <c r="H203" i="10"/>
  <c r="K202" i="10"/>
  <c r="H202" i="10"/>
  <c r="G208" i="10"/>
  <c r="K172" i="10"/>
  <c r="H172" i="10"/>
  <c r="H171" i="10"/>
  <c r="G177" i="10"/>
  <c r="AC13" i="12"/>
  <c r="AC16" i="12" s="1"/>
  <c r="AB20" i="12"/>
  <c r="D18" i="14"/>
  <c r="D2226" i="11"/>
  <c r="D2115" i="11"/>
  <c r="D2086" i="11"/>
  <c r="F2086" i="11" s="1"/>
  <c r="D2085" i="11"/>
  <c r="D2077" i="11"/>
  <c r="D1388" i="11"/>
  <c r="H30" i="16"/>
  <c r="J30" i="16" s="1"/>
  <c r="J8" i="16"/>
  <c r="D1050" i="11"/>
  <c r="K582" i="11"/>
  <c r="K583" i="11"/>
  <c r="K584" i="11"/>
  <c r="K585" i="11"/>
  <c r="K586" i="11"/>
  <c r="K587" i="11"/>
  <c r="K588" i="11"/>
  <c r="H526" i="11"/>
  <c r="K526" i="11" s="1"/>
  <c r="H294" i="11"/>
  <c r="H293" i="11"/>
  <c r="H292" i="11"/>
  <c r="F8" i="8"/>
  <c r="D9" i="8"/>
  <c r="H12" i="8"/>
  <c r="K12" i="8" s="1"/>
  <c r="O6" i="13"/>
  <c r="D6" i="13"/>
  <c r="D20" i="13"/>
  <c r="D19" i="13"/>
  <c r="D17" i="13"/>
  <c r="D16" i="13"/>
  <c r="D15" i="13"/>
  <c r="D14" i="13"/>
  <c r="D13" i="13"/>
  <c r="E13" i="13" s="1"/>
  <c r="K182" i="10" l="1"/>
  <c r="G1420" i="11"/>
  <c r="G1421" i="11" s="1"/>
  <c r="K213" i="10"/>
  <c r="O25" i="5"/>
  <c r="J79" i="17"/>
  <c r="O80" i="5"/>
  <c r="S31" i="5"/>
  <c r="S92" i="5"/>
  <c r="O5" i="12"/>
  <c r="S44" i="12"/>
  <c r="O42" i="12"/>
  <c r="Q42" i="12" s="1"/>
  <c r="R42" i="12" s="1"/>
  <c r="M42" i="12"/>
  <c r="O41" i="12"/>
  <c r="Q41" i="12" s="1"/>
  <c r="R41" i="12" s="1"/>
  <c r="O40" i="12"/>
  <c r="Q40" i="12" s="1"/>
  <c r="O33" i="12"/>
  <c r="O32" i="12"/>
  <c r="G334" i="14"/>
  <c r="S127" i="5"/>
  <c r="G302" i="14"/>
  <c r="G301" i="14"/>
  <c r="D250" i="14"/>
  <c r="D249" i="14"/>
  <c r="S120" i="5"/>
  <c r="T196" i="14"/>
  <c r="U196" i="14" s="1"/>
  <c r="P196" i="14"/>
  <c r="R196" i="14" s="1"/>
  <c r="S196" i="14" s="1"/>
  <c r="K196" i="14"/>
  <c r="D196" i="14"/>
  <c r="F196" i="14" s="1"/>
  <c r="T161" i="14"/>
  <c r="U161" i="14" s="1"/>
  <c r="P161" i="14"/>
  <c r="R161" i="14" s="1"/>
  <c r="S161" i="14" s="1"/>
  <c r="K161" i="14"/>
  <c r="D161" i="14"/>
  <c r="F161" i="14" s="1"/>
  <c r="T231" i="14"/>
  <c r="U231" i="14" s="1"/>
  <c r="P231" i="14"/>
  <c r="R231" i="14" s="1"/>
  <c r="S231" i="14" s="1"/>
  <c r="K231" i="14"/>
  <c r="D231" i="14"/>
  <c r="F231" i="14" s="1"/>
  <c r="S117" i="5"/>
  <c r="T128" i="14"/>
  <c r="U128" i="14" s="1"/>
  <c r="P128" i="14"/>
  <c r="R128" i="14" s="1"/>
  <c r="S128" i="14" s="1"/>
  <c r="K128" i="14"/>
  <c r="D128" i="14"/>
  <c r="F128" i="14" s="1"/>
  <c r="S115" i="5"/>
  <c r="T95" i="14"/>
  <c r="U95" i="14" s="1"/>
  <c r="P95" i="14"/>
  <c r="R95" i="14" s="1"/>
  <c r="S95" i="14" s="1"/>
  <c r="K95" i="14"/>
  <c r="D95" i="14"/>
  <c r="F95" i="14" s="1"/>
  <c r="S116" i="5"/>
  <c r="T57" i="14"/>
  <c r="U57" i="14" s="1"/>
  <c r="P57" i="14"/>
  <c r="R57" i="14" s="1"/>
  <c r="S57" i="14" s="1"/>
  <c r="K57" i="14"/>
  <c r="D57" i="14"/>
  <c r="F57" i="14" s="1"/>
  <c r="K14" i="14"/>
  <c r="K15" i="14"/>
  <c r="K16" i="14"/>
  <c r="K17" i="14"/>
  <c r="K18" i="14"/>
  <c r="K19" i="14"/>
  <c r="K20" i="14"/>
  <c r="K21" i="14"/>
  <c r="K13" i="14"/>
  <c r="T21" i="14"/>
  <c r="U21" i="14" s="1"/>
  <c r="P21" i="14"/>
  <c r="R21" i="14" s="1"/>
  <c r="S21" i="14" s="1"/>
  <c r="D21" i="14"/>
  <c r="F21" i="14" s="1"/>
  <c r="S114" i="5"/>
  <c r="K2293" i="11"/>
  <c r="D2293" i="11"/>
  <c r="F2293" i="11" s="1"/>
  <c r="K2257" i="11"/>
  <c r="D2257" i="11"/>
  <c r="F2257" i="11" s="1"/>
  <c r="G2257" i="11" s="1"/>
  <c r="K2217" i="11"/>
  <c r="K2218" i="11"/>
  <c r="K2219" i="11"/>
  <c r="K2220" i="11"/>
  <c r="K2221" i="11"/>
  <c r="K2222" i="11"/>
  <c r="K2223" i="11"/>
  <c r="K2224" i="11"/>
  <c r="K2225" i="11"/>
  <c r="D2225" i="11"/>
  <c r="F2225" i="11" s="1"/>
  <c r="K2147" i="11"/>
  <c r="D2147" i="11"/>
  <c r="F2147" i="11" s="1"/>
  <c r="K2114" i="11"/>
  <c r="D2114" i="11"/>
  <c r="F2114" i="11" s="1"/>
  <c r="H2083" i="11"/>
  <c r="K2082" i="11"/>
  <c r="D2082" i="11"/>
  <c r="F2082" i="11" s="1"/>
  <c r="K2046" i="11"/>
  <c r="D2046" i="11"/>
  <c r="F2046" i="11" s="1"/>
  <c r="K2009" i="11"/>
  <c r="D2009" i="11"/>
  <c r="F2009" i="11" s="1"/>
  <c r="K1973" i="11"/>
  <c r="K1978" i="11"/>
  <c r="D1978" i="11"/>
  <c r="F1978" i="11" s="1"/>
  <c r="G1978" i="11" s="1"/>
  <c r="K1942" i="11"/>
  <c r="K1943" i="11"/>
  <c r="K1944" i="11"/>
  <c r="K1945" i="11"/>
  <c r="K1946" i="11"/>
  <c r="K1947" i="11"/>
  <c r="K1948" i="11"/>
  <c r="K1949" i="11"/>
  <c r="D1949" i="11"/>
  <c r="F1949" i="11" s="1"/>
  <c r="K1907" i="11"/>
  <c r="K1908" i="11"/>
  <c r="K1909" i="11"/>
  <c r="K1910" i="11"/>
  <c r="K1911" i="11"/>
  <c r="K1912" i="11"/>
  <c r="K1913" i="11"/>
  <c r="K1914" i="11"/>
  <c r="K1915" i="11"/>
  <c r="K1906" i="11"/>
  <c r="D1915" i="11"/>
  <c r="F1915" i="11" s="1"/>
  <c r="K1872" i="11"/>
  <c r="K1873" i="11"/>
  <c r="K1874" i="11"/>
  <c r="K1875" i="11"/>
  <c r="K1876" i="11"/>
  <c r="K1877" i="11"/>
  <c r="K1878" i="11"/>
  <c r="K1879" i="11"/>
  <c r="K1880" i="11"/>
  <c r="K1871" i="11"/>
  <c r="D1880" i="11"/>
  <c r="F1880" i="11" s="1"/>
  <c r="K1845" i="11"/>
  <c r="D1845" i="11"/>
  <c r="F1845" i="11" s="1"/>
  <c r="K1810" i="11"/>
  <c r="D1810" i="11"/>
  <c r="F1810" i="11" s="1"/>
  <c r="K1777" i="11"/>
  <c r="D1777" i="11"/>
  <c r="F1777" i="11" s="1"/>
  <c r="G1747" i="11"/>
  <c r="K1744" i="11"/>
  <c r="D1744" i="11"/>
  <c r="F1744" i="11" s="1"/>
  <c r="K1708" i="11"/>
  <c r="D1708" i="11"/>
  <c r="F1708" i="11" s="1"/>
  <c r="K1673" i="11"/>
  <c r="D1673" i="11"/>
  <c r="F1673" i="11" s="1"/>
  <c r="K1640" i="11"/>
  <c r="D1640" i="11"/>
  <c r="F1640" i="11" s="1"/>
  <c r="K1606" i="11"/>
  <c r="D1606" i="11"/>
  <c r="F1606" i="11" s="1"/>
  <c r="K1575" i="11"/>
  <c r="D1575" i="11"/>
  <c r="F1575" i="11" s="1"/>
  <c r="K1540" i="11"/>
  <c r="D1540" i="11"/>
  <c r="F1540" i="11" s="1"/>
  <c r="K1506" i="11"/>
  <c r="D1506" i="11"/>
  <c r="F1506" i="11" s="1"/>
  <c r="K1472" i="11"/>
  <c r="K1378" i="11"/>
  <c r="K1379" i="11"/>
  <c r="K1380" i="11"/>
  <c r="K1381" i="11"/>
  <c r="K1382" i="11"/>
  <c r="K1383" i="11"/>
  <c r="K1384" i="11"/>
  <c r="K1385" i="11"/>
  <c r="D1385" i="11"/>
  <c r="F1385" i="11" s="1"/>
  <c r="G1385" i="11" s="1"/>
  <c r="K1354" i="11"/>
  <c r="D1354" i="11"/>
  <c r="F1354" i="11" s="1"/>
  <c r="K1323" i="11"/>
  <c r="D1323" i="11"/>
  <c r="F1323" i="11" s="1"/>
  <c r="K1291" i="11"/>
  <c r="D1291" i="11"/>
  <c r="F1291" i="11" s="1"/>
  <c r="K1257" i="11"/>
  <c r="D1257" i="11"/>
  <c r="F1257" i="11" s="1"/>
  <c r="K1221" i="11"/>
  <c r="D1221" i="11"/>
  <c r="F1221" i="11" s="1"/>
  <c r="K1190" i="11"/>
  <c r="D1190" i="11"/>
  <c r="F1190" i="11" s="1"/>
  <c r="K1150" i="11"/>
  <c r="D1150" i="11"/>
  <c r="F1150" i="11" s="1"/>
  <c r="K846" i="11"/>
  <c r="K847" i="11"/>
  <c r="K848" i="11"/>
  <c r="K849" i="11"/>
  <c r="K850" i="11"/>
  <c r="K851" i="11"/>
  <c r="K852" i="11"/>
  <c r="K853" i="11"/>
  <c r="K854" i="11"/>
  <c r="K1117" i="11"/>
  <c r="D1117" i="11"/>
  <c r="F1117" i="11" s="1"/>
  <c r="K1075" i="11"/>
  <c r="K1076" i="11"/>
  <c r="K1077" i="11"/>
  <c r="K1078" i="11"/>
  <c r="K1079" i="11"/>
  <c r="K1080" i="11"/>
  <c r="K1081" i="11"/>
  <c r="K1074" i="11"/>
  <c r="D1081" i="11"/>
  <c r="F1081" i="11" s="1"/>
  <c r="K1019" i="11"/>
  <c r="D1019" i="11"/>
  <c r="F1019" i="11" s="1"/>
  <c r="K984" i="11"/>
  <c r="K985" i="11"/>
  <c r="K986" i="11"/>
  <c r="K987" i="11"/>
  <c r="K988" i="11"/>
  <c r="K989" i="11"/>
  <c r="K990" i="11"/>
  <c r="K983" i="11"/>
  <c r="D990" i="11"/>
  <c r="F990" i="11" s="1"/>
  <c r="K958" i="11"/>
  <c r="D958" i="11"/>
  <c r="F958" i="11" s="1"/>
  <c r="K924" i="11"/>
  <c r="D924" i="11"/>
  <c r="F924" i="11" s="1"/>
  <c r="K889" i="11"/>
  <c r="D889" i="11"/>
  <c r="F889" i="11" s="1"/>
  <c r="D854" i="11"/>
  <c r="F854" i="11" s="1"/>
  <c r="K820" i="11"/>
  <c r="D820" i="11"/>
  <c r="F820" i="11" s="1"/>
  <c r="K787" i="11"/>
  <c r="D787" i="11"/>
  <c r="F787" i="11" s="1"/>
  <c r="K757" i="11"/>
  <c r="D757" i="11"/>
  <c r="F757" i="11" s="1"/>
  <c r="K726" i="11"/>
  <c r="D726" i="11"/>
  <c r="F726" i="11" s="1"/>
  <c r="K692" i="11"/>
  <c r="D692" i="11"/>
  <c r="F692" i="11" s="1"/>
  <c r="K657" i="11"/>
  <c r="D657" i="11"/>
  <c r="F657" i="11" s="1"/>
  <c r="K622" i="11"/>
  <c r="D622" i="11"/>
  <c r="F622" i="11" s="1"/>
  <c r="D588" i="11"/>
  <c r="F588" i="11" s="1"/>
  <c r="L588" i="11" s="1"/>
  <c r="K555" i="11"/>
  <c r="D555" i="11"/>
  <c r="F555" i="11" s="1"/>
  <c r="K522" i="11"/>
  <c r="D522" i="11"/>
  <c r="F522" i="11" s="1"/>
  <c r="K488" i="11"/>
  <c r="D488" i="11"/>
  <c r="F488" i="11" s="1"/>
  <c r="K453" i="11"/>
  <c r="D453" i="11"/>
  <c r="F453" i="11" s="1"/>
  <c r="K422" i="11"/>
  <c r="D422" i="11"/>
  <c r="F422" i="11" s="1"/>
  <c r="S19" i="5"/>
  <c r="K357" i="11"/>
  <c r="D357" i="11"/>
  <c r="F357" i="11" s="1"/>
  <c r="K320" i="11"/>
  <c r="D320" i="11"/>
  <c r="F320" i="11" s="1"/>
  <c r="K291" i="11"/>
  <c r="D291" i="11"/>
  <c r="F291" i="11" s="1"/>
  <c r="K259" i="11"/>
  <c r="D259" i="11"/>
  <c r="F259" i="11" s="1"/>
  <c r="K226" i="11"/>
  <c r="D226" i="11"/>
  <c r="F226" i="11" s="1"/>
  <c r="K195" i="11"/>
  <c r="D195" i="11"/>
  <c r="F195" i="11" s="1"/>
  <c r="K160" i="11"/>
  <c r="D160" i="11"/>
  <c r="F160" i="11" s="1"/>
  <c r="K127" i="11"/>
  <c r="D127" i="11"/>
  <c r="F127" i="11" s="1"/>
  <c r="K94" i="11"/>
  <c r="D94" i="11"/>
  <c r="F94" i="11" s="1"/>
  <c r="K53" i="11"/>
  <c r="D63" i="11"/>
  <c r="F63" i="11" s="1"/>
  <c r="D27" i="11"/>
  <c r="F27" i="11" s="1"/>
  <c r="K27" i="11"/>
  <c r="K18" i="11"/>
  <c r="K154" i="11"/>
  <c r="K158" i="11"/>
  <c r="K152" i="11"/>
  <c r="D2083" i="11"/>
  <c r="K2077" i="11"/>
  <c r="E2077" i="11"/>
  <c r="F2077" i="11" s="1"/>
  <c r="D1380" i="11"/>
  <c r="D1387" i="11"/>
  <c r="D1386" i="11"/>
  <c r="K1387" i="11"/>
  <c r="K1388" i="11"/>
  <c r="K1386" i="11"/>
  <c r="O85" i="5" l="1"/>
  <c r="L2225" i="11"/>
  <c r="L854" i="11"/>
  <c r="R40" i="12"/>
  <c r="R43" i="12" s="1"/>
  <c r="Q47" i="12"/>
  <c r="G196" i="14"/>
  <c r="L196" i="14"/>
  <c r="G161" i="14"/>
  <c r="L161" i="14"/>
  <c r="G231" i="14"/>
  <c r="L231" i="14"/>
  <c r="L57" i="14"/>
  <c r="L128" i="14"/>
  <c r="G128" i="14"/>
  <c r="L95" i="14"/>
  <c r="G95" i="14"/>
  <c r="L21" i="14"/>
  <c r="G57" i="14"/>
  <c r="G21" i="14"/>
  <c r="L2293" i="11"/>
  <c r="G2293" i="11"/>
  <c r="L2114" i="11"/>
  <c r="L2257" i="11"/>
  <c r="G2225" i="11"/>
  <c r="L2147" i="11"/>
  <c r="G2147" i="11"/>
  <c r="G2114" i="11"/>
  <c r="L2082" i="11"/>
  <c r="G2082" i="11"/>
  <c r="L2046" i="11"/>
  <c r="G2046" i="11"/>
  <c r="L2009" i="11"/>
  <c r="G2009" i="11"/>
  <c r="L1978" i="11"/>
  <c r="L1949" i="11"/>
  <c r="L1915" i="11"/>
  <c r="G1949" i="11"/>
  <c r="L1880" i="11"/>
  <c r="G1915" i="11"/>
  <c r="G1880" i="11"/>
  <c r="L1845" i="11"/>
  <c r="G1845" i="11"/>
  <c r="L1810" i="11"/>
  <c r="G1810" i="11"/>
  <c r="L1673" i="11"/>
  <c r="L1777" i="11"/>
  <c r="G1777" i="11"/>
  <c r="L1744" i="11"/>
  <c r="G1744" i="11"/>
  <c r="L1708" i="11"/>
  <c r="G1708" i="11"/>
  <c r="G1673" i="11"/>
  <c r="L1385" i="11"/>
  <c r="G1640" i="11"/>
  <c r="L1640" i="11"/>
  <c r="L1606" i="11"/>
  <c r="G1606" i="11"/>
  <c r="L1575" i="11"/>
  <c r="G1575" i="11"/>
  <c r="L1540" i="11"/>
  <c r="G1540" i="11"/>
  <c r="L1506" i="11"/>
  <c r="G1506" i="11"/>
  <c r="L1354" i="11"/>
  <c r="G1354" i="11"/>
  <c r="L1323" i="11"/>
  <c r="G1323" i="11"/>
  <c r="G1291" i="11"/>
  <c r="L1291" i="11"/>
  <c r="L1257" i="11"/>
  <c r="G1257" i="11"/>
  <c r="G1221" i="11"/>
  <c r="L1221" i="11"/>
  <c r="G1190" i="11"/>
  <c r="L1190" i="11"/>
  <c r="L1081" i="11"/>
  <c r="L1150" i="11"/>
  <c r="G1150" i="11"/>
  <c r="L1117" i="11"/>
  <c r="G1117" i="11"/>
  <c r="L990" i="11"/>
  <c r="G1081" i="11"/>
  <c r="L1019" i="11"/>
  <c r="G1019" i="11"/>
  <c r="L958" i="11"/>
  <c r="G990" i="11"/>
  <c r="G958" i="11"/>
  <c r="L924" i="11"/>
  <c r="G924" i="11"/>
  <c r="G889" i="11"/>
  <c r="L889" i="11"/>
  <c r="G854" i="11"/>
  <c r="L820" i="11"/>
  <c r="G820" i="11"/>
  <c r="L726" i="11"/>
  <c r="L787" i="11"/>
  <c r="G787" i="11"/>
  <c r="L757" i="11"/>
  <c r="G757" i="11"/>
  <c r="G726" i="11"/>
  <c r="L692" i="11"/>
  <c r="G692" i="11"/>
  <c r="L657" i="11"/>
  <c r="G657" i="11"/>
  <c r="G622" i="11"/>
  <c r="L622" i="11"/>
  <c r="L453" i="11"/>
  <c r="L522" i="11"/>
  <c r="G588" i="11"/>
  <c r="L555" i="11"/>
  <c r="G555" i="11"/>
  <c r="G522" i="11"/>
  <c r="L488" i="11"/>
  <c r="G488" i="11"/>
  <c r="G453" i="11"/>
  <c r="L422" i="11"/>
  <c r="G422" i="11"/>
  <c r="L357" i="11"/>
  <c r="G357" i="11"/>
  <c r="L320" i="11"/>
  <c r="G320" i="11"/>
  <c r="L291" i="11"/>
  <c r="G291" i="11"/>
  <c r="L259" i="11"/>
  <c r="G259" i="11"/>
  <c r="L226" i="11"/>
  <c r="G226" i="11"/>
  <c r="G195" i="11"/>
  <c r="L195" i="11"/>
  <c r="L160" i="11"/>
  <c r="G160" i="11"/>
  <c r="L127" i="11"/>
  <c r="G127" i="11"/>
  <c r="G94" i="11"/>
  <c r="L94" i="11"/>
  <c r="G27" i="11"/>
  <c r="L27" i="11"/>
  <c r="L63" i="11"/>
  <c r="G63" i="11"/>
  <c r="L2077" i="11"/>
  <c r="G2077" i="11"/>
  <c r="I38" i="16" l="1"/>
  <c r="J38" i="16" s="1"/>
  <c r="I48" i="16"/>
  <c r="J48" i="16" s="1"/>
  <c r="H232" i="14"/>
  <c r="K232" i="14" s="1"/>
  <c r="D228" i="14"/>
  <c r="E228" i="14" s="1"/>
  <c r="F228" i="14" s="1"/>
  <c r="D229" i="14"/>
  <c r="F229" i="14" s="1"/>
  <c r="G229" i="14" s="1"/>
  <c r="K229" i="14"/>
  <c r="H233" i="14"/>
  <c r="K233" i="14" s="1"/>
  <c r="H234" i="14"/>
  <c r="K234" i="14" s="1"/>
  <c r="H235" i="14"/>
  <c r="H236" i="14"/>
  <c r="K236" i="14" s="1"/>
  <c r="H237" i="14"/>
  <c r="K237" i="14" s="1"/>
  <c r="H239" i="14"/>
  <c r="D237" i="14"/>
  <c r="F237" i="14" s="1"/>
  <c r="D236" i="14"/>
  <c r="F236" i="14" s="1"/>
  <c r="D235" i="14"/>
  <c r="F235" i="14" s="1"/>
  <c r="D234" i="14"/>
  <c r="D233" i="14"/>
  <c r="D232" i="14"/>
  <c r="K230" i="14"/>
  <c r="K228" i="14"/>
  <c r="K227" i="14"/>
  <c r="D227" i="14"/>
  <c r="E227" i="14" s="1"/>
  <c r="F227" i="14" s="1"/>
  <c r="K226" i="14"/>
  <c r="D226" i="14"/>
  <c r="E226" i="14" s="1"/>
  <c r="F226" i="14" s="1"/>
  <c r="K225" i="14"/>
  <c r="D225" i="14"/>
  <c r="E225" i="14" s="1"/>
  <c r="F225" i="14" s="1"/>
  <c r="K224" i="14"/>
  <c r="D224" i="14"/>
  <c r="E224" i="14" s="1"/>
  <c r="F224" i="14" s="1"/>
  <c r="K223" i="14"/>
  <c r="D223" i="14"/>
  <c r="E223" i="14" s="1"/>
  <c r="F223" i="14" s="1"/>
  <c r="D216" i="14"/>
  <c r="D215" i="14"/>
  <c r="H204" i="14"/>
  <c r="H202" i="14"/>
  <c r="K202" i="14" s="1"/>
  <c r="D202" i="14"/>
  <c r="F202" i="14" s="1"/>
  <c r="H201" i="14"/>
  <c r="K201" i="14" s="1"/>
  <c r="D201" i="14"/>
  <c r="F201" i="14" s="1"/>
  <c r="H200" i="14"/>
  <c r="D200" i="14"/>
  <c r="F200" i="14" s="1"/>
  <c r="H199" i="14"/>
  <c r="K199" i="14" s="1"/>
  <c r="D199" i="14"/>
  <c r="F199" i="14" s="1"/>
  <c r="H198" i="14"/>
  <c r="K198" i="14" s="1"/>
  <c r="D198" i="14"/>
  <c r="H197" i="14"/>
  <c r="K197" i="14" s="1"/>
  <c r="D197" i="14"/>
  <c r="K195" i="14"/>
  <c r="K194" i="14"/>
  <c r="D194" i="14"/>
  <c r="E194" i="14" s="1"/>
  <c r="F194" i="14" s="1"/>
  <c r="K193" i="14"/>
  <c r="D193" i="14"/>
  <c r="E193" i="14" s="1"/>
  <c r="F193" i="14" s="1"/>
  <c r="K192" i="14"/>
  <c r="D192" i="14"/>
  <c r="E192" i="14" s="1"/>
  <c r="F192" i="14" s="1"/>
  <c r="K191" i="14"/>
  <c r="D191" i="14"/>
  <c r="E191" i="14" s="1"/>
  <c r="F191" i="14" s="1"/>
  <c r="K190" i="14"/>
  <c r="D190" i="14"/>
  <c r="E190" i="14" s="1"/>
  <c r="F190" i="14" s="1"/>
  <c r="K189" i="14"/>
  <c r="D189" i="14"/>
  <c r="E189" i="14" s="1"/>
  <c r="F189" i="14" s="1"/>
  <c r="D182" i="14"/>
  <c r="D181" i="14"/>
  <c r="H169" i="14"/>
  <c r="H167" i="14"/>
  <c r="K167" i="14" s="1"/>
  <c r="D167" i="14"/>
  <c r="H166" i="14"/>
  <c r="K166" i="14" s="1"/>
  <c r="D166" i="14"/>
  <c r="F166" i="14" s="1"/>
  <c r="H165" i="14"/>
  <c r="D165" i="14"/>
  <c r="F165" i="14" s="1"/>
  <c r="H164" i="14"/>
  <c r="K164" i="14" s="1"/>
  <c r="D164" i="14"/>
  <c r="H163" i="14"/>
  <c r="K163" i="14" s="1"/>
  <c r="D163" i="14"/>
  <c r="H162" i="14"/>
  <c r="K162" i="14" s="1"/>
  <c r="D162" i="14"/>
  <c r="K160" i="14"/>
  <c r="K159" i="14"/>
  <c r="E159" i="14"/>
  <c r="F159" i="14" s="1"/>
  <c r="K158" i="14"/>
  <c r="D158" i="14"/>
  <c r="E158" i="14" s="1"/>
  <c r="F158" i="14" s="1"/>
  <c r="K157" i="14"/>
  <c r="D157" i="14"/>
  <c r="E157" i="14" s="1"/>
  <c r="F157" i="14" s="1"/>
  <c r="K156" i="14"/>
  <c r="D156" i="14"/>
  <c r="E156" i="14" s="1"/>
  <c r="F156" i="14" s="1"/>
  <c r="K155" i="14"/>
  <c r="D155" i="14"/>
  <c r="E155" i="14" s="1"/>
  <c r="F155" i="14" s="1"/>
  <c r="D148" i="14"/>
  <c r="D147" i="14"/>
  <c r="H131" i="14"/>
  <c r="K131" i="14" s="1"/>
  <c r="H132" i="14"/>
  <c r="K132" i="14" s="1"/>
  <c r="H133" i="14"/>
  <c r="H134" i="14"/>
  <c r="K134" i="14" s="1"/>
  <c r="H135" i="14"/>
  <c r="K135" i="14" s="1"/>
  <c r="H130" i="14"/>
  <c r="K130" i="14" s="1"/>
  <c r="K123" i="14"/>
  <c r="K124" i="14"/>
  <c r="K125" i="14"/>
  <c r="K126" i="14"/>
  <c r="K127" i="14"/>
  <c r="K129" i="14"/>
  <c r="K122" i="14"/>
  <c r="H137" i="14"/>
  <c r="D135" i="14"/>
  <c r="D134" i="14"/>
  <c r="F134" i="14" s="1"/>
  <c r="D133" i="14"/>
  <c r="F133" i="14" s="1"/>
  <c r="D132" i="14"/>
  <c r="D131" i="14"/>
  <c r="D130" i="14"/>
  <c r="F130" i="14" s="1"/>
  <c r="D127" i="14"/>
  <c r="E127" i="14" s="1"/>
  <c r="F127" i="14" s="1"/>
  <c r="D126" i="14"/>
  <c r="E126" i="14" s="1"/>
  <c r="F126" i="14" s="1"/>
  <c r="D125" i="14"/>
  <c r="E125" i="14" s="1"/>
  <c r="F125" i="14" s="1"/>
  <c r="D124" i="14"/>
  <c r="E124" i="14" s="1"/>
  <c r="F124" i="14" s="1"/>
  <c r="D123" i="14"/>
  <c r="E123" i="14" s="1"/>
  <c r="F123" i="14" s="1"/>
  <c r="D122" i="14"/>
  <c r="E122" i="14" s="1"/>
  <c r="F122" i="14" s="1"/>
  <c r="D115" i="14"/>
  <c r="K50" i="14"/>
  <c r="K51" i="14"/>
  <c r="K52" i="14"/>
  <c r="K53" i="14"/>
  <c r="K54" i="14"/>
  <c r="K55" i="14"/>
  <c r="K56" i="14"/>
  <c r="K49" i="14"/>
  <c r="D55" i="14"/>
  <c r="E55" i="14" s="1"/>
  <c r="F55" i="14" s="1"/>
  <c r="G55" i="14" s="1"/>
  <c r="D54" i="14"/>
  <c r="E54" i="14" s="1"/>
  <c r="F54" i="14" s="1"/>
  <c r="H59" i="14"/>
  <c r="K59" i="14" s="1"/>
  <c r="H60" i="14"/>
  <c r="K60" i="14" s="1"/>
  <c r="H61" i="14"/>
  <c r="H62" i="14"/>
  <c r="K62" i="14" s="1"/>
  <c r="H63" i="14"/>
  <c r="K63" i="14" s="1"/>
  <c r="H58" i="14"/>
  <c r="K58" i="14" s="1"/>
  <c r="K92" i="14"/>
  <c r="E92" i="14"/>
  <c r="F92" i="14" s="1"/>
  <c r="H65" i="14"/>
  <c r="D63" i="14"/>
  <c r="D62" i="14"/>
  <c r="F62" i="14" s="1"/>
  <c r="D61" i="14"/>
  <c r="F61" i="14" s="1"/>
  <c r="D60" i="14"/>
  <c r="D59" i="14"/>
  <c r="F59" i="14" s="1"/>
  <c r="D58" i="14"/>
  <c r="D53" i="14"/>
  <c r="E53" i="14" s="1"/>
  <c r="F53" i="14" s="1"/>
  <c r="D52" i="14"/>
  <c r="E52" i="14" s="1"/>
  <c r="F52" i="14" s="1"/>
  <c r="D51" i="14"/>
  <c r="E51" i="14" s="1"/>
  <c r="F51" i="14" s="1"/>
  <c r="D50" i="14"/>
  <c r="E50" i="14" s="1"/>
  <c r="F50" i="14" s="1"/>
  <c r="D49" i="14"/>
  <c r="E49" i="14" s="1"/>
  <c r="F49" i="14" s="1"/>
  <c r="D42" i="14"/>
  <c r="D93" i="14"/>
  <c r="E93" i="14" s="1"/>
  <c r="F93" i="14" s="1"/>
  <c r="G93" i="14" s="1"/>
  <c r="D91" i="14"/>
  <c r="E91" i="14" s="1"/>
  <c r="F91" i="14" s="1"/>
  <c r="K88" i="14"/>
  <c r="K89" i="14"/>
  <c r="K90" i="14"/>
  <c r="K91" i="14"/>
  <c r="K93" i="14"/>
  <c r="K94" i="14"/>
  <c r="K87" i="14"/>
  <c r="H97" i="14"/>
  <c r="K97" i="14" s="1"/>
  <c r="H98" i="14"/>
  <c r="K98" i="14" s="1"/>
  <c r="H99" i="14"/>
  <c r="H100" i="14"/>
  <c r="K100" i="14" s="1"/>
  <c r="H101" i="14"/>
  <c r="K101" i="14" s="1"/>
  <c r="H96" i="14"/>
  <c r="K96" i="14" s="1"/>
  <c r="D101" i="14"/>
  <c r="D100" i="14"/>
  <c r="D99" i="14"/>
  <c r="F99" i="14" s="1"/>
  <c r="D98" i="14"/>
  <c r="D97" i="14"/>
  <c r="D96" i="14"/>
  <c r="D90" i="14"/>
  <c r="E90" i="14" s="1"/>
  <c r="F90" i="14" s="1"/>
  <c r="D89" i="14"/>
  <c r="E89" i="14" s="1"/>
  <c r="F89" i="14" s="1"/>
  <c r="D88" i="14"/>
  <c r="E88" i="14" s="1"/>
  <c r="F88" i="14" s="1"/>
  <c r="D87" i="14"/>
  <c r="E87" i="14" s="1"/>
  <c r="F87" i="14" s="1"/>
  <c r="D80" i="14"/>
  <c r="E19" i="14"/>
  <c r="F19" i="14" s="1"/>
  <c r="H23" i="14"/>
  <c r="K23" i="14" s="1"/>
  <c r="H24" i="14"/>
  <c r="K24" i="14" s="1"/>
  <c r="H25" i="14"/>
  <c r="H26" i="14"/>
  <c r="K26" i="14" s="1"/>
  <c r="H27" i="14"/>
  <c r="K27" i="14" s="1"/>
  <c r="H22" i="14"/>
  <c r="K22" i="14" s="1"/>
  <c r="D22" i="14"/>
  <c r="F22" i="14" s="1"/>
  <c r="E18" i="14"/>
  <c r="F18" i="14" s="1"/>
  <c r="L18" i="14" s="1"/>
  <c r="L17" i="14"/>
  <c r="D16" i="14"/>
  <c r="E16" i="14" s="1"/>
  <c r="F16" i="14" s="1"/>
  <c r="L16" i="14" s="1"/>
  <c r="D15" i="14"/>
  <c r="E15" i="14" s="1"/>
  <c r="F15" i="14" s="1"/>
  <c r="L15" i="14" s="1"/>
  <c r="D14" i="14"/>
  <c r="E14" i="14" s="1"/>
  <c r="F14" i="14" s="1"/>
  <c r="L14" i="14" s="1"/>
  <c r="D13" i="14"/>
  <c r="E13" i="14" s="1"/>
  <c r="F13" i="14" s="1"/>
  <c r="D27" i="14"/>
  <c r="D26" i="14"/>
  <c r="D25" i="14"/>
  <c r="F25" i="14" s="1"/>
  <c r="D24" i="14"/>
  <c r="D23" i="14"/>
  <c r="D6" i="14"/>
  <c r="H2258" i="11"/>
  <c r="K2258" i="11" s="1"/>
  <c r="K2251" i="11"/>
  <c r="K2252" i="11"/>
  <c r="K2253" i="11"/>
  <c r="K2254" i="11"/>
  <c r="K2255" i="11"/>
  <c r="K2256" i="11"/>
  <c r="K2250" i="11"/>
  <c r="H2115" i="11"/>
  <c r="K2115" i="11" s="1"/>
  <c r="H2116" i="11"/>
  <c r="K2116" i="11" s="1"/>
  <c r="H2117" i="11"/>
  <c r="K2117" i="11" s="1"/>
  <c r="H2118" i="11"/>
  <c r="K2118" i="11" s="1"/>
  <c r="H2119" i="11"/>
  <c r="K2119" i="11" s="1"/>
  <c r="D2119" i="11"/>
  <c r="F2119" i="11" s="1"/>
  <c r="D2118" i="11"/>
  <c r="F2117" i="11"/>
  <c r="D2116" i="11"/>
  <c r="F2115" i="11"/>
  <c r="K2107" i="11"/>
  <c r="K2108" i="11"/>
  <c r="K2109" i="11"/>
  <c r="K2110" i="11"/>
  <c r="K2111" i="11"/>
  <c r="K2112" i="11"/>
  <c r="K2113" i="11"/>
  <c r="K2106" i="11"/>
  <c r="D2112" i="11"/>
  <c r="E2112" i="11" s="1"/>
  <c r="F2112" i="11" s="1"/>
  <c r="D1327" i="11"/>
  <c r="K1315" i="11"/>
  <c r="K1316" i="11"/>
  <c r="K1317" i="11"/>
  <c r="K1318" i="11"/>
  <c r="K1319" i="11"/>
  <c r="K1320" i="11"/>
  <c r="L1320" i="11" s="1"/>
  <c r="K1321" i="11"/>
  <c r="K1322" i="11"/>
  <c r="K1314" i="11"/>
  <c r="H1327" i="11"/>
  <c r="K1327" i="11" s="1"/>
  <c r="H1326" i="11"/>
  <c r="K1326" i="11" s="1"/>
  <c r="D1326" i="11"/>
  <c r="H1325" i="11"/>
  <c r="K1325" i="11" s="1"/>
  <c r="D1325" i="11"/>
  <c r="H1324" i="11"/>
  <c r="K1324" i="11" s="1"/>
  <c r="D1324" i="11"/>
  <c r="K1215" i="11"/>
  <c r="K1216" i="11"/>
  <c r="K1217" i="11"/>
  <c r="K1218" i="11"/>
  <c r="K1219" i="11"/>
  <c r="K1220" i="11"/>
  <c r="K1214" i="11"/>
  <c r="K1110" i="11"/>
  <c r="K1111" i="11"/>
  <c r="K1112" i="11"/>
  <c r="K1113" i="11"/>
  <c r="K1114" i="11"/>
  <c r="K1115" i="11"/>
  <c r="K1116" i="11"/>
  <c r="H1122" i="11"/>
  <c r="K1122" i="11" s="1"/>
  <c r="D1122" i="11"/>
  <c r="F1122" i="11" s="1"/>
  <c r="D1118" i="11"/>
  <c r="F1118" i="11" s="1"/>
  <c r="H1118" i="11"/>
  <c r="K1118" i="11" s="1"/>
  <c r="K1109" i="11"/>
  <c r="D1116" i="11"/>
  <c r="E1116" i="11" s="1"/>
  <c r="F1116" i="11" s="1"/>
  <c r="G1116" i="11" s="1"/>
  <c r="D1114" i="11"/>
  <c r="E1114" i="11" s="1"/>
  <c r="F1114" i="11" s="1"/>
  <c r="G1114" i="11" s="1"/>
  <c r="D1113" i="11"/>
  <c r="E1113" i="11" s="1"/>
  <c r="F1113" i="11" s="1"/>
  <c r="G1113" i="11" s="1"/>
  <c r="D1112" i="11"/>
  <c r="E1112" i="11" s="1"/>
  <c r="F1112" i="11" s="1"/>
  <c r="G1112" i="11" s="1"/>
  <c r="D1111" i="11"/>
  <c r="E1111" i="11" s="1"/>
  <c r="F1111" i="11" s="1"/>
  <c r="G1111" i="11" s="1"/>
  <c r="D1110" i="11"/>
  <c r="E1110" i="11" s="1"/>
  <c r="F1110" i="11" s="1"/>
  <c r="G1110" i="11" s="1"/>
  <c r="D1109" i="11"/>
  <c r="E1109" i="11" s="1"/>
  <c r="F1109" i="11" s="1"/>
  <c r="G1109" i="11" s="1"/>
  <c r="K1044" i="11"/>
  <c r="K1045" i="11"/>
  <c r="K1046" i="11"/>
  <c r="K1047" i="11"/>
  <c r="K1048" i="11"/>
  <c r="K1049" i="11"/>
  <c r="K1050" i="11"/>
  <c r="K1043" i="11"/>
  <c r="D1054" i="11"/>
  <c r="H1054" i="11"/>
  <c r="K1054" i="11" s="1"/>
  <c r="K1771" i="11"/>
  <c r="K1772" i="11"/>
  <c r="K1773" i="11"/>
  <c r="K1774" i="11"/>
  <c r="K1775" i="11"/>
  <c r="K1776" i="11"/>
  <c r="K1770" i="11"/>
  <c r="H1779" i="11"/>
  <c r="K1779" i="11" s="1"/>
  <c r="H1780" i="11"/>
  <c r="K1780" i="11" s="1"/>
  <c r="H1781" i="11"/>
  <c r="K1781" i="11" s="1"/>
  <c r="H1782" i="11"/>
  <c r="K1782" i="11" s="1"/>
  <c r="H1783" i="11"/>
  <c r="K1783" i="11" s="1"/>
  <c r="H1778" i="11"/>
  <c r="K1778" i="11" s="1"/>
  <c r="D1783" i="11"/>
  <c r="F1783" i="11" s="1"/>
  <c r="D1782" i="11"/>
  <c r="F1782" i="11" s="1"/>
  <c r="F1781" i="11"/>
  <c r="D1780" i="11"/>
  <c r="F1780" i="11" s="1"/>
  <c r="D1779" i="11"/>
  <c r="F1779" i="11" s="1"/>
  <c r="D1778" i="11"/>
  <c r="F1778" i="11" s="1"/>
  <c r="K1013" i="11"/>
  <c r="K1014" i="11"/>
  <c r="K1015" i="11"/>
  <c r="K1016" i="11"/>
  <c r="K1017" i="11"/>
  <c r="K1018" i="11"/>
  <c r="K1012" i="11"/>
  <c r="D1024" i="11"/>
  <c r="D1023" i="11"/>
  <c r="D1021" i="11"/>
  <c r="H1020" i="11"/>
  <c r="H1024" i="11" s="1"/>
  <c r="K1024" i="11" s="1"/>
  <c r="D1020" i="11"/>
  <c r="D1017" i="11"/>
  <c r="E1017" i="11" s="1"/>
  <c r="F1017" i="11" s="1"/>
  <c r="G1017" i="11" s="1"/>
  <c r="D1016" i="11"/>
  <c r="E1016" i="11" s="1"/>
  <c r="F1016" i="11" s="1"/>
  <c r="G1016" i="11" s="1"/>
  <c r="D1015" i="11"/>
  <c r="E1015" i="11" s="1"/>
  <c r="F1015" i="11" s="1"/>
  <c r="G1015" i="11" s="1"/>
  <c r="D1014" i="11"/>
  <c r="E1014" i="11" s="1"/>
  <c r="F1014" i="11" s="1"/>
  <c r="G1014" i="11" s="1"/>
  <c r="D1013" i="11"/>
  <c r="E1013" i="11" s="1"/>
  <c r="F1013" i="11" s="1"/>
  <c r="G1013" i="11" s="1"/>
  <c r="D1012" i="11"/>
  <c r="E1012" i="11" s="1"/>
  <c r="F1012" i="11" s="1"/>
  <c r="G1012" i="11" s="1"/>
  <c r="D1478" i="11"/>
  <c r="F1478" i="11" s="1"/>
  <c r="D1477" i="11"/>
  <c r="D1077" i="11"/>
  <c r="D1078" i="11"/>
  <c r="E1080" i="11"/>
  <c r="F1080" i="11" s="1"/>
  <c r="L1080" i="11" s="1"/>
  <c r="H1083" i="11"/>
  <c r="K1083" i="11" s="1"/>
  <c r="H1084" i="11"/>
  <c r="K1084" i="11" s="1"/>
  <c r="H1085" i="11"/>
  <c r="K1085" i="11" s="1"/>
  <c r="H1086" i="11"/>
  <c r="K1086" i="11" s="1"/>
  <c r="H1087" i="11"/>
  <c r="K1087" i="11" s="1"/>
  <c r="H1082" i="11"/>
  <c r="K1082" i="11" s="1"/>
  <c r="K882" i="11"/>
  <c r="K883" i="11"/>
  <c r="K884" i="11"/>
  <c r="K885" i="11"/>
  <c r="K886" i="11"/>
  <c r="K887" i="11"/>
  <c r="K888" i="11"/>
  <c r="K881" i="11"/>
  <c r="H891" i="11"/>
  <c r="K891" i="11" s="1"/>
  <c r="H892" i="11"/>
  <c r="K892" i="11" s="1"/>
  <c r="H893" i="11"/>
  <c r="K893" i="11" s="1"/>
  <c r="H894" i="11"/>
  <c r="K894" i="11" s="1"/>
  <c r="H895" i="11"/>
  <c r="K895" i="11" s="1"/>
  <c r="H890" i="11"/>
  <c r="K890" i="11" s="1"/>
  <c r="D895" i="11"/>
  <c r="D894" i="11"/>
  <c r="D892" i="11"/>
  <c r="D891" i="11"/>
  <c r="D890" i="11"/>
  <c r="D888" i="11"/>
  <c r="E888" i="11" s="1"/>
  <c r="F888" i="11" s="1"/>
  <c r="G888" i="11" s="1"/>
  <c r="D886" i="11"/>
  <c r="E886" i="11" s="1"/>
  <c r="F886" i="11" s="1"/>
  <c r="G886" i="11" s="1"/>
  <c r="D885" i="11"/>
  <c r="E885" i="11" s="1"/>
  <c r="F885" i="11" s="1"/>
  <c r="G885" i="11" s="1"/>
  <c r="D884" i="11"/>
  <c r="E884" i="11" s="1"/>
  <c r="F884" i="11" s="1"/>
  <c r="G884" i="11" s="1"/>
  <c r="D883" i="11"/>
  <c r="E883" i="11" s="1"/>
  <c r="F883" i="11" s="1"/>
  <c r="G883" i="11" s="1"/>
  <c r="D882" i="11"/>
  <c r="E882" i="11" s="1"/>
  <c r="F882" i="11" s="1"/>
  <c r="G882" i="11" s="1"/>
  <c r="D881" i="11"/>
  <c r="E881" i="11" s="1"/>
  <c r="F881" i="11" s="1"/>
  <c r="G881" i="11" s="1"/>
  <c r="H856" i="11"/>
  <c r="K856" i="11" s="1"/>
  <c r="H857" i="11"/>
  <c r="K857" i="11" s="1"/>
  <c r="H858" i="11"/>
  <c r="K858" i="11" s="1"/>
  <c r="H859" i="11"/>
  <c r="K859" i="11" s="1"/>
  <c r="H860" i="11"/>
  <c r="K860" i="11" s="1"/>
  <c r="H855" i="11"/>
  <c r="K855" i="11" s="1"/>
  <c r="K845" i="11"/>
  <c r="D849" i="11"/>
  <c r="E849" i="11" s="1"/>
  <c r="F849" i="11" s="1"/>
  <c r="D1356" i="11"/>
  <c r="F1356" i="11" s="1"/>
  <c r="K1347" i="11"/>
  <c r="H1356" i="11"/>
  <c r="H1355" i="11"/>
  <c r="D1353" i="11"/>
  <c r="E1353" i="11" s="1"/>
  <c r="F1353" i="11" s="1"/>
  <c r="G1353" i="11" s="1"/>
  <c r="D1352" i="11"/>
  <c r="E1352" i="11" s="1"/>
  <c r="F1352" i="11" s="1"/>
  <c r="G1352" i="11" s="1"/>
  <c r="D1351" i="11"/>
  <c r="E1351" i="11" s="1"/>
  <c r="F1351" i="11" s="1"/>
  <c r="G1351" i="11" s="1"/>
  <c r="D1349" i="11"/>
  <c r="E1349" i="11" s="1"/>
  <c r="F1349" i="11" s="1"/>
  <c r="G1349" i="11" s="1"/>
  <c r="D1348" i="11"/>
  <c r="E1348" i="11" s="1"/>
  <c r="F1348" i="11" s="1"/>
  <c r="G1348" i="11" s="1"/>
  <c r="D1347" i="11"/>
  <c r="E1347" i="11" s="1"/>
  <c r="F1347" i="11" s="1"/>
  <c r="G1347" i="11" s="1"/>
  <c r="K1972" i="11"/>
  <c r="K1974" i="11"/>
  <c r="K1975" i="11"/>
  <c r="K1976" i="11"/>
  <c r="K1977" i="11"/>
  <c r="K1971" i="11"/>
  <c r="H1979" i="11"/>
  <c r="K1979" i="11" s="1"/>
  <c r="H1980" i="11"/>
  <c r="K1980" i="11" s="1"/>
  <c r="H1981" i="11"/>
  <c r="K1981" i="11" s="1"/>
  <c r="D1981" i="11"/>
  <c r="F1981" i="11" s="1"/>
  <c r="D1980" i="11"/>
  <c r="F1980" i="11" s="1"/>
  <c r="D1979" i="11"/>
  <c r="F1979" i="11" s="1"/>
  <c r="D1977" i="11"/>
  <c r="E1977" i="11" s="1"/>
  <c r="F1977" i="11" s="1"/>
  <c r="D1976" i="11"/>
  <c r="E1976" i="11" s="1"/>
  <c r="F1976" i="11" s="1"/>
  <c r="G1976" i="11" s="1"/>
  <c r="D1975" i="11"/>
  <c r="E1975" i="11" s="1"/>
  <c r="F1975" i="11" s="1"/>
  <c r="G1975" i="11" s="1"/>
  <c r="D1973" i="11"/>
  <c r="E1973" i="11" s="1"/>
  <c r="F1973" i="11" s="1"/>
  <c r="G1973" i="11" s="1"/>
  <c r="D1972" i="11"/>
  <c r="E1972" i="11" s="1"/>
  <c r="F1972" i="11" s="1"/>
  <c r="G1972" i="11" s="1"/>
  <c r="D1971" i="11"/>
  <c r="E1971" i="11" s="1"/>
  <c r="F1971" i="11" s="1"/>
  <c r="H991" i="11"/>
  <c r="K991" i="11" s="1"/>
  <c r="H992" i="11"/>
  <c r="K992" i="11" s="1"/>
  <c r="H993" i="11"/>
  <c r="K993" i="11" s="1"/>
  <c r="D985" i="11"/>
  <c r="E985" i="11" s="1"/>
  <c r="F985" i="11" s="1"/>
  <c r="D988" i="11"/>
  <c r="K1634" i="11"/>
  <c r="K1635" i="11"/>
  <c r="K1636" i="11"/>
  <c r="K1637" i="11"/>
  <c r="K1638" i="11"/>
  <c r="K1639" i="11"/>
  <c r="K1633" i="11"/>
  <c r="H1641" i="11"/>
  <c r="K1641" i="11" s="1"/>
  <c r="D1643" i="11"/>
  <c r="D1642" i="11"/>
  <c r="F1642" i="11" s="1"/>
  <c r="D1641" i="11"/>
  <c r="D1639" i="11"/>
  <c r="E1639" i="11" s="1"/>
  <c r="F1639" i="11" s="1"/>
  <c r="G1639" i="11" s="1"/>
  <c r="D1638" i="11"/>
  <c r="E1638" i="11" s="1"/>
  <c r="F1638" i="11" s="1"/>
  <c r="G1638" i="11" s="1"/>
  <c r="D1636" i="11"/>
  <c r="E1636" i="11" s="1"/>
  <c r="F1636" i="11" s="1"/>
  <c r="G1636" i="11" s="1"/>
  <c r="D1635" i="11"/>
  <c r="E1635" i="11" s="1"/>
  <c r="F1635" i="11" s="1"/>
  <c r="G1635" i="11" s="1"/>
  <c r="D1634" i="11"/>
  <c r="E1634" i="11" s="1"/>
  <c r="F1634" i="11" s="1"/>
  <c r="G1634" i="11" s="1"/>
  <c r="D1633" i="11"/>
  <c r="E1633" i="11" s="1"/>
  <c r="F1633" i="11" s="1"/>
  <c r="G1633" i="11" s="1"/>
  <c r="K1599" i="11"/>
  <c r="K1600" i="11"/>
  <c r="K1601" i="11"/>
  <c r="K1602" i="11"/>
  <c r="K1603" i="11"/>
  <c r="K1604" i="11"/>
  <c r="K1605" i="11"/>
  <c r="K1598" i="11"/>
  <c r="D1605" i="11"/>
  <c r="E1605" i="11" s="1"/>
  <c r="F1605" i="11" s="1"/>
  <c r="G1605" i="11" s="1"/>
  <c r="D1604" i="11"/>
  <c r="E1604" i="11" s="1"/>
  <c r="F1604" i="11" s="1"/>
  <c r="G1604" i="11" s="1"/>
  <c r="D1603" i="11"/>
  <c r="E1603" i="11" s="1"/>
  <c r="F1603" i="11" s="1"/>
  <c r="D1601" i="11"/>
  <c r="E1601" i="11" s="1"/>
  <c r="F1601" i="11" s="1"/>
  <c r="G1601" i="11" s="1"/>
  <c r="D1600" i="11"/>
  <c r="E1600" i="11" s="1"/>
  <c r="F1600" i="11" s="1"/>
  <c r="G1600" i="11" s="1"/>
  <c r="D1599" i="11"/>
  <c r="E1599" i="11" s="1"/>
  <c r="F1599" i="11" s="1"/>
  <c r="G1599" i="11" s="1"/>
  <c r="D1598" i="11"/>
  <c r="E1598" i="11" s="1"/>
  <c r="F1598" i="11" s="1"/>
  <c r="G1598" i="11" s="1"/>
  <c r="K1250" i="11"/>
  <c r="K1251" i="11"/>
  <c r="K1252" i="11"/>
  <c r="K1253" i="11"/>
  <c r="K1254" i="11"/>
  <c r="K1255" i="11"/>
  <c r="K1256" i="11"/>
  <c r="K1249" i="11"/>
  <c r="H1259" i="11"/>
  <c r="K1259" i="11" s="1"/>
  <c r="H1260" i="11"/>
  <c r="K1260" i="11" s="1"/>
  <c r="H1261" i="11"/>
  <c r="K1261" i="11" s="1"/>
  <c r="H1262" i="11"/>
  <c r="K1262" i="11" s="1"/>
  <c r="H1263" i="11"/>
  <c r="K1263" i="11" s="1"/>
  <c r="H1258" i="11"/>
  <c r="K1258" i="11" s="1"/>
  <c r="D1256" i="11"/>
  <c r="E1256" i="11" s="1"/>
  <c r="F1256" i="11" s="1"/>
  <c r="G1256" i="11" s="1"/>
  <c r="D1255" i="11"/>
  <c r="E1255" i="11" s="1"/>
  <c r="F1255" i="11" s="1"/>
  <c r="G1255" i="11" s="1"/>
  <c r="D1254" i="11"/>
  <c r="E1254" i="11" s="1"/>
  <c r="F1254" i="11" s="1"/>
  <c r="G1254" i="11" s="1"/>
  <c r="D1252" i="11"/>
  <c r="E1252" i="11" s="1"/>
  <c r="F1252" i="11" s="1"/>
  <c r="G1252" i="11" s="1"/>
  <c r="D1251" i="11"/>
  <c r="E1251" i="11" s="1"/>
  <c r="F1251" i="11" s="1"/>
  <c r="G1251" i="11" s="1"/>
  <c r="D1250" i="11"/>
  <c r="E1250" i="11" s="1"/>
  <c r="F1250" i="11" s="1"/>
  <c r="G1250" i="11" s="1"/>
  <c r="D1249" i="11"/>
  <c r="E1249" i="11" s="1"/>
  <c r="F1249" i="11" s="1"/>
  <c r="G1249" i="11" s="1"/>
  <c r="K1941" i="11"/>
  <c r="H1951" i="11"/>
  <c r="K1951" i="11" s="1"/>
  <c r="H1952" i="11"/>
  <c r="K1952" i="11" s="1"/>
  <c r="H1950" i="11"/>
  <c r="K1950" i="11" s="1"/>
  <c r="D1948" i="11"/>
  <c r="E1948" i="11" s="1"/>
  <c r="F1948" i="11" s="1"/>
  <c r="D1947" i="11"/>
  <c r="E1947" i="11" s="1"/>
  <c r="F1947" i="11" s="1"/>
  <c r="D1946" i="11"/>
  <c r="E1946" i="11" s="1"/>
  <c r="F1946" i="11" s="1"/>
  <c r="D1944" i="11"/>
  <c r="E1944" i="11" s="1"/>
  <c r="F1944" i="11" s="1"/>
  <c r="D1943" i="11"/>
  <c r="E1943" i="11" s="1"/>
  <c r="F1943" i="11" s="1"/>
  <c r="D1942" i="11"/>
  <c r="E1942" i="11" s="1"/>
  <c r="F1942" i="11" s="1"/>
  <c r="D1941" i="11"/>
  <c r="E1941" i="11" s="1"/>
  <c r="F1941" i="11" s="1"/>
  <c r="G1941" i="11" s="1"/>
  <c r="K1574" i="11"/>
  <c r="K1567" i="11"/>
  <c r="D1574" i="11"/>
  <c r="E1574" i="11" s="1"/>
  <c r="F1574" i="11" s="1"/>
  <c r="G1574" i="11" s="1"/>
  <c r="D1573" i="11"/>
  <c r="E1573" i="11" s="1"/>
  <c r="F1573" i="11" s="1"/>
  <c r="G1573" i="11" s="1"/>
  <c r="D1572" i="11"/>
  <c r="E1572" i="11" s="1"/>
  <c r="F1572" i="11" s="1"/>
  <c r="G1572" i="11" s="1"/>
  <c r="D1570" i="11"/>
  <c r="E1570" i="11" s="1"/>
  <c r="F1570" i="11" s="1"/>
  <c r="G1570" i="11" s="1"/>
  <c r="D1569" i="11"/>
  <c r="E1569" i="11" s="1"/>
  <c r="F1569" i="11" s="1"/>
  <c r="G1569" i="11" s="1"/>
  <c r="D1568" i="11"/>
  <c r="E1568" i="11" s="1"/>
  <c r="F1568" i="11" s="1"/>
  <c r="G1568" i="11" s="1"/>
  <c r="D1567" i="11"/>
  <c r="E1567" i="11" s="1"/>
  <c r="F1567" i="11" s="1"/>
  <c r="G1567" i="11" s="1"/>
  <c r="K1666" i="11"/>
  <c r="K1667" i="11"/>
  <c r="K1668" i="11"/>
  <c r="K1669" i="11"/>
  <c r="K1670" i="11"/>
  <c r="K1671" i="11"/>
  <c r="K1672" i="11"/>
  <c r="K1665" i="11"/>
  <c r="H1675" i="11"/>
  <c r="K1675" i="11" s="1"/>
  <c r="H1676" i="11"/>
  <c r="H1677" i="11"/>
  <c r="H1678" i="11"/>
  <c r="K1678" i="11" s="1"/>
  <c r="H1679" i="11"/>
  <c r="K1679" i="11" s="1"/>
  <c r="H1674" i="11"/>
  <c r="K1674" i="11" s="1"/>
  <c r="D1679" i="11"/>
  <c r="D1678" i="11"/>
  <c r="F1678" i="11" s="1"/>
  <c r="D1677" i="11"/>
  <c r="F1677" i="11" s="1"/>
  <c r="D1676" i="11"/>
  <c r="F1676" i="11" s="1"/>
  <c r="D1675" i="11"/>
  <c r="F1675" i="11" s="1"/>
  <c r="D1674" i="11"/>
  <c r="F1674" i="11" s="1"/>
  <c r="D1672" i="11"/>
  <c r="E1672" i="11" s="1"/>
  <c r="F1672" i="11" s="1"/>
  <c r="G1672" i="11" s="1"/>
  <c r="D1671" i="11"/>
  <c r="E1671" i="11" s="1"/>
  <c r="F1671" i="11" s="1"/>
  <c r="G1671" i="11" s="1"/>
  <c r="D1670" i="11"/>
  <c r="E1670" i="11" s="1"/>
  <c r="F1670" i="11" s="1"/>
  <c r="G1670" i="11" s="1"/>
  <c r="D1668" i="11"/>
  <c r="E1668" i="11" s="1"/>
  <c r="F1668" i="11" s="1"/>
  <c r="G1668" i="11" s="1"/>
  <c r="D1667" i="11"/>
  <c r="E1667" i="11" s="1"/>
  <c r="F1667" i="11" s="1"/>
  <c r="G1667" i="11" s="1"/>
  <c r="D1666" i="11"/>
  <c r="E1666" i="11" s="1"/>
  <c r="F1666" i="11" s="1"/>
  <c r="G1666" i="11" s="1"/>
  <c r="D1665" i="11"/>
  <c r="E1665" i="11" s="1"/>
  <c r="F1665" i="11" s="1"/>
  <c r="G1665" i="11" s="1"/>
  <c r="K1499" i="11"/>
  <c r="K1500" i="11"/>
  <c r="K1501" i="11"/>
  <c r="K1502" i="11"/>
  <c r="K1503" i="11"/>
  <c r="K1504" i="11"/>
  <c r="K1505" i="11"/>
  <c r="K1498" i="11"/>
  <c r="D1505" i="11"/>
  <c r="E1505" i="11" s="1"/>
  <c r="F1505" i="11" s="1"/>
  <c r="D1504" i="11"/>
  <c r="E1504" i="11" s="1"/>
  <c r="F1504" i="11" s="1"/>
  <c r="D1503" i="11"/>
  <c r="E1503" i="11" s="1"/>
  <c r="F1503" i="11" s="1"/>
  <c r="D1501" i="11"/>
  <c r="E1501" i="11" s="1"/>
  <c r="F1501" i="11" s="1"/>
  <c r="D1500" i="11"/>
  <c r="E1500" i="11" s="1"/>
  <c r="F1500" i="11" s="1"/>
  <c r="D1499" i="11"/>
  <c r="E1499" i="11" s="1"/>
  <c r="F1499" i="11" s="1"/>
  <c r="D1498" i="11"/>
  <c r="E1498" i="11" s="1"/>
  <c r="F1498" i="11" s="1"/>
  <c r="H1542" i="11"/>
  <c r="H1543" i="11"/>
  <c r="K1543" i="11" s="1"/>
  <c r="H1544" i="11"/>
  <c r="K1544" i="11" s="1"/>
  <c r="H1545" i="11"/>
  <c r="K1545" i="11" s="1"/>
  <c r="H1546" i="11"/>
  <c r="K1546" i="11" s="1"/>
  <c r="H1541" i="11"/>
  <c r="K1541" i="11" s="1"/>
  <c r="D1546" i="11"/>
  <c r="D1545" i="11"/>
  <c r="D1543" i="11"/>
  <c r="D1542" i="11"/>
  <c r="D1541" i="11"/>
  <c r="D1539" i="11"/>
  <c r="H1882" i="11"/>
  <c r="K1882" i="11" s="1"/>
  <c r="H1883" i="11"/>
  <c r="K1883" i="11" s="1"/>
  <c r="H1884" i="11"/>
  <c r="H1885" i="11"/>
  <c r="K1885" i="11" s="1"/>
  <c r="H1886" i="11"/>
  <c r="K1886" i="11" s="1"/>
  <c r="H1881" i="11"/>
  <c r="K1881" i="11" s="1"/>
  <c r="D1886" i="11"/>
  <c r="D1885" i="11"/>
  <c r="D1884" i="11"/>
  <c r="F1884" i="11" s="1"/>
  <c r="D1883" i="11"/>
  <c r="D1882" i="11"/>
  <c r="D1881" i="11"/>
  <c r="D1879" i="11"/>
  <c r="E1879" i="11" s="1"/>
  <c r="F1879" i="11" s="1"/>
  <c r="D1877" i="11"/>
  <c r="E1877" i="11" s="1"/>
  <c r="F1877" i="11" s="1"/>
  <c r="D1876" i="11"/>
  <c r="E1876" i="11" s="1"/>
  <c r="F1876" i="11" s="1"/>
  <c r="D1875" i="11"/>
  <c r="E1875" i="11" s="1"/>
  <c r="F1875" i="11" s="1"/>
  <c r="D1874" i="11"/>
  <c r="E1874" i="11" s="1"/>
  <c r="F1874" i="11" s="1"/>
  <c r="D1873" i="11"/>
  <c r="E1873" i="11" s="1"/>
  <c r="F1873" i="11" s="1"/>
  <c r="D1872" i="11"/>
  <c r="E1872" i="11" s="1"/>
  <c r="F1872" i="11" s="1"/>
  <c r="D1871" i="11"/>
  <c r="E1871" i="11" s="1"/>
  <c r="F1871" i="11" s="1"/>
  <c r="G1871" i="11" s="1"/>
  <c r="H1921" i="11"/>
  <c r="K1921" i="11" s="1"/>
  <c r="D1921" i="11"/>
  <c r="F1921" i="11" s="1"/>
  <c r="H1920" i="11"/>
  <c r="K1920" i="11" s="1"/>
  <c r="D1920" i="11"/>
  <c r="F1920" i="11" s="1"/>
  <c r="H1919" i="11"/>
  <c r="D1919" i="11"/>
  <c r="F1919" i="11" s="1"/>
  <c r="H1918" i="11"/>
  <c r="K1918" i="11" s="1"/>
  <c r="D1918" i="11"/>
  <c r="H1917" i="11"/>
  <c r="K1917" i="11" s="1"/>
  <c r="D1917" i="11"/>
  <c r="H1916" i="11"/>
  <c r="K1916" i="11" s="1"/>
  <c r="D1916" i="11"/>
  <c r="D1910" i="11"/>
  <c r="E1910" i="11" s="1"/>
  <c r="F1910" i="11" s="1"/>
  <c r="L1910" i="11" s="1"/>
  <c r="D1912" i="11"/>
  <c r="E1912" i="11" s="1"/>
  <c r="F1912" i="11" s="1"/>
  <c r="L1912" i="11" s="1"/>
  <c r="D1909" i="11"/>
  <c r="E1909" i="11" s="1"/>
  <c r="F1909" i="11" s="1"/>
  <c r="L1909" i="11" s="1"/>
  <c r="D1914" i="11"/>
  <c r="E1914" i="11" s="1"/>
  <c r="F1914" i="11" s="1"/>
  <c r="H2295" i="11"/>
  <c r="K2295" i="11" s="1"/>
  <c r="H2296" i="11"/>
  <c r="K2296" i="11" s="1"/>
  <c r="H2297" i="11"/>
  <c r="K2297" i="11" s="1"/>
  <c r="H2294" i="11"/>
  <c r="K2294" i="11" s="1"/>
  <c r="D2297" i="11"/>
  <c r="D2296" i="11"/>
  <c r="D2295" i="11"/>
  <c r="D2294" i="11"/>
  <c r="K2283" i="11"/>
  <c r="D2289" i="11"/>
  <c r="E2289" i="11" s="1"/>
  <c r="F2289" i="11" s="1"/>
  <c r="D2286" i="11"/>
  <c r="E2286" i="11" s="1"/>
  <c r="F2286" i="11" s="1"/>
  <c r="G2286" i="11" s="1"/>
  <c r="K2289" i="11"/>
  <c r="D2292" i="11"/>
  <c r="E2292" i="11" s="1"/>
  <c r="F2292" i="11" s="1"/>
  <c r="G2292" i="11" s="1"/>
  <c r="F2290" i="11"/>
  <c r="G2290" i="11" s="1"/>
  <c r="D2288" i="11"/>
  <c r="E2288" i="11" s="1"/>
  <c r="F2288" i="11" s="1"/>
  <c r="G2288" i="11" s="1"/>
  <c r="D2287" i="11"/>
  <c r="E2287" i="11" s="1"/>
  <c r="F2287" i="11" s="1"/>
  <c r="G2287" i="11" s="1"/>
  <c r="D2285" i="11"/>
  <c r="E2285" i="11" s="1"/>
  <c r="F2285" i="11" s="1"/>
  <c r="G2285" i="11" s="1"/>
  <c r="D2284" i="11"/>
  <c r="E2284" i="11" s="1"/>
  <c r="F2284" i="11" s="1"/>
  <c r="G2284" i="11" s="1"/>
  <c r="D2283" i="11"/>
  <c r="E2283" i="11" s="1"/>
  <c r="F2283" i="11" s="1"/>
  <c r="G2283" i="11" s="1"/>
  <c r="D1290" i="11"/>
  <c r="E1290" i="11" s="1"/>
  <c r="F1290" i="11" s="1"/>
  <c r="G1290" i="11" s="1"/>
  <c r="K1290" i="11"/>
  <c r="H161" i="11"/>
  <c r="H168" i="11"/>
  <c r="D166" i="11"/>
  <c r="D165" i="11"/>
  <c r="D164" i="11"/>
  <c r="F164" i="11" s="1"/>
  <c r="D163" i="11"/>
  <c r="D162" i="11"/>
  <c r="D161" i="11"/>
  <c r="D158" i="11"/>
  <c r="F158" i="11" s="1"/>
  <c r="D2222" i="11"/>
  <c r="E2222" i="11" s="1"/>
  <c r="F2222" i="11" s="1"/>
  <c r="K2216" i="11"/>
  <c r="H2230" i="11"/>
  <c r="K2230" i="11" s="1"/>
  <c r="D2230" i="11"/>
  <c r="H2229" i="11"/>
  <c r="K2229" i="11" s="1"/>
  <c r="D2229" i="11"/>
  <c r="H2228" i="11"/>
  <c r="K2228" i="11" s="1"/>
  <c r="H2227" i="11"/>
  <c r="K2227" i="11" s="1"/>
  <c r="D2227" i="11"/>
  <c r="H2226" i="11"/>
  <c r="K2226" i="11" s="1"/>
  <c r="D2223" i="11"/>
  <c r="E2223" i="11" s="1"/>
  <c r="F2223" i="11" s="1"/>
  <c r="D2221" i="11"/>
  <c r="F2221" i="11" s="1"/>
  <c r="D2220" i="11"/>
  <c r="E2220" i="11" s="1"/>
  <c r="F2220" i="11" s="1"/>
  <c r="D2219" i="11"/>
  <c r="E2219" i="11" s="1"/>
  <c r="F2219" i="11" s="1"/>
  <c r="D2218" i="11"/>
  <c r="E2218" i="11" s="1"/>
  <c r="F2218" i="11" s="1"/>
  <c r="D2217" i="11"/>
  <c r="E2217" i="11" s="1"/>
  <c r="F2217" i="11" s="1"/>
  <c r="D2216" i="11"/>
  <c r="E2216" i="11" s="1"/>
  <c r="F2216" i="11" s="1"/>
  <c r="G2216" i="11" s="1"/>
  <c r="H2047" i="11"/>
  <c r="K2047" i="11" s="1"/>
  <c r="D2044" i="11"/>
  <c r="E2044" i="11" s="1"/>
  <c r="F2044" i="11" s="1"/>
  <c r="G2044" i="11" s="1"/>
  <c r="D2043" i="11"/>
  <c r="E2043" i="11" s="1"/>
  <c r="F2043" i="11" s="1"/>
  <c r="G2043" i="11" s="1"/>
  <c r="D2042" i="11"/>
  <c r="E2042" i="11" s="1"/>
  <c r="F2042" i="11" s="1"/>
  <c r="G2042" i="11" s="1"/>
  <c r="D2041" i="11"/>
  <c r="F2041" i="11" s="1"/>
  <c r="G2041" i="11" s="1"/>
  <c r="D2040" i="11"/>
  <c r="E2040" i="11" s="1"/>
  <c r="F2040" i="11" s="1"/>
  <c r="G2040" i="11" s="1"/>
  <c r="D2039" i="11"/>
  <c r="E2039" i="11" s="1"/>
  <c r="F2039" i="11" s="1"/>
  <c r="G2039" i="11" s="1"/>
  <c r="D2038" i="11"/>
  <c r="E2038" i="11" s="1"/>
  <c r="F2038" i="11" s="1"/>
  <c r="G2038" i="11" s="1"/>
  <c r="D2037" i="11"/>
  <c r="E2037" i="11" s="1"/>
  <c r="F2037" i="11" s="1"/>
  <c r="G2037" i="11" s="1"/>
  <c r="D2036" i="11"/>
  <c r="E2036" i="11" s="1"/>
  <c r="F2036" i="11" s="1"/>
  <c r="G2036" i="11" s="1"/>
  <c r="K1142" i="11"/>
  <c r="K1143" i="11"/>
  <c r="K1144" i="11"/>
  <c r="K1145" i="11"/>
  <c r="K1146" i="11"/>
  <c r="K1147" i="11"/>
  <c r="K1148" i="11"/>
  <c r="K1149" i="11"/>
  <c r="K1141" i="11"/>
  <c r="D1156" i="11"/>
  <c r="D1155" i="11"/>
  <c r="F1155" i="11" s="1"/>
  <c r="D1154" i="11"/>
  <c r="F1154" i="11" s="1"/>
  <c r="D1153" i="11"/>
  <c r="D1152" i="11"/>
  <c r="F1152" i="11" s="1"/>
  <c r="D1151" i="11"/>
  <c r="D1147" i="11"/>
  <c r="E1147" i="11" s="1"/>
  <c r="F1147" i="11" s="1"/>
  <c r="H1155" i="11"/>
  <c r="K1155" i="11" s="1"/>
  <c r="H1154" i="11"/>
  <c r="K1154" i="11" s="1"/>
  <c r="H1153" i="11"/>
  <c r="K1153" i="11" s="1"/>
  <c r="H1152" i="11"/>
  <c r="H1151" i="11"/>
  <c r="K1151" i="11" s="1"/>
  <c r="D1148" i="11"/>
  <c r="E1148" i="11" s="1"/>
  <c r="F1148" i="11" s="1"/>
  <c r="G1148" i="11" s="1"/>
  <c r="D1146" i="11"/>
  <c r="F1146" i="11" s="1"/>
  <c r="G1146" i="11" s="1"/>
  <c r="D1145" i="11"/>
  <c r="E1145" i="11" s="1"/>
  <c r="F1145" i="11" s="1"/>
  <c r="G1145" i="11" s="1"/>
  <c r="D1144" i="11"/>
  <c r="E1144" i="11" s="1"/>
  <c r="F1144" i="11" s="1"/>
  <c r="G1144" i="11" s="1"/>
  <c r="D1143" i="11"/>
  <c r="E1143" i="11" s="1"/>
  <c r="F1143" i="11" s="1"/>
  <c r="G1143" i="11" s="1"/>
  <c r="D1142" i="11"/>
  <c r="E1142" i="11" s="1"/>
  <c r="F1142" i="11" s="1"/>
  <c r="G1142" i="11" s="1"/>
  <c r="D1141" i="11"/>
  <c r="E1141" i="11" s="1"/>
  <c r="F1141" i="11" s="1"/>
  <c r="G1141" i="11" s="1"/>
  <c r="D1842" i="11"/>
  <c r="E1842" i="11" s="1"/>
  <c r="F1842" i="11" s="1"/>
  <c r="K1836" i="11"/>
  <c r="K1837" i="11"/>
  <c r="K1838" i="11"/>
  <c r="K1839" i="11"/>
  <c r="K1840" i="11"/>
  <c r="K1841" i="11"/>
  <c r="K1842" i="11"/>
  <c r="K1843" i="11"/>
  <c r="K1844" i="11"/>
  <c r="K1835" i="11"/>
  <c r="H1851" i="11"/>
  <c r="K1851" i="11" s="1"/>
  <c r="D1851" i="11"/>
  <c r="H1850" i="11"/>
  <c r="K1850" i="11" s="1"/>
  <c r="D1850" i="11"/>
  <c r="F1850" i="11" s="1"/>
  <c r="H1849" i="11"/>
  <c r="D1849" i="11"/>
  <c r="F1849" i="11" s="1"/>
  <c r="H1848" i="11"/>
  <c r="K1848" i="11" s="1"/>
  <c r="D1848" i="11"/>
  <c r="F1848" i="11" s="1"/>
  <c r="H1847" i="11"/>
  <c r="K1847" i="11" s="1"/>
  <c r="D1847" i="11"/>
  <c r="F1847" i="11" s="1"/>
  <c r="H1846" i="11"/>
  <c r="K1846" i="11" s="1"/>
  <c r="D1846" i="11"/>
  <c r="F1846" i="11" s="1"/>
  <c r="D1843" i="11"/>
  <c r="E1843" i="11" s="1"/>
  <c r="F1843" i="11" s="1"/>
  <c r="G1843" i="11" s="1"/>
  <c r="G1842" i="11"/>
  <c r="D1841" i="11"/>
  <c r="D1840" i="11"/>
  <c r="F1840" i="11" s="1"/>
  <c r="G1840" i="11" s="1"/>
  <c r="D1839" i="11"/>
  <c r="E1839" i="11" s="1"/>
  <c r="F1839" i="11" s="1"/>
  <c r="G1839" i="11" s="1"/>
  <c r="D1838" i="11"/>
  <c r="E1838" i="11" s="1"/>
  <c r="F1838" i="11" s="1"/>
  <c r="G1838" i="11" s="1"/>
  <c r="D1837" i="11"/>
  <c r="E1837" i="11" s="1"/>
  <c r="F1837" i="11" s="1"/>
  <c r="G1837" i="11" s="1"/>
  <c r="D1836" i="11"/>
  <c r="E1836" i="11" s="1"/>
  <c r="F1836" i="11" s="1"/>
  <c r="G1836" i="11" s="1"/>
  <c r="D1835" i="11"/>
  <c r="E1835" i="11" s="1"/>
  <c r="F1835" i="11" s="1"/>
  <c r="G1835" i="11" s="1"/>
  <c r="H2015" i="11"/>
  <c r="K2015" i="11" s="1"/>
  <c r="H2014" i="11"/>
  <c r="K2014" i="11" s="1"/>
  <c r="K2001" i="11"/>
  <c r="K2002" i="11"/>
  <c r="K2003" i="11"/>
  <c r="K2004" i="11"/>
  <c r="K2005" i="11"/>
  <c r="K2006" i="11"/>
  <c r="K2007" i="11"/>
  <c r="K2008" i="11"/>
  <c r="K2000" i="11"/>
  <c r="D2015" i="11"/>
  <c r="D2014" i="11"/>
  <c r="F2014" i="11" s="1"/>
  <c r="D2013" i="11"/>
  <c r="F2013" i="11" s="1"/>
  <c r="D2012" i="11"/>
  <c r="F2012" i="11" s="1"/>
  <c r="D2011" i="11"/>
  <c r="D2010" i="11"/>
  <c r="D2006" i="11"/>
  <c r="H2013" i="11"/>
  <c r="H2012" i="11"/>
  <c r="K2012" i="11" s="1"/>
  <c r="H2011" i="11"/>
  <c r="K2011" i="11" s="1"/>
  <c r="H2010" i="11"/>
  <c r="K2010" i="11" s="1"/>
  <c r="D2007" i="11"/>
  <c r="E2007" i="11" s="1"/>
  <c r="F2007" i="11" s="1"/>
  <c r="G2007" i="11" s="1"/>
  <c r="D2005" i="11"/>
  <c r="F2005" i="11" s="1"/>
  <c r="G2005" i="11" s="1"/>
  <c r="D2004" i="11"/>
  <c r="E2004" i="11" s="1"/>
  <c r="F2004" i="11" s="1"/>
  <c r="G2004" i="11" s="1"/>
  <c r="D2003" i="11"/>
  <c r="E2003" i="11" s="1"/>
  <c r="F2003" i="11" s="1"/>
  <c r="G2003" i="11" s="1"/>
  <c r="D2002" i="11"/>
  <c r="E2002" i="11" s="1"/>
  <c r="F2002" i="11" s="1"/>
  <c r="G2002" i="11" s="1"/>
  <c r="D2001" i="11"/>
  <c r="E2001" i="11" s="1"/>
  <c r="F2001" i="11" s="1"/>
  <c r="G2001" i="11" s="1"/>
  <c r="D2000" i="11"/>
  <c r="E2000" i="11" s="1"/>
  <c r="F2000" i="11" s="1"/>
  <c r="G2000" i="11" s="1"/>
  <c r="K1807" i="11"/>
  <c r="D1807" i="11"/>
  <c r="D1952" i="11"/>
  <c r="F1952" i="11" s="1"/>
  <c r="D1951" i="11"/>
  <c r="F1951" i="11" s="1"/>
  <c r="D1950" i="11"/>
  <c r="F1950" i="11" s="1"/>
  <c r="H1578" i="11"/>
  <c r="K1578" i="11" s="1"/>
  <c r="D1578" i="11"/>
  <c r="F1578" i="11" s="1"/>
  <c r="H1577" i="11"/>
  <c r="K1577" i="11" s="1"/>
  <c r="D1577" i="11"/>
  <c r="F1577" i="11" s="1"/>
  <c r="H1576" i="11"/>
  <c r="K1576" i="11" s="1"/>
  <c r="D1576" i="11"/>
  <c r="F1576" i="11" s="1"/>
  <c r="D1355" i="11"/>
  <c r="F1355" i="11" s="1"/>
  <c r="H1295" i="11"/>
  <c r="D1295" i="11"/>
  <c r="H1294" i="11"/>
  <c r="D1294" i="11"/>
  <c r="D993" i="11"/>
  <c r="D992" i="11"/>
  <c r="D991" i="11"/>
  <c r="K748" i="11"/>
  <c r="K749" i="11"/>
  <c r="K750" i="11"/>
  <c r="K751" i="11"/>
  <c r="K752" i="11"/>
  <c r="K753" i="11"/>
  <c r="K754" i="11"/>
  <c r="K755" i="11"/>
  <c r="K756" i="11"/>
  <c r="K415" i="11"/>
  <c r="K416" i="11"/>
  <c r="K417" i="11"/>
  <c r="K418" i="11"/>
  <c r="K419" i="11"/>
  <c r="K420" i="11"/>
  <c r="K421" i="11"/>
  <c r="K285" i="11"/>
  <c r="K286" i="11"/>
  <c r="K287" i="11"/>
  <c r="K288" i="11"/>
  <c r="K289" i="11"/>
  <c r="K290" i="11"/>
  <c r="K293" i="11"/>
  <c r="K284" i="11"/>
  <c r="K119" i="11"/>
  <c r="K120" i="11"/>
  <c r="K121" i="11"/>
  <c r="K122" i="11"/>
  <c r="K123" i="11"/>
  <c r="K124" i="11"/>
  <c r="K125" i="11"/>
  <c r="K126" i="11"/>
  <c r="K118" i="11"/>
  <c r="K88" i="11"/>
  <c r="K89" i="11"/>
  <c r="K90" i="11"/>
  <c r="K91" i="11"/>
  <c r="K92" i="11"/>
  <c r="K93" i="11"/>
  <c r="K87" i="11"/>
  <c r="K54" i="11"/>
  <c r="K55" i="11"/>
  <c r="K56" i="11"/>
  <c r="K57" i="11"/>
  <c r="K58" i="11"/>
  <c r="K59" i="11"/>
  <c r="K60" i="11"/>
  <c r="K61" i="11"/>
  <c r="K62" i="11"/>
  <c r="K19" i="11"/>
  <c r="K20" i="11"/>
  <c r="K21" i="11"/>
  <c r="K22" i="11"/>
  <c r="K23" i="11"/>
  <c r="K24" i="11"/>
  <c r="K25" i="11"/>
  <c r="K26" i="11"/>
  <c r="K718" i="11"/>
  <c r="K719" i="11"/>
  <c r="K720" i="11"/>
  <c r="K721" i="11"/>
  <c r="K722" i="11"/>
  <c r="K723" i="11"/>
  <c r="K724" i="11"/>
  <c r="K725" i="11"/>
  <c r="K717" i="11"/>
  <c r="K691" i="11"/>
  <c r="D691" i="11"/>
  <c r="E691" i="11" s="1"/>
  <c r="F691" i="11" s="1"/>
  <c r="K614" i="11"/>
  <c r="D60" i="11"/>
  <c r="E60" i="11" s="1"/>
  <c r="F60" i="11" s="1"/>
  <c r="K2292" i="11"/>
  <c r="K2081" i="11"/>
  <c r="K2045" i="11"/>
  <c r="K1809" i="11"/>
  <c r="K521" i="11"/>
  <c r="K452" i="11"/>
  <c r="K356" i="11"/>
  <c r="K319" i="11"/>
  <c r="H258" i="11"/>
  <c r="K258" i="11" s="1"/>
  <c r="H225" i="11"/>
  <c r="K225" i="11" s="1"/>
  <c r="H194" i="11"/>
  <c r="K194" i="11" s="1"/>
  <c r="K1747" i="11"/>
  <c r="L1747" i="11" s="1"/>
  <c r="D1747" i="11"/>
  <c r="D1745" i="11"/>
  <c r="H1750" i="11"/>
  <c r="K1750" i="11" s="1"/>
  <c r="D1750" i="11"/>
  <c r="H1749" i="11"/>
  <c r="K1749" i="11" s="1"/>
  <c r="D1749" i="11"/>
  <c r="H1748" i="11"/>
  <c r="K1748" i="11" s="1"/>
  <c r="H1746" i="11"/>
  <c r="K1746" i="11" s="1"/>
  <c r="D1746" i="11"/>
  <c r="H1745" i="11"/>
  <c r="K1745" i="11" s="1"/>
  <c r="D1743" i="11"/>
  <c r="E1743" i="11" s="1"/>
  <c r="F1743" i="11" s="1"/>
  <c r="G1743" i="11" s="1"/>
  <c r="D1742" i="11"/>
  <c r="E1742" i="11" s="1"/>
  <c r="F1742" i="11" s="1"/>
  <c r="G1742" i="11" s="1"/>
  <c r="D1741" i="11"/>
  <c r="E1741" i="11" s="1"/>
  <c r="F1741" i="11" s="1"/>
  <c r="G1741" i="11" s="1"/>
  <c r="D1740" i="11"/>
  <c r="E1740" i="11" s="1"/>
  <c r="F1740" i="11" s="1"/>
  <c r="G1740" i="11" s="1"/>
  <c r="D1738" i="11"/>
  <c r="E1738" i="11" s="1"/>
  <c r="F1738" i="11" s="1"/>
  <c r="G1738" i="11" s="1"/>
  <c r="D1737" i="11"/>
  <c r="E1737" i="11" s="1"/>
  <c r="F1737" i="11" s="1"/>
  <c r="G1737" i="11" s="1"/>
  <c r="D1736" i="11"/>
  <c r="E1736" i="11" s="1"/>
  <c r="F1736" i="11" s="1"/>
  <c r="G1736" i="11" s="1"/>
  <c r="D1735" i="11"/>
  <c r="E1735" i="11" s="1"/>
  <c r="F1735" i="11" s="1"/>
  <c r="G1735" i="11" s="1"/>
  <c r="H825" i="11"/>
  <c r="K825" i="11" s="1"/>
  <c r="D825" i="11"/>
  <c r="H824" i="11"/>
  <c r="K824" i="11" s="1"/>
  <c r="D824" i="11"/>
  <c r="H823" i="11"/>
  <c r="K823" i="11" s="1"/>
  <c r="H822" i="11"/>
  <c r="K822" i="11" s="1"/>
  <c r="D822" i="11"/>
  <c r="H821" i="11"/>
  <c r="K821" i="11" s="1"/>
  <c r="D821" i="11"/>
  <c r="D819" i="11"/>
  <c r="E819" i="11" s="1"/>
  <c r="F819" i="11" s="1"/>
  <c r="G819" i="11" s="1"/>
  <c r="D818" i="11"/>
  <c r="E818" i="11" s="1"/>
  <c r="F818" i="11" s="1"/>
  <c r="G818" i="11" s="1"/>
  <c r="D816" i="11"/>
  <c r="E816" i="11" s="1"/>
  <c r="F816" i="11" s="1"/>
  <c r="G816" i="11" s="1"/>
  <c r="D815" i="11"/>
  <c r="E815" i="11" s="1"/>
  <c r="F815" i="11" s="1"/>
  <c r="G815" i="11" s="1"/>
  <c r="D814" i="11"/>
  <c r="E814" i="11" s="1"/>
  <c r="F814" i="11" s="1"/>
  <c r="G814" i="11" s="1"/>
  <c r="D813" i="11"/>
  <c r="E813" i="11" s="1"/>
  <c r="F813" i="11" s="1"/>
  <c r="G813" i="11" s="1"/>
  <c r="K921" i="11"/>
  <c r="K922" i="11"/>
  <c r="K923" i="11"/>
  <c r="D929" i="11"/>
  <c r="D928" i="11"/>
  <c r="D926" i="11"/>
  <c r="H925" i="11"/>
  <c r="H929" i="11" s="1"/>
  <c r="K929" i="11" s="1"/>
  <c r="D925" i="11"/>
  <c r="D923" i="11"/>
  <c r="E923" i="11" s="1"/>
  <c r="F923" i="11" s="1"/>
  <c r="G923" i="11" s="1"/>
  <c r="D922" i="11"/>
  <c r="E922" i="11" s="1"/>
  <c r="F922" i="11" s="1"/>
  <c r="G922" i="11" s="1"/>
  <c r="D921" i="11"/>
  <c r="E921" i="11" s="1"/>
  <c r="F921" i="11" s="1"/>
  <c r="G921" i="11" s="1"/>
  <c r="D920" i="11"/>
  <c r="E920" i="11" s="1"/>
  <c r="F920" i="11" s="1"/>
  <c r="G920" i="11" s="1"/>
  <c r="D918" i="11"/>
  <c r="E918" i="11" s="1"/>
  <c r="F918" i="11" s="1"/>
  <c r="G918" i="11" s="1"/>
  <c r="D917" i="11"/>
  <c r="E917" i="11" s="1"/>
  <c r="F917" i="11" s="1"/>
  <c r="G917" i="11" s="1"/>
  <c r="D916" i="11"/>
  <c r="E916" i="11" s="1"/>
  <c r="F916" i="11" s="1"/>
  <c r="G916" i="11" s="1"/>
  <c r="D915" i="11"/>
  <c r="E915" i="11" s="1"/>
  <c r="F915" i="11" s="1"/>
  <c r="G915" i="11" s="1"/>
  <c r="H2148" i="11"/>
  <c r="H2152" i="11" s="1"/>
  <c r="K2152" i="11" s="1"/>
  <c r="D2148" i="11"/>
  <c r="D2152" i="11"/>
  <c r="D2151" i="11"/>
  <c r="D2149" i="11"/>
  <c r="D2146" i="11"/>
  <c r="E2146" i="11" s="1"/>
  <c r="F2146" i="11" s="1"/>
  <c r="G2146" i="11" s="1"/>
  <c r="D2145" i="11"/>
  <c r="E2145" i="11" s="1"/>
  <c r="F2145" i="11" s="1"/>
  <c r="G2145" i="11" s="1"/>
  <c r="D2144" i="11"/>
  <c r="E2144" i="11" s="1"/>
  <c r="F2144" i="11" s="1"/>
  <c r="G2144" i="11" s="1"/>
  <c r="D2143" i="11"/>
  <c r="E2143" i="11" s="1"/>
  <c r="F2143" i="11" s="1"/>
  <c r="G2143" i="11" s="1"/>
  <c r="D2141" i="11"/>
  <c r="E2141" i="11" s="1"/>
  <c r="F2141" i="11" s="1"/>
  <c r="G2141" i="11" s="1"/>
  <c r="D2140" i="11"/>
  <c r="E2140" i="11" s="1"/>
  <c r="F2140" i="11" s="1"/>
  <c r="G2140" i="11" s="1"/>
  <c r="D2139" i="11"/>
  <c r="E2139" i="11" s="1"/>
  <c r="F2139" i="11" s="1"/>
  <c r="G2139" i="11" s="1"/>
  <c r="D2138" i="11"/>
  <c r="E2138" i="11" s="1"/>
  <c r="F2138" i="11" s="1"/>
  <c r="G2138" i="11" s="1"/>
  <c r="D25" i="11"/>
  <c r="E25" i="11" s="1"/>
  <c r="F25" i="11" s="1"/>
  <c r="K780" i="11"/>
  <c r="H793" i="11"/>
  <c r="K793" i="11" s="1"/>
  <c r="D793" i="11"/>
  <c r="H792" i="11"/>
  <c r="K792" i="11" s="1"/>
  <c r="D792" i="11"/>
  <c r="H791" i="11"/>
  <c r="H790" i="11"/>
  <c r="D790" i="11"/>
  <c r="H789" i="11"/>
  <c r="D789" i="11"/>
  <c r="H788" i="11"/>
  <c r="D788" i="11"/>
  <c r="D786" i="11"/>
  <c r="E786" i="11" s="1"/>
  <c r="F786" i="11" s="1"/>
  <c r="G786" i="11" s="1"/>
  <c r="D785" i="11"/>
  <c r="E785" i="11" s="1"/>
  <c r="F785" i="11" s="1"/>
  <c r="G785" i="11" s="1"/>
  <c r="D784" i="11"/>
  <c r="E784" i="11" s="1"/>
  <c r="F784" i="11" s="1"/>
  <c r="G784" i="11" s="1"/>
  <c r="D782" i="11"/>
  <c r="E782" i="11" s="1"/>
  <c r="F782" i="11" s="1"/>
  <c r="G782" i="11" s="1"/>
  <c r="D781" i="11"/>
  <c r="E781" i="11" s="1"/>
  <c r="F781" i="11" s="1"/>
  <c r="G781" i="11" s="1"/>
  <c r="D780" i="11"/>
  <c r="E780" i="11" s="1"/>
  <c r="F780" i="11" s="1"/>
  <c r="G780" i="11" s="1"/>
  <c r="D548" i="11"/>
  <c r="H760" i="11"/>
  <c r="K760" i="11" s="1"/>
  <c r="D760" i="11"/>
  <c r="H759" i="11"/>
  <c r="K759" i="11" s="1"/>
  <c r="D759" i="11"/>
  <c r="H758" i="11"/>
  <c r="K758" i="11" s="1"/>
  <c r="D758" i="11"/>
  <c r="D756" i="11"/>
  <c r="F756" i="11" s="1"/>
  <c r="G756" i="11" s="1"/>
  <c r="D755" i="11"/>
  <c r="E755" i="11" s="1"/>
  <c r="F755" i="11" s="1"/>
  <c r="G755" i="11" s="1"/>
  <c r="D753" i="11"/>
  <c r="E753" i="11" s="1"/>
  <c r="F753" i="11" s="1"/>
  <c r="G753" i="11" s="1"/>
  <c r="D752" i="11"/>
  <c r="E752" i="11" s="1"/>
  <c r="F752" i="11" s="1"/>
  <c r="G752" i="11" s="1"/>
  <c r="D751" i="11"/>
  <c r="E751" i="11" s="1"/>
  <c r="F751" i="11" s="1"/>
  <c r="G751" i="11" s="1"/>
  <c r="D750" i="11"/>
  <c r="E750" i="11" s="1"/>
  <c r="F750" i="11" s="1"/>
  <c r="G750" i="11" s="1"/>
  <c r="D749" i="11"/>
  <c r="E749" i="11" s="1"/>
  <c r="F749" i="11" s="1"/>
  <c r="G749" i="11" s="1"/>
  <c r="D748" i="11"/>
  <c r="E748" i="11" s="1"/>
  <c r="F748" i="11" s="1"/>
  <c r="G748" i="11" s="1"/>
  <c r="D729" i="11"/>
  <c r="D728" i="11"/>
  <c r="D727" i="11"/>
  <c r="D724" i="11"/>
  <c r="E724" i="11" s="1"/>
  <c r="F724" i="11" s="1"/>
  <c r="D687" i="11"/>
  <c r="K690" i="11"/>
  <c r="D690" i="11"/>
  <c r="E690" i="11" s="1"/>
  <c r="F690" i="11" s="1"/>
  <c r="K689" i="11"/>
  <c r="K1700" i="11"/>
  <c r="K1706" i="11"/>
  <c r="K1707" i="11"/>
  <c r="H1714" i="11"/>
  <c r="K1714" i="11" s="1"/>
  <c r="D1714" i="11"/>
  <c r="H1713" i="11"/>
  <c r="K1713" i="11" s="1"/>
  <c r="D1713" i="11"/>
  <c r="H1712" i="11"/>
  <c r="D1712" i="11"/>
  <c r="F1712" i="11" s="1"/>
  <c r="H1711" i="11"/>
  <c r="K1711" i="11" s="1"/>
  <c r="D1711" i="11"/>
  <c r="F1711" i="11" s="1"/>
  <c r="H1710" i="11"/>
  <c r="K1710" i="11" s="1"/>
  <c r="D1710" i="11"/>
  <c r="F1710" i="11" s="1"/>
  <c r="H1709" i="11"/>
  <c r="K1709" i="11" s="1"/>
  <c r="D1709" i="11"/>
  <c r="F1709" i="11" s="1"/>
  <c r="D1707" i="11"/>
  <c r="E1707" i="11" s="1"/>
  <c r="F1707" i="11" s="1"/>
  <c r="G1707" i="11" s="1"/>
  <c r="D1705" i="11"/>
  <c r="E1705" i="11" s="1"/>
  <c r="F1705" i="11" s="1"/>
  <c r="G1705" i="11" s="1"/>
  <c r="D1704" i="11"/>
  <c r="E1704" i="11" s="1"/>
  <c r="F1704" i="11" s="1"/>
  <c r="G1704" i="11" s="1"/>
  <c r="D1703" i="11"/>
  <c r="E1703" i="11" s="1"/>
  <c r="F1703" i="11" s="1"/>
  <c r="G1703" i="11" s="1"/>
  <c r="D1702" i="11"/>
  <c r="E1702" i="11" s="1"/>
  <c r="F1702" i="11" s="1"/>
  <c r="G1702" i="11" s="1"/>
  <c r="D1701" i="11"/>
  <c r="E1701" i="11" s="1"/>
  <c r="F1701" i="11" s="1"/>
  <c r="G1701" i="11" s="1"/>
  <c r="D1700" i="11"/>
  <c r="E1700" i="11" s="1"/>
  <c r="F1700" i="11" s="1"/>
  <c r="G1700" i="11" s="1"/>
  <c r="H1716" i="11"/>
  <c r="D652" i="11"/>
  <c r="D654" i="11"/>
  <c r="K656" i="11"/>
  <c r="D656" i="11"/>
  <c r="E656" i="11" s="1"/>
  <c r="F656" i="11" s="1"/>
  <c r="K655" i="11"/>
  <c r="D617" i="11"/>
  <c r="K621" i="11"/>
  <c r="K620" i="11"/>
  <c r="D620" i="11"/>
  <c r="E620" i="11" s="1"/>
  <c r="F620" i="11" s="1"/>
  <c r="H558" i="11"/>
  <c r="K558" i="11" s="1"/>
  <c r="D558" i="11"/>
  <c r="F558" i="11" s="1"/>
  <c r="C541" i="11"/>
  <c r="D519" i="11"/>
  <c r="F519" i="11" s="1"/>
  <c r="K520" i="11"/>
  <c r="D520" i="11"/>
  <c r="E520" i="11" s="1"/>
  <c r="F520" i="11" s="1"/>
  <c r="K519" i="11"/>
  <c r="D486" i="11"/>
  <c r="E486" i="11" s="1"/>
  <c r="F486" i="11" s="1"/>
  <c r="G486" i="11" s="1"/>
  <c r="K486" i="11"/>
  <c r="D450" i="11"/>
  <c r="K450" i="11"/>
  <c r="K451" i="11"/>
  <c r="D451" i="11"/>
  <c r="E451" i="11" s="1"/>
  <c r="F451" i="11" s="1"/>
  <c r="G451" i="11" s="1"/>
  <c r="D449" i="11"/>
  <c r="D448" i="11"/>
  <c r="D447" i="11"/>
  <c r="D446" i="11"/>
  <c r="D445" i="11"/>
  <c r="H454" i="11"/>
  <c r="K454" i="11" s="1"/>
  <c r="D425" i="11"/>
  <c r="D424" i="11"/>
  <c r="D423" i="11"/>
  <c r="D395" i="11"/>
  <c r="D394" i="11"/>
  <c r="D393" i="11"/>
  <c r="D392" i="11"/>
  <c r="D389" i="11"/>
  <c r="D388" i="11"/>
  <c r="D2263" i="11"/>
  <c r="D2262" i="11"/>
  <c r="D2261" i="11"/>
  <c r="F2261" i="11" s="1"/>
  <c r="D2260" i="11"/>
  <c r="D2259" i="11"/>
  <c r="D2258" i="11"/>
  <c r="D2052" i="11"/>
  <c r="D2051" i="11"/>
  <c r="F2051" i="11" s="1"/>
  <c r="D2050" i="11"/>
  <c r="F2050" i="11" s="1"/>
  <c r="D2049" i="11"/>
  <c r="D2048" i="11"/>
  <c r="D2047" i="11"/>
  <c r="D1612" i="11"/>
  <c r="D1611" i="11"/>
  <c r="F1611" i="11" s="1"/>
  <c r="D1610" i="11"/>
  <c r="F1610" i="11" s="1"/>
  <c r="D1609" i="11"/>
  <c r="D1608" i="11"/>
  <c r="D1607" i="11"/>
  <c r="D1512" i="11"/>
  <c r="D1511" i="11"/>
  <c r="F1511" i="11" s="1"/>
  <c r="D1510" i="11"/>
  <c r="F1510" i="11" s="1"/>
  <c r="D1509" i="11"/>
  <c r="D1508" i="11"/>
  <c r="D1507" i="11"/>
  <c r="D1263" i="11"/>
  <c r="D1262" i="11"/>
  <c r="D1261" i="11"/>
  <c r="D1260" i="11"/>
  <c r="D1259" i="11"/>
  <c r="D1258" i="11"/>
  <c r="D1227" i="11"/>
  <c r="D1226" i="11"/>
  <c r="D1225" i="11"/>
  <c r="F1225" i="11" s="1"/>
  <c r="D1224" i="11"/>
  <c r="D1223" i="11"/>
  <c r="D1222" i="11"/>
  <c r="D1087" i="11"/>
  <c r="D1086" i="11"/>
  <c r="D1085" i="11"/>
  <c r="D1084" i="11"/>
  <c r="D1083" i="11"/>
  <c r="D1082" i="11"/>
  <c r="D860" i="11"/>
  <c r="D859" i="11"/>
  <c r="D858" i="11"/>
  <c r="D857" i="11"/>
  <c r="D856" i="11"/>
  <c r="D855" i="11"/>
  <c r="D698" i="11"/>
  <c r="D697" i="11"/>
  <c r="D696" i="11"/>
  <c r="D695" i="11"/>
  <c r="D694" i="11"/>
  <c r="D693" i="11"/>
  <c r="C677" i="11"/>
  <c r="D663" i="11"/>
  <c r="D662" i="11"/>
  <c r="D661" i="11"/>
  <c r="F661" i="11" s="1"/>
  <c r="D660" i="11"/>
  <c r="D659" i="11"/>
  <c r="D658" i="11"/>
  <c r="D628" i="11"/>
  <c r="D627" i="11"/>
  <c r="F627" i="11" s="1"/>
  <c r="D626" i="11"/>
  <c r="F626" i="11" s="1"/>
  <c r="D625" i="11"/>
  <c r="D624" i="11"/>
  <c r="D623" i="11"/>
  <c r="D594" i="11"/>
  <c r="D593" i="11"/>
  <c r="D592" i="11"/>
  <c r="D591" i="11"/>
  <c r="D590" i="11"/>
  <c r="F591" i="11" s="1"/>
  <c r="D589" i="11"/>
  <c r="D528" i="11"/>
  <c r="D527" i="11"/>
  <c r="D526" i="11"/>
  <c r="F526" i="11" s="1"/>
  <c r="D525" i="11"/>
  <c r="D524" i="11"/>
  <c r="D523" i="11"/>
  <c r="C506" i="11"/>
  <c r="C473" i="11"/>
  <c r="D494" i="11"/>
  <c r="D493" i="11"/>
  <c r="D492" i="11"/>
  <c r="D491" i="11"/>
  <c r="D490" i="11"/>
  <c r="D489" i="11"/>
  <c r="D459" i="11"/>
  <c r="D458" i="11"/>
  <c r="D457" i="11"/>
  <c r="D456" i="11"/>
  <c r="D455" i="11"/>
  <c r="D454" i="11"/>
  <c r="C438" i="11"/>
  <c r="C408" i="11"/>
  <c r="D363" i="11"/>
  <c r="D362" i="11"/>
  <c r="D326" i="11"/>
  <c r="D325" i="11"/>
  <c r="F325" i="11" s="1"/>
  <c r="D361" i="11"/>
  <c r="F361" i="11" s="1"/>
  <c r="D360" i="11"/>
  <c r="F360" i="11" s="1"/>
  <c r="D359" i="11"/>
  <c r="F359" i="11" s="1"/>
  <c r="D358" i="11"/>
  <c r="D355" i="11"/>
  <c r="D354" i="11"/>
  <c r="D353" i="11"/>
  <c r="D352" i="11"/>
  <c r="D351" i="11"/>
  <c r="D350" i="11"/>
  <c r="C343" i="11"/>
  <c r="C306" i="11"/>
  <c r="D324" i="11"/>
  <c r="F324" i="11" s="1"/>
  <c r="D323" i="11"/>
  <c r="D322" i="11"/>
  <c r="F322" i="11" s="1"/>
  <c r="D321" i="11"/>
  <c r="D318" i="11"/>
  <c r="E318" i="11" s="1"/>
  <c r="F318" i="11" s="1"/>
  <c r="D317" i="11"/>
  <c r="E317" i="11" s="1"/>
  <c r="F317" i="11" s="1"/>
  <c r="D316" i="11"/>
  <c r="E316" i="11" s="1"/>
  <c r="F316" i="11" s="1"/>
  <c r="D315" i="11"/>
  <c r="E315" i="11" s="1"/>
  <c r="F315" i="11" s="1"/>
  <c r="D314" i="11"/>
  <c r="E314" i="11" s="1"/>
  <c r="F314" i="11" s="1"/>
  <c r="D313" i="11"/>
  <c r="E313" i="11" s="1"/>
  <c r="F313" i="11" s="1"/>
  <c r="D293" i="11"/>
  <c r="F293" i="11" s="1"/>
  <c r="G293" i="11" s="1"/>
  <c r="D263" i="11"/>
  <c r="D231" i="11"/>
  <c r="F231" i="11" s="1"/>
  <c r="D230" i="11"/>
  <c r="F230" i="11" s="1"/>
  <c r="D229" i="11"/>
  <c r="D228" i="11"/>
  <c r="D227" i="11"/>
  <c r="D224" i="11"/>
  <c r="D223" i="11"/>
  <c r="D221" i="11"/>
  <c r="D222" i="11"/>
  <c r="D220" i="11"/>
  <c r="D219" i="11"/>
  <c r="D199" i="11"/>
  <c r="D131" i="11"/>
  <c r="D59" i="11"/>
  <c r="H358" i="11"/>
  <c r="H359" i="11" s="1"/>
  <c r="H360" i="11" s="1"/>
  <c r="H321" i="11"/>
  <c r="K321" i="11" s="1"/>
  <c r="K318" i="11"/>
  <c r="K317" i="11"/>
  <c r="K316" i="11"/>
  <c r="K315" i="11"/>
  <c r="K314" i="11"/>
  <c r="K313" i="11"/>
  <c r="K294" i="11"/>
  <c r="C181" i="11"/>
  <c r="C145" i="11"/>
  <c r="C111" i="11"/>
  <c r="C80" i="11"/>
  <c r="C212" i="11"/>
  <c r="C277" i="11"/>
  <c r="C245" i="11"/>
  <c r="D260" i="11"/>
  <c r="D1195" i="11"/>
  <c r="D1193" i="11"/>
  <c r="D1192" i="11"/>
  <c r="C1170" i="11"/>
  <c r="H1189" i="11"/>
  <c r="H1188" i="11"/>
  <c r="H1187" i="11"/>
  <c r="H1186" i="11"/>
  <c r="H1185" i="11"/>
  <c r="H1184" i="11"/>
  <c r="H1183" i="11"/>
  <c r="H1182" i="11"/>
  <c r="H1181" i="11"/>
  <c r="H1179" i="11"/>
  <c r="H1178" i="11"/>
  <c r="H1177" i="11"/>
  <c r="H227" i="11"/>
  <c r="H159" i="11"/>
  <c r="K159" i="11" s="1"/>
  <c r="H157" i="11"/>
  <c r="K157" i="11" s="1"/>
  <c r="H156" i="11"/>
  <c r="K156" i="11" s="1"/>
  <c r="H155" i="11"/>
  <c r="K155" i="11" s="1"/>
  <c r="H153" i="11"/>
  <c r="K153" i="11" s="1"/>
  <c r="S96" i="5"/>
  <c r="K2285" i="11"/>
  <c r="K2286" i="11"/>
  <c r="K2287" i="11"/>
  <c r="K2288" i="11"/>
  <c r="K2290" i="11"/>
  <c r="K2291" i="11"/>
  <c r="K2284" i="11"/>
  <c r="H2299" i="11"/>
  <c r="C2276" i="11"/>
  <c r="C2275" i="11"/>
  <c r="S95" i="5"/>
  <c r="H2259" i="11"/>
  <c r="K2259" i="11" s="1"/>
  <c r="H2260" i="11"/>
  <c r="K2260" i="11" s="1"/>
  <c r="H2261" i="11"/>
  <c r="H2262" i="11"/>
  <c r="K2262" i="11" s="1"/>
  <c r="H2263" i="11"/>
  <c r="K2263" i="11" s="1"/>
  <c r="H2265" i="11"/>
  <c r="D2255" i="11"/>
  <c r="E2255" i="11" s="1"/>
  <c r="F2255" i="11" s="1"/>
  <c r="D2254" i="11"/>
  <c r="E2254" i="11" s="1"/>
  <c r="F2254" i="11" s="1"/>
  <c r="D2253" i="11"/>
  <c r="E2253" i="11" s="1"/>
  <c r="F2253" i="11" s="1"/>
  <c r="D2252" i="11"/>
  <c r="E2252" i="11" s="1"/>
  <c r="F2252" i="11" s="1"/>
  <c r="D2251" i="11"/>
  <c r="E2251" i="11" s="1"/>
  <c r="F2251" i="11" s="1"/>
  <c r="D2250" i="11"/>
  <c r="E2250" i="11" s="1"/>
  <c r="F2250" i="11" s="1"/>
  <c r="C2243" i="11"/>
  <c r="C2242" i="11"/>
  <c r="S94" i="5"/>
  <c r="H2232" i="11"/>
  <c r="C2209" i="11"/>
  <c r="C2208" i="11"/>
  <c r="K2145" i="11"/>
  <c r="K2146" i="11"/>
  <c r="K2144" i="11"/>
  <c r="K2139" i="11"/>
  <c r="K2140" i="11"/>
  <c r="K2141" i="11"/>
  <c r="K2142" i="11"/>
  <c r="K2143" i="11"/>
  <c r="K2138" i="11"/>
  <c r="H2154" i="11"/>
  <c r="C2131" i="11"/>
  <c r="C2130" i="11"/>
  <c r="S88" i="5"/>
  <c r="H2121" i="11"/>
  <c r="D2111" i="11"/>
  <c r="E2111" i="11" s="1"/>
  <c r="F2111" i="11" s="1"/>
  <c r="D2110" i="11"/>
  <c r="E2110" i="11" s="1"/>
  <c r="F2110" i="11" s="1"/>
  <c r="D2109" i="11"/>
  <c r="E2109" i="11" s="1"/>
  <c r="F2109" i="11" s="1"/>
  <c r="D2108" i="11"/>
  <c r="E2108" i="11" s="1"/>
  <c r="F2108" i="11" s="1"/>
  <c r="D2107" i="11"/>
  <c r="E2107" i="11" s="1"/>
  <c r="F2107" i="11" s="1"/>
  <c r="D2106" i="11"/>
  <c r="E2106" i="11" s="1"/>
  <c r="F2106" i="11" s="1"/>
  <c r="C2099" i="11"/>
  <c r="C2098" i="11"/>
  <c r="S87" i="5"/>
  <c r="K2083" i="11"/>
  <c r="K2073" i="11"/>
  <c r="D2084" i="11"/>
  <c r="D2073" i="11"/>
  <c r="E2073" i="11" s="1"/>
  <c r="F2073" i="11" s="1"/>
  <c r="H2084" i="11"/>
  <c r="K2084" i="11" s="1"/>
  <c r="H2085" i="11"/>
  <c r="K2085" i="11" s="1"/>
  <c r="H2086" i="11"/>
  <c r="G2086" i="11" s="1"/>
  <c r="K2075" i="11"/>
  <c r="K2076" i="11"/>
  <c r="K2078" i="11"/>
  <c r="K2079" i="11"/>
  <c r="K2080" i="11"/>
  <c r="K2074" i="11"/>
  <c r="H2088" i="11"/>
  <c r="D2080" i="11"/>
  <c r="F2080" i="11" s="1"/>
  <c r="D2079" i="11"/>
  <c r="E2079" i="11" s="1"/>
  <c r="F2079" i="11" s="1"/>
  <c r="D2078" i="11"/>
  <c r="E2078" i="11" s="1"/>
  <c r="F2078" i="11" s="1"/>
  <c r="D2076" i="11"/>
  <c r="E2076" i="11" s="1"/>
  <c r="F2076" i="11" s="1"/>
  <c r="D2075" i="11"/>
  <c r="E2075" i="11" s="1"/>
  <c r="F2075" i="11" s="1"/>
  <c r="D2074" i="11"/>
  <c r="E2074" i="11" s="1"/>
  <c r="F2074" i="11" s="1"/>
  <c r="C2066" i="11"/>
  <c r="C2065" i="11"/>
  <c r="S86" i="5"/>
  <c r="K2044" i="11"/>
  <c r="K2043" i="11"/>
  <c r="K2042" i="11"/>
  <c r="H2048" i="11"/>
  <c r="K2048" i="11" s="1"/>
  <c r="H2049" i="11"/>
  <c r="K2049" i="11" s="1"/>
  <c r="H2050" i="11"/>
  <c r="H2051" i="11"/>
  <c r="K2051" i="11" s="1"/>
  <c r="H2052" i="11"/>
  <c r="K2052" i="11" s="1"/>
  <c r="K2036" i="11"/>
  <c r="K2037" i="11"/>
  <c r="K2038" i="11"/>
  <c r="K2039" i="11"/>
  <c r="K2040" i="11"/>
  <c r="K2041" i="11"/>
  <c r="H2054" i="11"/>
  <c r="C2029" i="11"/>
  <c r="C2028" i="11"/>
  <c r="S84" i="5"/>
  <c r="H2017" i="11"/>
  <c r="C1993" i="11"/>
  <c r="C1992" i="11"/>
  <c r="S83" i="5"/>
  <c r="C1965" i="11"/>
  <c r="C1964" i="11"/>
  <c r="S82" i="5"/>
  <c r="H1954" i="11"/>
  <c r="C1934" i="11"/>
  <c r="C1933" i="11"/>
  <c r="S79" i="5"/>
  <c r="H1923" i="11"/>
  <c r="D1911" i="11"/>
  <c r="E1911" i="11" s="1"/>
  <c r="F1911" i="11" s="1"/>
  <c r="L1911" i="11" s="1"/>
  <c r="D1908" i="11"/>
  <c r="E1908" i="11" s="1"/>
  <c r="F1908" i="11" s="1"/>
  <c r="L1908" i="11" s="1"/>
  <c r="D1907" i="11"/>
  <c r="E1907" i="11" s="1"/>
  <c r="F1907" i="11" s="1"/>
  <c r="L1907" i="11" s="1"/>
  <c r="D1906" i="11"/>
  <c r="E1906" i="11" s="1"/>
  <c r="F1906" i="11" s="1"/>
  <c r="C1899" i="11"/>
  <c r="C1898" i="11"/>
  <c r="S78" i="5"/>
  <c r="H1888" i="11"/>
  <c r="C1864" i="11"/>
  <c r="C1863" i="11"/>
  <c r="S77" i="5"/>
  <c r="H1853" i="11"/>
  <c r="C1828" i="11"/>
  <c r="C1827" i="11"/>
  <c r="S76" i="5"/>
  <c r="D1806" i="11"/>
  <c r="F1806" i="11" s="1"/>
  <c r="K1808" i="11"/>
  <c r="D1808" i="11"/>
  <c r="E1808" i="11" s="1"/>
  <c r="F1808" i="11" s="1"/>
  <c r="G1808" i="11" s="1"/>
  <c r="H1812" i="11"/>
  <c r="K1812" i="11" s="1"/>
  <c r="H1813" i="11"/>
  <c r="K1813" i="11" s="1"/>
  <c r="H1814" i="11"/>
  <c r="K1814" i="11" s="1"/>
  <c r="H1815" i="11"/>
  <c r="K1815" i="11" s="1"/>
  <c r="H1811" i="11"/>
  <c r="K1811" i="11" s="1"/>
  <c r="D1804" i="11"/>
  <c r="E1804" i="11" s="1"/>
  <c r="F1804" i="11" s="1"/>
  <c r="K1803" i="11"/>
  <c r="D1803" i="11"/>
  <c r="E1803" i="11" s="1"/>
  <c r="F1803" i="11" s="1"/>
  <c r="K1802" i="11"/>
  <c r="K1804" i="11"/>
  <c r="K1805" i="11"/>
  <c r="K1806" i="11"/>
  <c r="K1801" i="11"/>
  <c r="H1817" i="11"/>
  <c r="D1815" i="11"/>
  <c r="D1814" i="11"/>
  <c r="F1814" i="11" s="1"/>
  <c r="D1812" i="11"/>
  <c r="F1812" i="11" s="1"/>
  <c r="D1811" i="11"/>
  <c r="D1805" i="11"/>
  <c r="E1805" i="11" s="1"/>
  <c r="F1805" i="11" s="1"/>
  <c r="D1802" i="11"/>
  <c r="E1802" i="11" s="1"/>
  <c r="F1802" i="11" s="1"/>
  <c r="D1801" i="11"/>
  <c r="E1801" i="11" s="1"/>
  <c r="F1801" i="11" s="1"/>
  <c r="C1794" i="11"/>
  <c r="C1793" i="11"/>
  <c r="S75" i="5"/>
  <c r="D1775" i="11"/>
  <c r="E1775" i="11" s="1"/>
  <c r="F1775" i="11" s="1"/>
  <c r="D1773" i="11"/>
  <c r="E1773" i="11" s="1"/>
  <c r="F1773" i="11" s="1"/>
  <c r="D1772" i="11"/>
  <c r="E1772" i="11" s="1"/>
  <c r="F1772" i="11" s="1"/>
  <c r="H1785" i="11"/>
  <c r="D1774" i="11"/>
  <c r="E1774" i="11" s="1"/>
  <c r="F1774" i="11" s="1"/>
  <c r="D1771" i="11"/>
  <c r="E1771" i="11" s="1"/>
  <c r="F1771" i="11" s="1"/>
  <c r="D1770" i="11"/>
  <c r="E1770" i="11" s="1"/>
  <c r="F1770" i="11" s="1"/>
  <c r="C1763" i="11"/>
  <c r="C1762" i="11"/>
  <c r="S73" i="5"/>
  <c r="K1736" i="11"/>
  <c r="K1737" i="11"/>
  <c r="K1738" i="11"/>
  <c r="K1739" i="11"/>
  <c r="K1740" i="11"/>
  <c r="K1735" i="11"/>
  <c r="H1752" i="11"/>
  <c r="K1743" i="11"/>
  <c r="K1742" i="11"/>
  <c r="K1741" i="11"/>
  <c r="C1728" i="11"/>
  <c r="C1727" i="11"/>
  <c r="S72" i="5"/>
  <c r="K1701" i="11"/>
  <c r="K1702" i="11"/>
  <c r="K1703" i="11"/>
  <c r="K1704" i="11"/>
  <c r="K1705" i="11"/>
  <c r="C1693" i="11"/>
  <c r="C1692" i="11"/>
  <c r="S71" i="5"/>
  <c r="H1681" i="11"/>
  <c r="C1658" i="11"/>
  <c r="C1657" i="11"/>
  <c r="S70" i="5"/>
  <c r="H1645" i="11"/>
  <c r="C1626" i="11"/>
  <c r="C1625" i="11"/>
  <c r="S69" i="5"/>
  <c r="H1608" i="11"/>
  <c r="K1608" i="11" s="1"/>
  <c r="H1609" i="11"/>
  <c r="K1609" i="11" s="1"/>
  <c r="H1610" i="11"/>
  <c r="H1611" i="11"/>
  <c r="K1611" i="11" s="1"/>
  <c r="H1612" i="11"/>
  <c r="K1612" i="11" s="1"/>
  <c r="H1607" i="11"/>
  <c r="K1607" i="11" s="1"/>
  <c r="H1614" i="11"/>
  <c r="C1591" i="11"/>
  <c r="C1590" i="11"/>
  <c r="S68" i="5"/>
  <c r="K1568" i="11"/>
  <c r="K1569" i="11"/>
  <c r="K1570" i="11"/>
  <c r="K1571" i="11"/>
  <c r="K1572" i="11"/>
  <c r="K1573" i="11"/>
  <c r="H1580" i="11"/>
  <c r="C1560" i="11"/>
  <c r="C1559" i="11"/>
  <c r="S67" i="5"/>
  <c r="D1538" i="11"/>
  <c r="D1537" i="11"/>
  <c r="D1535" i="11"/>
  <c r="D1534" i="11"/>
  <c r="D1533" i="11"/>
  <c r="D1532" i="11"/>
  <c r="C1525" i="11"/>
  <c r="K1533" i="11"/>
  <c r="K1534" i="11"/>
  <c r="K1535" i="11"/>
  <c r="K1536" i="11"/>
  <c r="K1537" i="11"/>
  <c r="K1538" i="11"/>
  <c r="K1539" i="11"/>
  <c r="K1532" i="11"/>
  <c r="S66" i="5"/>
  <c r="H1508" i="11"/>
  <c r="K1508" i="11" s="1"/>
  <c r="H1509" i="11"/>
  <c r="K1509" i="11" s="1"/>
  <c r="H1510" i="11"/>
  <c r="H1511" i="11"/>
  <c r="K1511" i="11" s="1"/>
  <c r="H1512" i="11"/>
  <c r="K1512" i="11" s="1"/>
  <c r="H1507" i="11"/>
  <c r="K1507" i="11" s="1"/>
  <c r="H1514" i="11"/>
  <c r="C1491" i="11"/>
  <c r="C1490" i="11"/>
  <c r="S65" i="5"/>
  <c r="H1478" i="11"/>
  <c r="K1478" i="11" s="1"/>
  <c r="D1476" i="11"/>
  <c r="E1476" i="11" s="1"/>
  <c r="F1476" i="11" s="1"/>
  <c r="D1473" i="11"/>
  <c r="E1473" i="11" s="1"/>
  <c r="F1473" i="11" s="1"/>
  <c r="H1479" i="11"/>
  <c r="K1479" i="11" s="1"/>
  <c r="H1477" i="11"/>
  <c r="K1477" i="11" s="1"/>
  <c r="K1473" i="11"/>
  <c r="K1474" i="11"/>
  <c r="K1475" i="11"/>
  <c r="K1476" i="11"/>
  <c r="H1481" i="11"/>
  <c r="D1479" i="11"/>
  <c r="F1479" i="11" s="1"/>
  <c r="D1475" i="11"/>
  <c r="E1475" i="11" s="1"/>
  <c r="F1475" i="11" s="1"/>
  <c r="D1474" i="11"/>
  <c r="E1474" i="11" s="1"/>
  <c r="F1474" i="11" s="1"/>
  <c r="D1472" i="11"/>
  <c r="E1472" i="11" s="1"/>
  <c r="F1472" i="11" s="1"/>
  <c r="C1465" i="11"/>
  <c r="C1464" i="11"/>
  <c r="G1971" i="11" l="1"/>
  <c r="G1676" i="11"/>
  <c r="G1780" i="11"/>
  <c r="G1678" i="11"/>
  <c r="G202" i="14"/>
  <c r="G1782" i="11"/>
  <c r="L51" i="14"/>
  <c r="G236" i="14"/>
  <c r="L1842" i="11"/>
  <c r="E2006" i="11"/>
  <c r="F2006" i="11" s="1"/>
  <c r="E1841" i="11"/>
  <c r="F1841" i="11" s="1"/>
  <c r="E1807" i="11"/>
  <c r="F1807" i="11" s="1"/>
  <c r="L89" i="14"/>
  <c r="G22" i="14"/>
  <c r="G130" i="14"/>
  <c r="L849" i="11"/>
  <c r="G849" i="11"/>
  <c r="G1979" i="11"/>
  <c r="G2115" i="11"/>
  <c r="G2119" i="11"/>
  <c r="L293" i="11"/>
  <c r="L526" i="11"/>
  <c r="G526" i="11"/>
  <c r="G237" i="14"/>
  <c r="K200" i="14"/>
  <c r="L200" i="14" s="1"/>
  <c r="G200" i="14"/>
  <c r="K235" i="14"/>
  <c r="L235" i="14" s="1"/>
  <c r="G235" i="14"/>
  <c r="G199" i="14"/>
  <c r="G201" i="14"/>
  <c r="G166" i="14"/>
  <c r="K165" i="14"/>
  <c r="L165" i="14" s="1"/>
  <c r="G165" i="14"/>
  <c r="G134" i="14"/>
  <c r="K133" i="14"/>
  <c r="L133" i="14" s="1"/>
  <c r="G133" i="14"/>
  <c r="K99" i="14"/>
  <c r="L99" i="14" s="1"/>
  <c r="G99" i="14"/>
  <c r="G25" i="14"/>
  <c r="K25" i="14"/>
  <c r="L25" i="14" s="1"/>
  <c r="L22" i="14"/>
  <c r="L62" i="14"/>
  <c r="G62" i="14"/>
  <c r="G19" i="14"/>
  <c r="L19" i="14"/>
  <c r="G59" i="14"/>
  <c r="K61" i="14"/>
  <c r="L61" i="14" s="1"/>
  <c r="G61" i="14"/>
  <c r="L127" i="14"/>
  <c r="F162" i="14"/>
  <c r="G162" i="14" s="1"/>
  <c r="F234" i="14"/>
  <c r="G234" i="14" s="1"/>
  <c r="L201" i="14"/>
  <c r="L229" i="14"/>
  <c r="G2117" i="11"/>
  <c r="K2261" i="11"/>
  <c r="L2261" i="11" s="1"/>
  <c r="G2261" i="11"/>
  <c r="G2218" i="11"/>
  <c r="L2218" i="11"/>
  <c r="G2223" i="11"/>
  <c r="L2223" i="11"/>
  <c r="G2222" i="11"/>
  <c r="L2222" i="11"/>
  <c r="G2217" i="11"/>
  <c r="L2217" i="11"/>
  <c r="G2219" i="11"/>
  <c r="L2219" i="11"/>
  <c r="G2221" i="11"/>
  <c r="L2221" i="11"/>
  <c r="G2220" i="11"/>
  <c r="L2220" i="11"/>
  <c r="G1479" i="11"/>
  <c r="K2086" i="11"/>
  <c r="L2086" i="11" s="1"/>
  <c r="G2014" i="11"/>
  <c r="G2051" i="11"/>
  <c r="G1155" i="11"/>
  <c r="K2050" i="11"/>
  <c r="L2050" i="11" s="1"/>
  <c r="G2050" i="11"/>
  <c r="K2013" i="11"/>
  <c r="L2013" i="11" s="1"/>
  <c r="G2013" i="11"/>
  <c r="G2012" i="11"/>
  <c r="G1980" i="11"/>
  <c r="G1981" i="11"/>
  <c r="G1946" i="11"/>
  <c r="L1946" i="11"/>
  <c r="G1950" i="11"/>
  <c r="L1950" i="11"/>
  <c r="G1942" i="11"/>
  <c r="L1942" i="11"/>
  <c r="G1947" i="11"/>
  <c r="L1947" i="11"/>
  <c r="L1951" i="11"/>
  <c r="G1951" i="11"/>
  <c r="G1943" i="11"/>
  <c r="L1943" i="11"/>
  <c r="G1948" i="11"/>
  <c r="L1948" i="11"/>
  <c r="L1952" i="11"/>
  <c r="G1952" i="11"/>
  <c r="G1944" i="11"/>
  <c r="L1944" i="11"/>
  <c r="G1914" i="11"/>
  <c r="L1914" i="11"/>
  <c r="L1920" i="11"/>
  <c r="G1920" i="11"/>
  <c r="L1921" i="11"/>
  <c r="G1921" i="11"/>
  <c r="G1919" i="11"/>
  <c r="K1919" i="11"/>
  <c r="L1919" i="11" s="1"/>
  <c r="G1875" i="11"/>
  <c r="L1875" i="11"/>
  <c r="G1675" i="11"/>
  <c r="G1779" i="11"/>
  <c r="G1783" i="11"/>
  <c r="G1846" i="11"/>
  <c r="G1848" i="11"/>
  <c r="G1872" i="11"/>
  <c r="L1872" i="11"/>
  <c r="G1876" i="11"/>
  <c r="L1876" i="11"/>
  <c r="K1884" i="11"/>
  <c r="L1884" i="11" s="1"/>
  <c r="G1884" i="11"/>
  <c r="G1611" i="11"/>
  <c r="G1873" i="11"/>
  <c r="L1873" i="11"/>
  <c r="G1877" i="11"/>
  <c r="L1877" i="11"/>
  <c r="G1355" i="11"/>
  <c r="G1874" i="11"/>
  <c r="L1874" i="11"/>
  <c r="G1879" i="11"/>
  <c r="L1879" i="11"/>
  <c r="G1847" i="11"/>
  <c r="G1814" i="11"/>
  <c r="K1849" i="11"/>
  <c r="L1849" i="11" s="1"/>
  <c r="G1849" i="11"/>
  <c r="G1812" i="11"/>
  <c r="G1709" i="11"/>
  <c r="G1711" i="11"/>
  <c r="G1781" i="11"/>
  <c r="G1778" i="11"/>
  <c r="K1712" i="11"/>
  <c r="L1712" i="11" s="1"/>
  <c r="G1712" i="11"/>
  <c r="G1710" i="11"/>
  <c r="G1674" i="11"/>
  <c r="K1677" i="11"/>
  <c r="L1677" i="11" s="1"/>
  <c r="G1677" i="11"/>
  <c r="K1610" i="11"/>
  <c r="L1610" i="11" s="1"/>
  <c r="G1610" i="11"/>
  <c r="G1577" i="11"/>
  <c r="G1576" i="11"/>
  <c r="G1578" i="11"/>
  <c r="K1510" i="11"/>
  <c r="L1510" i="11" s="1"/>
  <c r="G1510" i="11"/>
  <c r="G1511" i="11"/>
  <c r="G1478" i="11"/>
  <c r="G360" i="11"/>
  <c r="G1356" i="11"/>
  <c r="F1324" i="11"/>
  <c r="G1324" i="11" s="1"/>
  <c r="F1327" i="11"/>
  <c r="F1325" i="11"/>
  <c r="G1325" i="11" s="1"/>
  <c r="F1294" i="11"/>
  <c r="G1294" i="11" s="1"/>
  <c r="F1295" i="11"/>
  <c r="G1295" i="11" s="1"/>
  <c r="F1258" i="11"/>
  <c r="G1154" i="11"/>
  <c r="G1118" i="11"/>
  <c r="G1122" i="11"/>
  <c r="G359" i="11"/>
  <c r="G558" i="11"/>
  <c r="K1152" i="11"/>
  <c r="L1152" i="11" s="1"/>
  <c r="G1152" i="11"/>
  <c r="F1083" i="11"/>
  <c r="F1084" i="11"/>
  <c r="F1087" i="11"/>
  <c r="F1085" i="11"/>
  <c r="F1082" i="11"/>
  <c r="F1086" i="11"/>
  <c r="F993" i="11"/>
  <c r="F991" i="11"/>
  <c r="L985" i="11"/>
  <c r="G985" i="11"/>
  <c r="F992" i="11"/>
  <c r="L2252" i="11"/>
  <c r="L1504" i="11"/>
  <c r="L2110" i="11"/>
  <c r="L2112" i="11"/>
  <c r="H162" i="11"/>
  <c r="H166" i="11" s="1"/>
  <c r="K161" i="11"/>
  <c r="G158" i="11"/>
  <c r="L158" i="11"/>
  <c r="L2108" i="11"/>
  <c r="L2254" i="11"/>
  <c r="L2253" i="11"/>
  <c r="L2251" i="11"/>
  <c r="L2255" i="11"/>
  <c r="L166" i="14"/>
  <c r="L202" i="14"/>
  <c r="F197" i="14"/>
  <c r="F232" i="14"/>
  <c r="G232" i="14" s="1"/>
  <c r="F164" i="14"/>
  <c r="L237" i="14"/>
  <c r="L126" i="14"/>
  <c r="F163" i="14"/>
  <c r="L236" i="14"/>
  <c r="L227" i="14"/>
  <c r="G227" i="14"/>
  <c r="L224" i="14"/>
  <c r="G224" i="14"/>
  <c r="G223" i="14"/>
  <c r="L223" i="14"/>
  <c r="L226" i="14"/>
  <c r="G226" i="14"/>
  <c r="G225" i="14"/>
  <c r="L225" i="14"/>
  <c r="L228" i="14"/>
  <c r="G228" i="14"/>
  <c r="F233" i="14"/>
  <c r="G193" i="14"/>
  <c r="L193" i="14"/>
  <c r="L190" i="14"/>
  <c r="G190" i="14"/>
  <c r="G189" i="14"/>
  <c r="L189" i="14"/>
  <c r="L192" i="14"/>
  <c r="G192" i="14"/>
  <c r="L199" i="14"/>
  <c r="G191" i="14"/>
  <c r="L191" i="14"/>
  <c r="L194" i="14"/>
  <c r="G194" i="14"/>
  <c r="F198" i="14"/>
  <c r="G156" i="14"/>
  <c r="L156" i="14"/>
  <c r="G159" i="14"/>
  <c r="L159" i="14"/>
  <c r="L155" i="14"/>
  <c r="G155" i="14"/>
  <c r="L158" i="14"/>
  <c r="G158" i="14"/>
  <c r="G157" i="14"/>
  <c r="L157" i="14"/>
  <c r="F167" i="14"/>
  <c r="L124" i="14"/>
  <c r="L130" i="14"/>
  <c r="L59" i="14"/>
  <c r="L125" i="14"/>
  <c r="L134" i="14"/>
  <c r="F132" i="14"/>
  <c r="L53" i="14"/>
  <c r="L123" i="14"/>
  <c r="G123" i="14"/>
  <c r="G125" i="14"/>
  <c r="G122" i="14"/>
  <c r="L122" i="14"/>
  <c r="G124" i="14"/>
  <c r="G126" i="14"/>
  <c r="G127" i="14"/>
  <c r="F135" i="14"/>
  <c r="F131" i="14"/>
  <c r="L54" i="14"/>
  <c r="L55" i="14"/>
  <c r="L50" i="14"/>
  <c r="L52" i="14"/>
  <c r="L92" i="14"/>
  <c r="G54" i="14"/>
  <c r="F60" i="14"/>
  <c r="G60" i="14" s="1"/>
  <c r="G92" i="14"/>
  <c r="L49" i="14"/>
  <c r="G49" i="14"/>
  <c r="F58" i="14"/>
  <c r="G53" i="14"/>
  <c r="G52" i="14"/>
  <c r="G50" i="14"/>
  <c r="G51" i="14"/>
  <c r="F63" i="14"/>
  <c r="L90" i="14"/>
  <c r="F96" i="14"/>
  <c r="G96" i="14" s="1"/>
  <c r="L93" i="14"/>
  <c r="L91" i="14"/>
  <c r="L88" i="14"/>
  <c r="F98" i="14"/>
  <c r="F101" i="14"/>
  <c r="G91" i="14"/>
  <c r="G88" i="14"/>
  <c r="L87" i="14"/>
  <c r="G87" i="14"/>
  <c r="G90" i="14"/>
  <c r="G89" i="14"/>
  <c r="F97" i="14"/>
  <c r="F100" i="14"/>
  <c r="G14" i="14"/>
  <c r="G17" i="14"/>
  <c r="G16" i="14"/>
  <c r="G13" i="14"/>
  <c r="L13" i="14"/>
  <c r="G15" i="14"/>
  <c r="G18" i="14"/>
  <c r="F26" i="14"/>
  <c r="G26" i="14" s="1"/>
  <c r="F27" i="14"/>
  <c r="F23" i="14"/>
  <c r="F24" i="14"/>
  <c r="G24" i="14" s="1"/>
  <c r="L2119" i="11"/>
  <c r="L2117" i="11"/>
  <c r="L2115" i="11"/>
  <c r="L2109" i="11"/>
  <c r="F2116" i="11"/>
  <c r="F2118" i="11"/>
  <c r="L1772" i="11"/>
  <c r="L2111" i="11"/>
  <c r="L2107" i="11"/>
  <c r="G2112" i="11"/>
  <c r="L1122" i="11"/>
  <c r="F1326" i="11"/>
  <c r="L1111" i="11"/>
  <c r="L1774" i="11"/>
  <c r="L1113" i="11"/>
  <c r="L1116" i="11"/>
  <c r="L1114" i="11"/>
  <c r="L1112" i="11"/>
  <c r="L1110" i="11"/>
  <c r="L1118" i="11"/>
  <c r="F1054" i="11"/>
  <c r="L1779" i="11"/>
  <c r="L1778" i="11"/>
  <c r="L1780" i="11"/>
  <c r="L1781" i="11"/>
  <c r="L1783" i="11"/>
  <c r="L1782" i="11"/>
  <c r="L1773" i="11"/>
  <c r="L1775" i="11"/>
  <c r="L1771" i="11"/>
  <c r="L1014" i="11"/>
  <c r="L1016" i="11"/>
  <c r="L1017" i="11"/>
  <c r="L1015" i="11"/>
  <c r="L1013" i="11"/>
  <c r="K1020" i="11"/>
  <c r="F1020" i="11"/>
  <c r="G1020" i="11" s="1"/>
  <c r="F1021" i="11"/>
  <c r="F1022" i="11"/>
  <c r="F1023" i="11"/>
  <c r="F1024" i="11"/>
  <c r="H1021" i="11"/>
  <c r="K1021" i="11" s="1"/>
  <c r="H1022" i="11"/>
  <c r="K1022" i="11" s="1"/>
  <c r="H1023" i="11"/>
  <c r="K1023" i="11" s="1"/>
  <c r="L884" i="11"/>
  <c r="L883" i="11"/>
  <c r="G1080" i="11"/>
  <c r="L886" i="11"/>
  <c r="L888" i="11"/>
  <c r="L885" i="11"/>
  <c r="L882" i="11"/>
  <c r="F890" i="11"/>
  <c r="F891" i="11"/>
  <c r="F892" i="11"/>
  <c r="F893" i="11"/>
  <c r="F894" i="11"/>
  <c r="F895" i="11"/>
  <c r="L1500" i="11"/>
  <c r="L1498" i="11"/>
  <c r="L1981" i="11"/>
  <c r="L1980" i="11"/>
  <c r="L1979" i="11"/>
  <c r="G1977" i="11"/>
  <c r="L1977" i="11"/>
  <c r="L1976" i="11"/>
  <c r="L1973" i="11"/>
  <c r="L1975" i="11"/>
  <c r="L1972" i="11"/>
  <c r="L1636" i="11"/>
  <c r="F1641" i="11"/>
  <c r="L1638" i="11"/>
  <c r="L1635" i="11"/>
  <c r="H1643" i="11"/>
  <c r="K1643" i="11" s="1"/>
  <c r="H1642" i="11"/>
  <c r="K1642" i="11" s="1"/>
  <c r="L1642" i="11" s="1"/>
  <c r="L1639" i="11"/>
  <c r="L1634" i="11"/>
  <c r="F1643" i="11"/>
  <c r="L1605" i="11"/>
  <c r="L1600" i="11"/>
  <c r="L1611" i="11"/>
  <c r="L1604" i="11"/>
  <c r="G1603" i="11"/>
  <c r="L1603" i="11"/>
  <c r="L1601" i="11"/>
  <c r="L1599" i="11"/>
  <c r="L1576" i="11"/>
  <c r="L1578" i="11"/>
  <c r="L1574" i="11"/>
  <c r="H361" i="11"/>
  <c r="K360" i="11"/>
  <c r="L360" i="11" s="1"/>
  <c r="L1499" i="11"/>
  <c r="L1503" i="11"/>
  <c r="L1501" i="11"/>
  <c r="K1676" i="11"/>
  <c r="L1676" i="11" s="1"/>
  <c r="L1678" i="11"/>
  <c r="L1505" i="11"/>
  <c r="F1679" i="11"/>
  <c r="L1511" i="11"/>
  <c r="F1881" i="11"/>
  <c r="G1498" i="11"/>
  <c r="G1500" i="11"/>
  <c r="G1504" i="11"/>
  <c r="G1499" i="11"/>
  <c r="G1501" i="11"/>
  <c r="G1503" i="11"/>
  <c r="G1505" i="11"/>
  <c r="F1882" i="11"/>
  <c r="F1883" i="11"/>
  <c r="F1541" i="11"/>
  <c r="G1541" i="11" s="1"/>
  <c r="F1542" i="11"/>
  <c r="G1542" i="11" s="1"/>
  <c r="F1543" i="11"/>
  <c r="F1544" i="11"/>
  <c r="F1545" i="11"/>
  <c r="F1546" i="11"/>
  <c r="F1885" i="11"/>
  <c r="F1886" i="11"/>
  <c r="F1916" i="11"/>
  <c r="F1917" i="11"/>
  <c r="F1918" i="11"/>
  <c r="G1910" i="11"/>
  <c r="F2294" i="11"/>
  <c r="F2295" i="11"/>
  <c r="F2296" i="11"/>
  <c r="F2297" i="11"/>
  <c r="G2289" i="11"/>
  <c r="L2289" i="11"/>
  <c r="L1290" i="11"/>
  <c r="F161" i="11"/>
  <c r="G161" i="11" s="1"/>
  <c r="F162" i="11"/>
  <c r="F163" i="11"/>
  <c r="F165" i="11"/>
  <c r="F166" i="11"/>
  <c r="L1847" i="11"/>
  <c r="F2226" i="11"/>
  <c r="G2226" i="11" s="1"/>
  <c r="F2227" i="11"/>
  <c r="F2228" i="11"/>
  <c r="F2229" i="11"/>
  <c r="F2230" i="11"/>
  <c r="G1147" i="11"/>
  <c r="L1147" i="11"/>
  <c r="L1146" i="11"/>
  <c r="L1143" i="11"/>
  <c r="L1154" i="11"/>
  <c r="L1155" i="11"/>
  <c r="L1145" i="11"/>
  <c r="L1148" i="11"/>
  <c r="L1144" i="11"/>
  <c r="L1142" i="11"/>
  <c r="L1846" i="11"/>
  <c r="L1141" i="11"/>
  <c r="F1151" i="11"/>
  <c r="G1151" i="11" s="1"/>
  <c r="F1153" i="11"/>
  <c r="F1156" i="11"/>
  <c r="L1848" i="11"/>
  <c r="F2011" i="11"/>
  <c r="L1843" i="11"/>
  <c r="L2005" i="11"/>
  <c r="L2012" i="11"/>
  <c r="L2001" i="11"/>
  <c r="F1851" i="11"/>
  <c r="L2007" i="11"/>
  <c r="L2004" i="11"/>
  <c r="L2003" i="11"/>
  <c r="L2014" i="11"/>
  <c r="L2002" i="11"/>
  <c r="F2010" i="11"/>
  <c r="F2015" i="11"/>
  <c r="K292" i="11"/>
  <c r="L691" i="11"/>
  <c r="G691" i="11"/>
  <c r="L60" i="11"/>
  <c r="G60" i="11"/>
  <c r="L2292" i="11"/>
  <c r="L1671" i="11"/>
  <c r="F1745" i="11"/>
  <c r="F1746" i="11"/>
  <c r="F1748" i="11"/>
  <c r="F1749" i="11"/>
  <c r="F1750" i="11"/>
  <c r="K2148" i="11"/>
  <c r="H2150" i="11"/>
  <c r="K2150" i="11" s="1"/>
  <c r="L923" i="11"/>
  <c r="F821" i="11"/>
  <c r="F822" i="11"/>
  <c r="F823" i="11"/>
  <c r="F824" i="11"/>
  <c r="F825" i="11"/>
  <c r="L922" i="11"/>
  <c r="K925" i="11"/>
  <c r="L921" i="11"/>
  <c r="H2149" i="11"/>
  <c r="K2149" i="11" s="1"/>
  <c r="H2151" i="11"/>
  <c r="K2151" i="11" s="1"/>
  <c r="H928" i="11"/>
  <c r="K928" i="11" s="1"/>
  <c r="H926" i="11"/>
  <c r="K926" i="11" s="1"/>
  <c r="F925" i="11"/>
  <c r="G925" i="11" s="1"/>
  <c r="F926" i="11"/>
  <c r="F927" i="11"/>
  <c r="F928" i="11"/>
  <c r="F929" i="11"/>
  <c r="H927" i="11"/>
  <c r="K927" i="11" s="1"/>
  <c r="F2148" i="11"/>
  <c r="G2148" i="11" s="1"/>
  <c r="F2149" i="11"/>
  <c r="F2150" i="11"/>
  <c r="F2151" i="11"/>
  <c r="F2152" i="11"/>
  <c r="L25" i="11"/>
  <c r="G25" i="11"/>
  <c r="L724" i="11"/>
  <c r="L756" i="11"/>
  <c r="L780" i="11"/>
  <c r="F788" i="11"/>
  <c r="G788" i="11" s="1"/>
  <c r="F789" i="11"/>
  <c r="G789" i="11" s="1"/>
  <c r="F790" i="11"/>
  <c r="G790" i="11" s="1"/>
  <c r="F791" i="11"/>
  <c r="G791" i="11" s="1"/>
  <c r="F792" i="11"/>
  <c r="F793" i="11"/>
  <c r="L755" i="11"/>
  <c r="F758" i="11"/>
  <c r="G758" i="11" s="1"/>
  <c r="F759" i="11"/>
  <c r="G759" i="11" s="1"/>
  <c r="F760" i="11"/>
  <c r="G760" i="11" s="1"/>
  <c r="G724" i="11"/>
  <c r="F1714" i="11"/>
  <c r="L1709" i="11"/>
  <c r="L1711" i="11"/>
  <c r="F1713" i="11"/>
  <c r="L690" i="11"/>
  <c r="G690" i="11"/>
  <c r="L1710" i="11"/>
  <c r="L1707" i="11"/>
  <c r="L558" i="11"/>
  <c r="L656" i="11"/>
  <c r="G656" i="11"/>
  <c r="L620" i="11"/>
  <c r="G620" i="11"/>
  <c r="G519" i="11"/>
  <c r="L519" i="11"/>
  <c r="L520" i="11"/>
  <c r="G520" i="11"/>
  <c r="L451" i="11"/>
  <c r="L486" i="11"/>
  <c r="F358" i="11"/>
  <c r="G358" i="11" s="1"/>
  <c r="F326" i="11"/>
  <c r="F323" i="11"/>
  <c r="F362" i="11"/>
  <c r="F321" i="11"/>
  <c r="F363" i="11"/>
  <c r="L317" i="11"/>
  <c r="L318" i="11"/>
  <c r="H363" i="11"/>
  <c r="K363" i="11" s="1"/>
  <c r="H362" i="11"/>
  <c r="K362" i="11" s="1"/>
  <c r="K359" i="11"/>
  <c r="L359" i="11" s="1"/>
  <c r="K358" i="11"/>
  <c r="L314" i="11"/>
  <c r="H322" i="11"/>
  <c r="G317" i="11"/>
  <c r="L313" i="11"/>
  <c r="G313" i="11"/>
  <c r="G315" i="11"/>
  <c r="L315" i="11"/>
  <c r="G316" i="11"/>
  <c r="L316" i="11"/>
  <c r="G314" i="11"/>
  <c r="G318" i="11"/>
  <c r="L2285" i="11"/>
  <c r="L2286" i="11"/>
  <c r="L2287" i="11"/>
  <c r="L2290" i="11"/>
  <c r="L2288" i="11"/>
  <c r="L2145" i="11"/>
  <c r="F2259" i="11"/>
  <c r="F2262" i="11"/>
  <c r="L2284" i="11"/>
  <c r="L2283" i="11"/>
  <c r="G2251" i="11"/>
  <c r="L2250" i="11"/>
  <c r="G2250" i="11"/>
  <c r="G2253" i="11"/>
  <c r="G2252" i="11"/>
  <c r="G2255" i="11"/>
  <c r="G2254" i="11"/>
  <c r="F2263" i="11"/>
  <c r="F2258" i="11"/>
  <c r="F2260" i="11"/>
  <c r="L2216" i="11"/>
  <c r="L2139" i="11"/>
  <c r="L2140" i="11"/>
  <c r="L2143" i="11"/>
  <c r="L2138" i="11"/>
  <c r="L2141" i="11"/>
  <c r="L2144" i="11"/>
  <c r="L2146" i="11"/>
  <c r="G2108" i="11"/>
  <c r="G2111" i="11"/>
  <c r="G2110" i="11"/>
  <c r="G2107" i="11"/>
  <c r="L2106" i="11"/>
  <c r="G2106" i="11"/>
  <c r="G2109" i="11"/>
  <c r="L2073" i="11"/>
  <c r="G2073" i="11"/>
  <c r="F2084" i="11"/>
  <c r="L2075" i="11"/>
  <c r="G2075" i="11"/>
  <c r="L2078" i="11"/>
  <c r="G2078" i="11"/>
  <c r="G2074" i="11"/>
  <c r="L2074" i="11"/>
  <c r="G2076" i="11"/>
  <c r="L2076" i="11"/>
  <c r="G2079" i="11"/>
  <c r="L2079" i="11"/>
  <c r="L2080" i="11"/>
  <c r="G2080" i="11"/>
  <c r="F2083" i="11"/>
  <c r="F2085" i="11"/>
  <c r="L2042" i="11"/>
  <c r="L2043" i="11"/>
  <c r="L2044" i="11"/>
  <c r="F2048" i="11"/>
  <c r="L2051" i="11"/>
  <c r="L2038" i="11"/>
  <c r="L2039" i="11"/>
  <c r="L2041" i="11"/>
  <c r="L2036" i="11"/>
  <c r="L2037" i="11"/>
  <c r="L2040" i="11"/>
  <c r="F2052" i="11"/>
  <c r="F2047" i="11"/>
  <c r="F2049" i="11"/>
  <c r="L2000" i="11"/>
  <c r="L1971" i="11"/>
  <c r="L1941" i="11"/>
  <c r="G1912" i="11"/>
  <c r="G1907" i="11"/>
  <c r="G1908" i="11"/>
  <c r="G1911" i="11"/>
  <c r="L1906" i="11"/>
  <c r="G1906" i="11"/>
  <c r="G1909" i="11"/>
  <c r="L1871" i="11"/>
  <c r="L1840" i="11"/>
  <c r="L1836" i="11"/>
  <c r="L1839" i="11"/>
  <c r="L1835" i="11"/>
  <c r="L1838" i="11"/>
  <c r="L1837" i="11"/>
  <c r="L1808" i="11"/>
  <c r="G1803" i="11"/>
  <c r="L1803" i="11"/>
  <c r="L1814" i="11"/>
  <c r="L1812" i="11"/>
  <c r="G1802" i="11"/>
  <c r="L1802" i="11"/>
  <c r="G1806" i="11"/>
  <c r="L1806" i="11"/>
  <c r="G1804" i="11"/>
  <c r="L1804" i="11"/>
  <c r="L1801" i="11"/>
  <c r="G1801" i="11"/>
  <c r="L1805" i="11"/>
  <c r="G1805" i="11"/>
  <c r="F1811" i="11"/>
  <c r="F1813" i="11"/>
  <c r="F1815" i="11"/>
  <c r="L1674" i="11"/>
  <c r="L1742" i="11"/>
  <c r="F1608" i="11"/>
  <c r="G1771" i="11"/>
  <c r="G1772" i="11"/>
  <c r="G1775" i="11"/>
  <c r="G1774" i="11"/>
  <c r="L1770" i="11"/>
  <c r="G1770" i="11"/>
  <c r="G1773" i="11"/>
  <c r="L1736" i="11"/>
  <c r="L1737" i="11"/>
  <c r="L1740" i="11"/>
  <c r="L1735" i="11"/>
  <c r="L1738" i="11"/>
  <c r="L1741" i="11"/>
  <c r="L1743" i="11"/>
  <c r="L1700" i="11"/>
  <c r="L1703" i="11"/>
  <c r="L1702" i="11"/>
  <c r="L1705" i="11"/>
  <c r="L1701" i="11"/>
  <c r="L1704" i="11"/>
  <c r="L1666" i="11"/>
  <c r="L1667" i="11"/>
  <c r="L1670" i="11"/>
  <c r="L1665" i="11"/>
  <c r="L1668" i="11"/>
  <c r="L1672" i="11"/>
  <c r="L1675" i="11"/>
  <c r="L1633" i="11"/>
  <c r="L1598" i="11"/>
  <c r="F1612" i="11"/>
  <c r="F1607" i="11"/>
  <c r="F1609" i="11"/>
  <c r="L1568" i="11"/>
  <c r="L1569" i="11"/>
  <c r="L1572" i="11"/>
  <c r="L1567" i="11"/>
  <c r="L1570" i="11"/>
  <c r="L1577" i="11"/>
  <c r="L1478" i="11"/>
  <c r="F1508" i="11"/>
  <c r="F1512" i="11"/>
  <c r="F1507" i="11"/>
  <c r="G1507" i="11" s="1"/>
  <c r="F1509" i="11"/>
  <c r="F1477" i="11"/>
  <c r="L1479" i="11"/>
  <c r="L1473" i="11"/>
  <c r="G1473" i="11"/>
  <c r="G1476" i="11"/>
  <c r="L1476" i="11"/>
  <c r="L1475" i="11"/>
  <c r="G1475" i="11"/>
  <c r="G1472" i="11"/>
  <c r="L1472" i="11"/>
  <c r="G1474" i="11"/>
  <c r="L1474" i="11"/>
  <c r="S128" i="5"/>
  <c r="S126" i="5"/>
  <c r="S125" i="5"/>
  <c r="S62" i="5"/>
  <c r="L363" i="11" l="1"/>
  <c r="G2151" i="11"/>
  <c r="G1807" i="11"/>
  <c r="L1807" i="11"/>
  <c r="G1841" i="11"/>
  <c r="L1841" i="11"/>
  <c r="G2006" i="11"/>
  <c r="L2006" i="11"/>
  <c r="G322" i="11"/>
  <c r="H323" i="11"/>
  <c r="G323" i="11" s="1"/>
  <c r="G361" i="11"/>
  <c r="K361" i="11"/>
  <c r="L361" i="11" s="1"/>
  <c r="L362" i="11"/>
  <c r="L232" i="14"/>
  <c r="L197" i="14"/>
  <c r="G197" i="14"/>
  <c r="L198" i="14"/>
  <c r="G198" i="14"/>
  <c r="L162" i="14"/>
  <c r="L234" i="14"/>
  <c r="L233" i="14"/>
  <c r="G233" i="14"/>
  <c r="L167" i="14"/>
  <c r="G167" i="14"/>
  <c r="L163" i="14"/>
  <c r="G163" i="14"/>
  <c r="L164" i="14"/>
  <c r="G164" i="14"/>
  <c r="L131" i="14"/>
  <c r="G131" i="14"/>
  <c r="L135" i="14"/>
  <c r="G135" i="14"/>
  <c r="L132" i="14"/>
  <c r="G132" i="14"/>
  <c r="L97" i="14"/>
  <c r="G97" i="14"/>
  <c r="L101" i="14"/>
  <c r="G101" i="14"/>
  <c r="L98" i="14"/>
  <c r="G98" i="14"/>
  <c r="L96" i="14"/>
  <c r="L100" i="14"/>
  <c r="G100" i="14"/>
  <c r="L24" i="14"/>
  <c r="G23" i="14"/>
  <c r="L23" i="14"/>
  <c r="L63" i="14"/>
  <c r="G63" i="14"/>
  <c r="L27" i="14"/>
  <c r="G27" i="14"/>
  <c r="L26" i="14"/>
  <c r="L58" i="14"/>
  <c r="G58" i="14"/>
  <c r="L60" i="14"/>
  <c r="L2263" i="11"/>
  <c r="G2263" i="11"/>
  <c r="L2297" i="11"/>
  <c r="G2297" i="11"/>
  <c r="G2150" i="11"/>
  <c r="L2296" i="11"/>
  <c r="G2296" i="11"/>
  <c r="L2294" i="11"/>
  <c r="G2294" i="11"/>
  <c r="L2260" i="11"/>
  <c r="G2260" i="11"/>
  <c r="L2262" i="11"/>
  <c r="G2262" i="11"/>
  <c r="L2258" i="11"/>
  <c r="G2258" i="11"/>
  <c r="L2259" i="11"/>
  <c r="G2259" i="11"/>
  <c r="L2295" i="11"/>
  <c r="G2295" i="11"/>
  <c r="G2228" i="11"/>
  <c r="L2228" i="11"/>
  <c r="L2230" i="11"/>
  <c r="G2230" i="11"/>
  <c r="L2226" i="11"/>
  <c r="G2227" i="11"/>
  <c r="L2227" i="11"/>
  <c r="L2229" i="11"/>
  <c r="G2229" i="11"/>
  <c r="G2149" i="11"/>
  <c r="L2152" i="11"/>
  <c r="G2152" i="11"/>
  <c r="L2118" i="11"/>
  <c r="G2118" i="11"/>
  <c r="L2116" i="11"/>
  <c r="G2116" i="11"/>
  <c r="L2084" i="11"/>
  <c r="G2084" i="11"/>
  <c r="L2085" i="11"/>
  <c r="G2085" i="11"/>
  <c r="L2083" i="11"/>
  <c r="G2083" i="11"/>
  <c r="L2048" i="11"/>
  <c r="G2048" i="11"/>
  <c r="L2052" i="11"/>
  <c r="G2052" i="11"/>
  <c r="L2049" i="11"/>
  <c r="G2049" i="11"/>
  <c r="L2047" i="11"/>
  <c r="G2047" i="11"/>
  <c r="L2011" i="11"/>
  <c r="G2011" i="11"/>
  <c r="L2015" i="11"/>
  <c r="G2015" i="11"/>
  <c r="L2010" i="11"/>
  <c r="G2010" i="11"/>
  <c r="L1917" i="11"/>
  <c r="G1917" i="11"/>
  <c r="G1643" i="11"/>
  <c r="L1325" i="11"/>
  <c r="G1916" i="11"/>
  <c r="L1916" i="11"/>
  <c r="G1918" i="11"/>
  <c r="L1918" i="11"/>
  <c r="G1885" i="11"/>
  <c r="L1885" i="11"/>
  <c r="L1883" i="11"/>
  <c r="G1883" i="11"/>
  <c r="G1882" i="11"/>
  <c r="L1882" i="11"/>
  <c r="G1881" i="11"/>
  <c r="L1881" i="11"/>
  <c r="G1886" i="11"/>
  <c r="L1886" i="11"/>
  <c r="L1851" i="11"/>
  <c r="G1851" i="11"/>
  <c r="L1850" i="11"/>
  <c r="G1850" i="11"/>
  <c r="L1815" i="11"/>
  <c r="G1815" i="11"/>
  <c r="L1811" i="11"/>
  <c r="G1811" i="11"/>
  <c r="L1813" i="11"/>
  <c r="G1813" i="11"/>
  <c r="L1750" i="11"/>
  <c r="G1750" i="11"/>
  <c r="L1749" i="11"/>
  <c r="G1749" i="11"/>
  <c r="L1745" i="11"/>
  <c r="G1745" i="11"/>
  <c r="L1748" i="11"/>
  <c r="G1748" i="11"/>
  <c r="L1746" i="11"/>
  <c r="G1746" i="11"/>
  <c r="L1714" i="11"/>
  <c r="G1714" i="11"/>
  <c r="L1713" i="11"/>
  <c r="G1713" i="11"/>
  <c r="L1679" i="11"/>
  <c r="G1679" i="11"/>
  <c r="L1641" i="11"/>
  <c r="G1641" i="11"/>
  <c r="G1642" i="11"/>
  <c r="L1607" i="11"/>
  <c r="G1607" i="11"/>
  <c r="L1612" i="11"/>
  <c r="G1612" i="11"/>
  <c r="L1609" i="11"/>
  <c r="G1609" i="11"/>
  <c r="L1608" i="11"/>
  <c r="G1608" i="11"/>
  <c r="L1546" i="11"/>
  <c r="G1546" i="11"/>
  <c r="L1545" i="11"/>
  <c r="G1545" i="11"/>
  <c r="L1543" i="11"/>
  <c r="G1543" i="11"/>
  <c r="L1544" i="11"/>
  <c r="G1544" i="11"/>
  <c r="L1477" i="11"/>
  <c r="G1477" i="11"/>
  <c r="G1480" i="11" s="1"/>
  <c r="L1507" i="11"/>
  <c r="L1508" i="11"/>
  <c r="G1508" i="11"/>
  <c r="L1509" i="11"/>
  <c r="G1509" i="11"/>
  <c r="L1512" i="11"/>
  <c r="G1512" i="11"/>
  <c r="L1327" i="11"/>
  <c r="G1327" i="11"/>
  <c r="L1326" i="11"/>
  <c r="G1326" i="11"/>
  <c r="L1324" i="11"/>
  <c r="L1258" i="11"/>
  <c r="G1258" i="11"/>
  <c r="G362" i="11"/>
  <c r="G926" i="11"/>
  <c r="G162" i="11"/>
  <c r="G363" i="11"/>
  <c r="G928" i="11"/>
  <c r="L793" i="11"/>
  <c r="G793" i="11"/>
  <c r="L892" i="11"/>
  <c r="G892" i="11"/>
  <c r="G1021" i="11"/>
  <c r="L1085" i="11"/>
  <c r="G1085" i="11"/>
  <c r="L792" i="11"/>
  <c r="G792" i="11"/>
  <c r="L895" i="11"/>
  <c r="G895" i="11"/>
  <c r="L821" i="11"/>
  <c r="G821" i="11"/>
  <c r="L1024" i="11"/>
  <c r="G1024" i="11"/>
  <c r="L992" i="11"/>
  <c r="G992" i="11"/>
  <c r="L993" i="11"/>
  <c r="G993" i="11"/>
  <c r="L1087" i="11"/>
  <c r="G1087" i="11"/>
  <c r="L824" i="11"/>
  <c r="G824" i="11"/>
  <c r="L1153" i="11"/>
  <c r="G1153" i="11"/>
  <c r="L894" i="11"/>
  <c r="G894" i="11"/>
  <c r="L890" i="11"/>
  <c r="G890" i="11"/>
  <c r="G1023" i="11"/>
  <c r="L1086" i="11"/>
  <c r="G1086" i="11"/>
  <c r="L1084" i="11"/>
  <c r="G1084" i="11"/>
  <c r="L822" i="11"/>
  <c r="G822" i="11"/>
  <c r="L991" i="11"/>
  <c r="G991" i="11"/>
  <c r="L929" i="11"/>
  <c r="G929" i="11"/>
  <c r="L825" i="11"/>
  <c r="G825" i="11"/>
  <c r="G166" i="11"/>
  <c r="L891" i="11"/>
  <c r="G891" i="11"/>
  <c r="L321" i="11"/>
  <c r="G321" i="11"/>
  <c r="G927" i="11"/>
  <c r="L823" i="11"/>
  <c r="G823" i="11"/>
  <c r="L1151" i="11"/>
  <c r="L893" i="11"/>
  <c r="G893" i="11"/>
  <c r="G1022" i="11"/>
  <c r="L1054" i="11"/>
  <c r="G1054" i="11"/>
  <c r="L1082" i="11"/>
  <c r="G1082" i="11"/>
  <c r="L1083" i="11"/>
  <c r="G1083" i="11"/>
  <c r="H165" i="11"/>
  <c r="K165" i="11" s="1"/>
  <c r="L165" i="11" s="1"/>
  <c r="L161" i="11"/>
  <c r="K166" i="11"/>
  <c r="L166" i="11" s="1"/>
  <c r="H163" i="11"/>
  <c r="G163" i="11" s="1"/>
  <c r="K162" i="11"/>
  <c r="L162" i="11" s="1"/>
  <c r="L1023" i="11"/>
  <c r="L1022" i="11"/>
  <c r="L1021" i="11"/>
  <c r="L1020" i="11"/>
  <c r="L1643" i="11"/>
  <c r="L758" i="11"/>
  <c r="L759" i="11"/>
  <c r="L2148" i="11"/>
  <c r="L2150" i="11"/>
  <c r="L925" i="11"/>
  <c r="L928" i="11"/>
  <c r="L926" i="11"/>
  <c r="L2149" i="11"/>
  <c r="L927" i="11"/>
  <c r="L2151" i="11"/>
  <c r="L358" i="11"/>
  <c r="H326" i="11"/>
  <c r="K326" i="11" s="1"/>
  <c r="L326" i="11" s="1"/>
  <c r="K322" i="11"/>
  <c r="L322" i="11" s="1"/>
  <c r="H325" i="11"/>
  <c r="K325" i="11" s="1"/>
  <c r="L325" i="11" s="1"/>
  <c r="H1390" i="11"/>
  <c r="F1387" i="11"/>
  <c r="D1383" i="11"/>
  <c r="E1383" i="11" s="1"/>
  <c r="F1383" i="11" s="1"/>
  <c r="D1382" i="11"/>
  <c r="E1382" i="11" s="1"/>
  <c r="F1382" i="11" s="1"/>
  <c r="D1381" i="11"/>
  <c r="E1381" i="11" s="1"/>
  <c r="F1381" i="11" s="1"/>
  <c r="E1380" i="11"/>
  <c r="F1380" i="11" s="1"/>
  <c r="D1379" i="11"/>
  <c r="E1379" i="11" s="1"/>
  <c r="F1379" i="11" s="1"/>
  <c r="D1378" i="11"/>
  <c r="E1378" i="11" s="1"/>
  <c r="F1378" i="11" s="1"/>
  <c r="G1378" i="11" s="1"/>
  <c r="D1377" i="11"/>
  <c r="E1377" i="11" s="1"/>
  <c r="F1377" i="11" s="1"/>
  <c r="G1377" i="11" s="1"/>
  <c r="C1370" i="11"/>
  <c r="C1369" i="11"/>
  <c r="S60" i="5"/>
  <c r="K1356" i="11"/>
  <c r="K1355" i="11"/>
  <c r="K1348" i="11"/>
  <c r="K1349" i="11"/>
  <c r="K1350" i="11"/>
  <c r="K1351" i="11"/>
  <c r="K1352" i="11"/>
  <c r="K1353" i="11"/>
  <c r="H1358" i="11"/>
  <c r="C1340" i="11"/>
  <c r="C1339" i="11"/>
  <c r="S59" i="5"/>
  <c r="D1321" i="11"/>
  <c r="E1321" i="11" s="1"/>
  <c r="F1321" i="11" s="1"/>
  <c r="L1321" i="11" s="1"/>
  <c r="H1329" i="11"/>
  <c r="D1319" i="11"/>
  <c r="E1319" i="11" s="1"/>
  <c r="F1319" i="11" s="1"/>
  <c r="L1319" i="11" s="1"/>
  <c r="D1318" i="11"/>
  <c r="E1318" i="11" s="1"/>
  <c r="F1318" i="11" s="1"/>
  <c r="L1318" i="11" s="1"/>
  <c r="D1317" i="11"/>
  <c r="E1317" i="11" s="1"/>
  <c r="F1317" i="11" s="1"/>
  <c r="L1317" i="11" s="1"/>
  <c r="D1316" i="11"/>
  <c r="E1316" i="11" s="1"/>
  <c r="F1316" i="11" s="1"/>
  <c r="L1316" i="11" s="1"/>
  <c r="D1315" i="11"/>
  <c r="E1315" i="11" s="1"/>
  <c r="F1315" i="11" s="1"/>
  <c r="L1315" i="11" s="1"/>
  <c r="D1314" i="11"/>
  <c r="E1314" i="11" s="1"/>
  <c r="F1314" i="11" s="1"/>
  <c r="C1307" i="11"/>
  <c r="C1306" i="11"/>
  <c r="S57" i="5"/>
  <c r="K1288" i="11"/>
  <c r="D1288" i="11"/>
  <c r="F1288" i="11" s="1"/>
  <c r="G1288" i="11" s="1"/>
  <c r="K1289" i="11"/>
  <c r="D1292" i="11"/>
  <c r="D1285" i="11"/>
  <c r="H1293" i="11"/>
  <c r="K1293" i="11" s="1"/>
  <c r="K1294" i="11"/>
  <c r="K1295" i="11"/>
  <c r="H1292" i="11"/>
  <c r="K1292" i="11" s="1"/>
  <c r="K1283" i="11"/>
  <c r="K1284" i="11"/>
  <c r="K1285" i="11"/>
  <c r="K1286" i="11"/>
  <c r="K1287" i="11"/>
  <c r="K1282" i="11"/>
  <c r="J64" i="17" l="1"/>
  <c r="O65" i="5"/>
  <c r="H324" i="11"/>
  <c r="K323" i="11"/>
  <c r="L323" i="11" s="1"/>
  <c r="L1377" i="11"/>
  <c r="G1381" i="11"/>
  <c r="L1381" i="11"/>
  <c r="L1378" i="11"/>
  <c r="L1382" i="11"/>
  <c r="G1382" i="11"/>
  <c r="G1379" i="11"/>
  <c r="L1379" i="11"/>
  <c r="G1383" i="11"/>
  <c r="L1383" i="11"/>
  <c r="L1380" i="11"/>
  <c r="G1380" i="11"/>
  <c r="G1387" i="11"/>
  <c r="L1387" i="11"/>
  <c r="G165" i="11"/>
  <c r="G325" i="11"/>
  <c r="G326" i="11"/>
  <c r="K163" i="11"/>
  <c r="L163" i="11" s="1"/>
  <c r="H164" i="11"/>
  <c r="G164" i="11" s="1"/>
  <c r="F1386" i="11"/>
  <c r="F1388" i="11"/>
  <c r="L1347" i="11"/>
  <c r="L1351" i="11"/>
  <c r="L1349" i="11"/>
  <c r="L1348" i="11"/>
  <c r="L1352" i="11"/>
  <c r="L1355" i="11"/>
  <c r="L1356" i="11"/>
  <c r="G1321" i="11"/>
  <c r="L1288" i="11"/>
  <c r="G1316" i="11"/>
  <c r="G1318" i="11"/>
  <c r="G1315" i="11"/>
  <c r="G1319" i="11"/>
  <c r="L1314" i="11"/>
  <c r="G1314" i="11"/>
  <c r="G1317" i="11"/>
  <c r="H1297" i="11"/>
  <c r="L1295" i="11"/>
  <c r="L1294" i="11"/>
  <c r="D1293" i="11"/>
  <c r="D1287" i="11"/>
  <c r="E1287" i="11" s="1"/>
  <c r="F1287" i="11" s="1"/>
  <c r="D1286" i="11"/>
  <c r="E1286" i="11" s="1"/>
  <c r="F1286" i="11" s="1"/>
  <c r="E1285" i="11"/>
  <c r="F1285" i="11" s="1"/>
  <c r="D1284" i="11"/>
  <c r="E1284" i="11" s="1"/>
  <c r="F1284" i="11" s="1"/>
  <c r="D1283" i="11"/>
  <c r="E1283" i="11" s="1"/>
  <c r="F1283" i="11" s="1"/>
  <c r="D1282" i="11"/>
  <c r="E1282" i="11" s="1"/>
  <c r="F1282" i="11" s="1"/>
  <c r="C1275" i="11"/>
  <c r="C1274" i="11"/>
  <c r="S56" i="5"/>
  <c r="H1265" i="11"/>
  <c r="F1262" i="11"/>
  <c r="G1262" i="11" s="1"/>
  <c r="F1260" i="11"/>
  <c r="G1260" i="11" s="1"/>
  <c r="C1242" i="11"/>
  <c r="C1241" i="11"/>
  <c r="S55" i="5"/>
  <c r="D1217" i="11"/>
  <c r="E1217" i="11" s="1"/>
  <c r="F1217" i="11" s="1"/>
  <c r="L1217" i="11" s="1"/>
  <c r="H1223" i="11"/>
  <c r="K1223" i="11" s="1"/>
  <c r="H1224" i="11"/>
  <c r="K1224" i="11" s="1"/>
  <c r="H1225" i="11"/>
  <c r="G1225" i="11" s="1"/>
  <c r="H1226" i="11"/>
  <c r="K1226" i="11" s="1"/>
  <c r="H1227" i="11"/>
  <c r="K1227" i="11" s="1"/>
  <c r="H1222" i="11"/>
  <c r="K1222" i="11" s="1"/>
  <c r="H1229" i="11"/>
  <c r="F1226" i="11"/>
  <c r="F1223" i="11"/>
  <c r="D1219" i="11"/>
  <c r="E1219" i="11" s="1"/>
  <c r="F1219" i="11" s="1"/>
  <c r="L1219" i="11" s="1"/>
  <c r="D1218" i="11"/>
  <c r="E1218" i="11" s="1"/>
  <c r="F1218" i="11" s="1"/>
  <c r="L1218" i="11" s="1"/>
  <c r="D1216" i="11"/>
  <c r="E1216" i="11" s="1"/>
  <c r="F1216" i="11" s="1"/>
  <c r="L1216" i="11" s="1"/>
  <c r="D1215" i="11"/>
  <c r="E1215" i="11" s="1"/>
  <c r="F1215" i="11" s="1"/>
  <c r="L1215" i="11" s="1"/>
  <c r="D1214" i="11"/>
  <c r="E1214" i="11" s="1"/>
  <c r="F1214" i="11" s="1"/>
  <c r="C1207" i="11"/>
  <c r="C1206" i="11"/>
  <c r="S54" i="5"/>
  <c r="H1191" i="11"/>
  <c r="K1191" i="11" s="1"/>
  <c r="D1191" i="11"/>
  <c r="D1189" i="11"/>
  <c r="E1189" i="11" s="1"/>
  <c r="F1189" i="11" s="1"/>
  <c r="D1188" i="11"/>
  <c r="E1188" i="11" s="1"/>
  <c r="F1188" i="11" s="1"/>
  <c r="D1187" i="11"/>
  <c r="E1187" i="11" s="1"/>
  <c r="F1187" i="11" s="1"/>
  <c r="D1186" i="11"/>
  <c r="D1185" i="11"/>
  <c r="D1184" i="11"/>
  <c r="D1183" i="11"/>
  <c r="D1182" i="11"/>
  <c r="D1181" i="11"/>
  <c r="D1179" i="11"/>
  <c r="D1178" i="11"/>
  <c r="D1177" i="11"/>
  <c r="K1178" i="11"/>
  <c r="K1179" i="11"/>
  <c r="K1180" i="11"/>
  <c r="K1181" i="11"/>
  <c r="K1182" i="11"/>
  <c r="K1183" i="11"/>
  <c r="K1184" i="11"/>
  <c r="K1185" i="11"/>
  <c r="K1186" i="11"/>
  <c r="K1187" i="11"/>
  <c r="K1188" i="11"/>
  <c r="K1189" i="11"/>
  <c r="K1177" i="11"/>
  <c r="H1192" i="11"/>
  <c r="K1192" i="11" s="1"/>
  <c r="H1193" i="11"/>
  <c r="G1193" i="11" s="1"/>
  <c r="H1194" i="11"/>
  <c r="K1194" i="11" s="1"/>
  <c r="H1195" i="11"/>
  <c r="K1195" i="11" s="1"/>
  <c r="S53" i="5"/>
  <c r="H1119" i="11"/>
  <c r="K1119" i="11" s="1"/>
  <c r="H1120" i="11"/>
  <c r="K1120" i="11" s="1"/>
  <c r="H1121" i="11"/>
  <c r="K1121" i="11" s="1"/>
  <c r="H1156" i="11"/>
  <c r="H1158" i="11"/>
  <c r="C1134" i="11"/>
  <c r="C1133" i="11"/>
  <c r="S52" i="5"/>
  <c r="H1124" i="11"/>
  <c r="D1121" i="11"/>
  <c r="F1121" i="11" s="1"/>
  <c r="F1120" i="11"/>
  <c r="D1119" i="11"/>
  <c r="F1119" i="11" s="1"/>
  <c r="C1102" i="11"/>
  <c r="C1101" i="11"/>
  <c r="S51" i="5"/>
  <c r="H1089" i="11"/>
  <c r="E1078" i="11"/>
  <c r="F1078" i="11" s="1"/>
  <c r="L1078" i="11" s="1"/>
  <c r="E1077" i="11"/>
  <c r="F1077" i="11" s="1"/>
  <c r="L1077" i="11" s="1"/>
  <c r="D1076" i="11"/>
  <c r="E1076" i="11" s="1"/>
  <c r="F1076" i="11" s="1"/>
  <c r="L1076" i="11" s="1"/>
  <c r="D1075" i="11"/>
  <c r="E1075" i="11" s="1"/>
  <c r="F1075" i="11" s="1"/>
  <c r="L1075" i="11" s="1"/>
  <c r="D1074" i="11"/>
  <c r="E1074" i="11" s="1"/>
  <c r="F1074" i="11" s="1"/>
  <c r="C1067" i="11"/>
  <c r="C1066" i="11"/>
  <c r="S50" i="5"/>
  <c r="D1051" i="11"/>
  <c r="F1051" i="11" s="1"/>
  <c r="D1048" i="11"/>
  <c r="E1048" i="11" s="1"/>
  <c r="F1048" i="11" s="1"/>
  <c r="L1048" i="11" s="1"/>
  <c r="D1047" i="11"/>
  <c r="E1047" i="11" s="1"/>
  <c r="F1047" i="11" s="1"/>
  <c r="L1047" i="11" s="1"/>
  <c r="D1046" i="11"/>
  <c r="E1046" i="11" s="1"/>
  <c r="F1046" i="11" s="1"/>
  <c r="L1046" i="11" s="1"/>
  <c r="F1050" i="11"/>
  <c r="H1052" i="11"/>
  <c r="K1052" i="11" s="1"/>
  <c r="H1053" i="11"/>
  <c r="K1053" i="11" s="1"/>
  <c r="H1051" i="11"/>
  <c r="K1051" i="11" s="1"/>
  <c r="H1056" i="11"/>
  <c r="F1053" i="11"/>
  <c r="D1052" i="11"/>
  <c r="F1052" i="11" s="1"/>
  <c r="D1045" i="11"/>
  <c r="E1045" i="11" s="1"/>
  <c r="F1045" i="11" s="1"/>
  <c r="L1045" i="11" s="1"/>
  <c r="D1044" i="11"/>
  <c r="E1044" i="11" s="1"/>
  <c r="F1044" i="11" s="1"/>
  <c r="L1044" i="11" s="1"/>
  <c r="D1043" i="11"/>
  <c r="E1043" i="11" s="1"/>
  <c r="F1043" i="11" s="1"/>
  <c r="C1036" i="11"/>
  <c r="C1035" i="11"/>
  <c r="S48" i="5"/>
  <c r="H1026" i="11"/>
  <c r="C1005" i="11"/>
  <c r="C1004" i="11"/>
  <c r="S47" i="5"/>
  <c r="E988" i="11"/>
  <c r="F988" i="11" s="1"/>
  <c r="H995" i="11"/>
  <c r="D989" i="11"/>
  <c r="E989" i="11" s="1"/>
  <c r="F989" i="11" s="1"/>
  <c r="D987" i="11"/>
  <c r="E987" i="11" s="1"/>
  <c r="F987" i="11" s="1"/>
  <c r="D984" i="11"/>
  <c r="E984" i="11" s="1"/>
  <c r="F984" i="11" s="1"/>
  <c r="D983" i="11"/>
  <c r="E983" i="11" s="1"/>
  <c r="F983" i="11" s="1"/>
  <c r="C976" i="11"/>
  <c r="C975" i="11"/>
  <c r="S45" i="5"/>
  <c r="D853" i="11"/>
  <c r="E853" i="11" s="1"/>
  <c r="F853" i="11" s="1"/>
  <c r="L853" i="11" s="1"/>
  <c r="D957" i="11"/>
  <c r="E957" i="11" s="1"/>
  <c r="F957" i="11" s="1"/>
  <c r="K950" i="11"/>
  <c r="D959" i="11"/>
  <c r="D955" i="11"/>
  <c r="E955" i="11" s="1"/>
  <c r="F955" i="11" s="1"/>
  <c r="K954" i="11"/>
  <c r="D954" i="11"/>
  <c r="E954" i="11" s="1"/>
  <c r="F954" i="11" s="1"/>
  <c r="D953" i="11"/>
  <c r="E953" i="11" s="1"/>
  <c r="F953" i="11" s="1"/>
  <c r="H960" i="11"/>
  <c r="K960" i="11" s="1"/>
  <c r="H961" i="11"/>
  <c r="K961" i="11" s="1"/>
  <c r="H962" i="11"/>
  <c r="K962" i="11" s="1"/>
  <c r="H963" i="11"/>
  <c r="K963" i="11" s="1"/>
  <c r="H959" i="11"/>
  <c r="K959" i="11" s="1"/>
  <c r="K951" i="11"/>
  <c r="K952" i="11"/>
  <c r="K953" i="11"/>
  <c r="K955" i="11"/>
  <c r="K956" i="11"/>
  <c r="K957" i="11"/>
  <c r="H965" i="11"/>
  <c r="D963" i="11"/>
  <c r="F963" i="11" s="1"/>
  <c r="D962" i="11"/>
  <c r="F962" i="11" s="1"/>
  <c r="F961" i="11"/>
  <c r="D960" i="11"/>
  <c r="F960" i="11" s="1"/>
  <c r="D952" i="11"/>
  <c r="E952" i="11" s="1"/>
  <c r="F952" i="11" s="1"/>
  <c r="D951" i="11"/>
  <c r="E951" i="11" s="1"/>
  <c r="F951" i="11" s="1"/>
  <c r="D950" i="11"/>
  <c r="E950" i="11" s="1"/>
  <c r="F950" i="11" s="1"/>
  <c r="C943" i="11"/>
  <c r="C942" i="11"/>
  <c r="K916" i="11"/>
  <c r="K917" i="11"/>
  <c r="K918" i="11"/>
  <c r="K919" i="11"/>
  <c r="K920" i="11"/>
  <c r="K915" i="11"/>
  <c r="S43" i="5"/>
  <c r="H931" i="11"/>
  <c r="C908" i="11"/>
  <c r="C907" i="11"/>
  <c r="S42" i="5"/>
  <c r="H897" i="11"/>
  <c r="C874" i="11"/>
  <c r="C873" i="11"/>
  <c r="S41" i="5"/>
  <c r="F860" i="11"/>
  <c r="F855" i="11"/>
  <c r="D851" i="11"/>
  <c r="E851" i="11" s="1"/>
  <c r="F851" i="11" s="1"/>
  <c r="L851" i="11" s="1"/>
  <c r="D850" i="11"/>
  <c r="E850" i="11" s="1"/>
  <c r="F850" i="11" s="1"/>
  <c r="L850" i="11" s="1"/>
  <c r="D848" i="11"/>
  <c r="E848" i="11" s="1"/>
  <c r="F848" i="11" s="1"/>
  <c r="L848" i="11" s="1"/>
  <c r="H862" i="11"/>
  <c r="F859" i="11"/>
  <c r="F858" i="11"/>
  <c r="F857" i="11"/>
  <c r="F856" i="11"/>
  <c r="D847" i="11"/>
  <c r="E847" i="11" s="1"/>
  <c r="F847" i="11" s="1"/>
  <c r="L847" i="11" s="1"/>
  <c r="D846" i="11"/>
  <c r="E846" i="11" s="1"/>
  <c r="F846" i="11" s="1"/>
  <c r="L846" i="11" s="1"/>
  <c r="D845" i="11"/>
  <c r="E845" i="11" s="1"/>
  <c r="F845" i="11" s="1"/>
  <c r="C838" i="11"/>
  <c r="C837" i="11"/>
  <c r="S40" i="5"/>
  <c r="K813" i="11"/>
  <c r="K818" i="11"/>
  <c r="K814" i="11"/>
  <c r="K815" i="11"/>
  <c r="K816" i="11"/>
  <c r="K817" i="11"/>
  <c r="K819" i="11"/>
  <c r="H827" i="11"/>
  <c r="C806" i="11"/>
  <c r="C805" i="11"/>
  <c r="S39" i="5"/>
  <c r="K786" i="11"/>
  <c r="K788" i="11"/>
  <c r="C773" i="11"/>
  <c r="K781" i="11"/>
  <c r="K782" i="11"/>
  <c r="K783" i="11"/>
  <c r="K784" i="11"/>
  <c r="K785" i="11"/>
  <c r="H795" i="11"/>
  <c r="C772" i="11"/>
  <c r="S37" i="5"/>
  <c r="C741" i="11"/>
  <c r="S36" i="5"/>
  <c r="D725" i="11"/>
  <c r="F725" i="11" s="1"/>
  <c r="G725" i="11" s="1"/>
  <c r="H728" i="11"/>
  <c r="K728" i="11" s="1"/>
  <c r="H729" i="11"/>
  <c r="K729" i="11" s="1"/>
  <c r="H727" i="11"/>
  <c r="K727" i="11" s="1"/>
  <c r="H731" i="11"/>
  <c r="F729" i="11"/>
  <c r="D722" i="11"/>
  <c r="E722" i="11" s="1"/>
  <c r="F722" i="11" s="1"/>
  <c r="D721" i="11"/>
  <c r="E721" i="11" s="1"/>
  <c r="F721" i="11" s="1"/>
  <c r="D720" i="11"/>
  <c r="E720" i="11" s="1"/>
  <c r="F720" i="11" s="1"/>
  <c r="D719" i="11"/>
  <c r="E719" i="11" s="1"/>
  <c r="F719" i="11" s="1"/>
  <c r="D718" i="11"/>
  <c r="E718" i="11" s="1"/>
  <c r="F718" i="11" s="1"/>
  <c r="D717" i="11"/>
  <c r="E717" i="11" s="1"/>
  <c r="F717" i="11" s="1"/>
  <c r="C710" i="11"/>
  <c r="C709" i="11"/>
  <c r="S34" i="5"/>
  <c r="K649" i="11"/>
  <c r="K685" i="11"/>
  <c r="K686" i="11"/>
  <c r="K687" i="11"/>
  <c r="K688" i="11"/>
  <c r="K684" i="11"/>
  <c r="F697" i="11"/>
  <c r="F696" i="11"/>
  <c r="H693" i="11"/>
  <c r="K693" i="11" s="1"/>
  <c r="E687" i="11"/>
  <c r="F687" i="11" s="1"/>
  <c r="H700" i="11"/>
  <c r="F694" i="11"/>
  <c r="D688" i="11"/>
  <c r="E688" i="11" s="1"/>
  <c r="F688" i="11" s="1"/>
  <c r="D686" i="11"/>
  <c r="E686" i="11" s="1"/>
  <c r="F686" i="11" s="1"/>
  <c r="D685" i="11"/>
  <c r="E685" i="11" s="1"/>
  <c r="F685" i="11" s="1"/>
  <c r="D684" i="11"/>
  <c r="E684" i="11" s="1"/>
  <c r="F684" i="11" s="1"/>
  <c r="C676" i="11"/>
  <c r="S33" i="5"/>
  <c r="H659" i="11"/>
  <c r="K659" i="11" s="1"/>
  <c r="H660" i="11"/>
  <c r="K660" i="11" s="1"/>
  <c r="H661" i="11"/>
  <c r="H662" i="11"/>
  <c r="K662" i="11" s="1"/>
  <c r="H658" i="11"/>
  <c r="K658" i="11" s="1"/>
  <c r="K650" i="11"/>
  <c r="K651" i="11"/>
  <c r="K652" i="11"/>
  <c r="K653" i="11"/>
  <c r="K654" i="11"/>
  <c r="K615" i="11"/>
  <c r="K616" i="11"/>
  <c r="K617" i="11"/>
  <c r="K618" i="11"/>
  <c r="K619" i="11"/>
  <c r="H624" i="11"/>
  <c r="K624" i="11" s="1"/>
  <c r="H625" i="11"/>
  <c r="K625" i="11" s="1"/>
  <c r="H626" i="11"/>
  <c r="H627" i="11"/>
  <c r="K627" i="11" s="1"/>
  <c r="H628" i="11"/>
  <c r="K628" i="11" s="1"/>
  <c r="H623" i="11"/>
  <c r="K623" i="11" s="1"/>
  <c r="H589" i="11"/>
  <c r="K589" i="11" s="1"/>
  <c r="H523" i="11"/>
  <c r="K523" i="11" s="1"/>
  <c r="H557" i="11"/>
  <c r="H559" i="11"/>
  <c r="H560" i="11"/>
  <c r="H561" i="11"/>
  <c r="H556" i="11"/>
  <c r="K556" i="11" s="1"/>
  <c r="H590" i="11"/>
  <c r="K590" i="11" s="1"/>
  <c r="H591" i="11"/>
  <c r="H592" i="11"/>
  <c r="K592" i="11" s="1"/>
  <c r="H593" i="11"/>
  <c r="K593" i="11" s="1"/>
  <c r="H594" i="11"/>
  <c r="K594" i="11" s="1"/>
  <c r="K581" i="11"/>
  <c r="K549" i="11"/>
  <c r="K550" i="11"/>
  <c r="K551" i="11"/>
  <c r="K552" i="11"/>
  <c r="K553" i="11"/>
  <c r="K554" i="11"/>
  <c r="K548" i="11"/>
  <c r="H665" i="11"/>
  <c r="H663" i="11"/>
  <c r="K663" i="11" s="1"/>
  <c r="F662" i="11"/>
  <c r="F659" i="11"/>
  <c r="E654" i="11"/>
  <c r="F654" i="11" s="1"/>
  <c r="D653" i="11"/>
  <c r="E653" i="11" s="1"/>
  <c r="F653" i="11" s="1"/>
  <c r="E652" i="11"/>
  <c r="F652" i="11" s="1"/>
  <c r="D651" i="11"/>
  <c r="E651" i="11" s="1"/>
  <c r="F651" i="11" s="1"/>
  <c r="D650" i="11"/>
  <c r="E650" i="11" s="1"/>
  <c r="F650" i="11" s="1"/>
  <c r="D649" i="11"/>
  <c r="E649" i="11" s="1"/>
  <c r="F649" i="11" s="1"/>
  <c r="C642" i="11"/>
  <c r="C641" i="11"/>
  <c r="S30" i="5"/>
  <c r="H630" i="11"/>
  <c r="D619" i="11"/>
  <c r="E619" i="11" s="1"/>
  <c r="F619" i="11" s="1"/>
  <c r="D618" i="11"/>
  <c r="E618" i="11" s="1"/>
  <c r="F618" i="11" s="1"/>
  <c r="E617" i="11"/>
  <c r="F617" i="11" s="1"/>
  <c r="D616" i="11"/>
  <c r="E616" i="11" s="1"/>
  <c r="F616" i="11" s="1"/>
  <c r="D615" i="11"/>
  <c r="E615" i="11" s="1"/>
  <c r="F615" i="11" s="1"/>
  <c r="D614" i="11"/>
  <c r="E614" i="11" s="1"/>
  <c r="F614" i="11" s="1"/>
  <c r="C607" i="11"/>
  <c r="C606" i="11"/>
  <c r="D584" i="11"/>
  <c r="E584" i="11" s="1"/>
  <c r="F584" i="11" s="1"/>
  <c r="L584" i="11" s="1"/>
  <c r="S29" i="5"/>
  <c r="H596" i="11"/>
  <c r="F593" i="11"/>
  <c r="F592" i="11"/>
  <c r="F590" i="11"/>
  <c r="F589" i="11"/>
  <c r="D586" i="11"/>
  <c r="E586" i="11" s="1"/>
  <c r="F586" i="11" s="1"/>
  <c r="L586" i="11" s="1"/>
  <c r="D585" i="11"/>
  <c r="E585" i="11" s="1"/>
  <c r="F585" i="11" s="1"/>
  <c r="L585" i="11" s="1"/>
  <c r="D583" i="11"/>
  <c r="E583" i="11" s="1"/>
  <c r="F583" i="11" s="1"/>
  <c r="L583" i="11" s="1"/>
  <c r="D582" i="11"/>
  <c r="E582" i="11" s="1"/>
  <c r="F582" i="11" s="1"/>
  <c r="L582" i="11" s="1"/>
  <c r="D581" i="11"/>
  <c r="E581" i="11" s="1"/>
  <c r="F581" i="11" s="1"/>
  <c r="C574" i="11"/>
  <c r="C573" i="11"/>
  <c r="S28" i="5"/>
  <c r="D557" i="11"/>
  <c r="D561" i="11"/>
  <c r="D560" i="11"/>
  <c r="D554" i="11"/>
  <c r="D553" i="11"/>
  <c r="D552" i="11"/>
  <c r="D550" i="11"/>
  <c r="D549" i="11"/>
  <c r="S27" i="5"/>
  <c r="D518" i="11"/>
  <c r="E518" i="11" s="1"/>
  <c r="F518" i="11" s="1"/>
  <c r="D517" i="11"/>
  <c r="E517" i="11" s="1"/>
  <c r="F517" i="11" s="1"/>
  <c r="D516" i="11"/>
  <c r="E516" i="11" s="1"/>
  <c r="F516" i="11" s="1"/>
  <c r="K514" i="11"/>
  <c r="K515" i="11"/>
  <c r="K516" i="11"/>
  <c r="K517" i="11"/>
  <c r="K518" i="11"/>
  <c r="K513" i="11"/>
  <c r="H524" i="11"/>
  <c r="K524" i="11" s="1"/>
  <c r="H525" i="11"/>
  <c r="K525" i="11" s="1"/>
  <c r="H527" i="11"/>
  <c r="K527" i="11" s="1"/>
  <c r="H528" i="11"/>
  <c r="K528" i="11" s="1"/>
  <c r="H530" i="11"/>
  <c r="F527" i="11"/>
  <c r="F524" i="11"/>
  <c r="D515" i="11"/>
  <c r="E515" i="11" s="1"/>
  <c r="F515" i="11" s="1"/>
  <c r="D514" i="11"/>
  <c r="E514" i="11" s="1"/>
  <c r="F514" i="11" s="1"/>
  <c r="D513" i="11"/>
  <c r="E513" i="11" s="1"/>
  <c r="F513" i="11" s="1"/>
  <c r="C505" i="11"/>
  <c r="D485" i="11"/>
  <c r="D484" i="11"/>
  <c r="D483" i="11"/>
  <c r="D482" i="11"/>
  <c r="D481" i="11"/>
  <c r="D480" i="11"/>
  <c r="S22" i="5"/>
  <c r="D294" i="11"/>
  <c r="D420" i="11"/>
  <c r="D419" i="11"/>
  <c r="D418" i="11"/>
  <c r="D417" i="11"/>
  <c r="D416" i="11"/>
  <c r="D415" i="11"/>
  <c r="H392" i="11"/>
  <c r="D391" i="11"/>
  <c r="D390" i="11"/>
  <c r="D386" i="11"/>
  <c r="D385" i="11"/>
  <c r="D384" i="11"/>
  <c r="D292" i="11"/>
  <c r="D289" i="11"/>
  <c r="D290" i="11"/>
  <c r="D287" i="11"/>
  <c r="D286" i="11"/>
  <c r="D285" i="11"/>
  <c r="D284" i="11"/>
  <c r="S18" i="5"/>
  <c r="S15" i="5"/>
  <c r="D261" i="11"/>
  <c r="D257" i="11"/>
  <c r="D256" i="11"/>
  <c r="D255" i="11"/>
  <c r="D254" i="11"/>
  <c r="D253" i="11"/>
  <c r="D252" i="11"/>
  <c r="S14" i="5"/>
  <c r="D197" i="11"/>
  <c r="D196" i="11"/>
  <c r="D193" i="11"/>
  <c r="D192" i="11"/>
  <c r="D191" i="11"/>
  <c r="D190" i="11"/>
  <c r="D189" i="11"/>
  <c r="D188" i="11"/>
  <c r="H197" i="11"/>
  <c r="H198" i="11"/>
  <c r="H199" i="11"/>
  <c r="H196" i="11"/>
  <c r="D157" i="11"/>
  <c r="D156" i="11"/>
  <c r="D155" i="11"/>
  <c r="D154" i="11"/>
  <c r="D153" i="11"/>
  <c r="D152" i="11"/>
  <c r="D130" i="11"/>
  <c r="D129" i="11"/>
  <c r="D128" i="11"/>
  <c r="D126" i="11"/>
  <c r="H129" i="11"/>
  <c r="K129" i="11" s="1"/>
  <c r="H130" i="11"/>
  <c r="K130" i="11" s="1"/>
  <c r="H131" i="11"/>
  <c r="K131" i="11" s="1"/>
  <c r="H128" i="11"/>
  <c r="K128" i="11" s="1"/>
  <c r="D124" i="11"/>
  <c r="D123" i="11"/>
  <c r="D122" i="11"/>
  <c r="D121" i="11"/>
  <c r="D120" i="11"/>
  <c r="D119" i="11"/>
  <c r="D118" i="11"/>
  <c r="H96" i="11"/>
  <c r="H97" i="11"/>
  <c r="K97" i="11" s="1"/>
  <c r="H95" i="11"/>
  <c r="K95" i="11" s="1"/>
  <c r="D97" i="11"/>
  <c r="D96" i="11"/>
  <c r="F96" i="11" s="1"/>
  <c r="D95" i="11"/>
  <c r="D93" i="11"/>
  <c r="D92" i="11"/>
  <c r="D91" i="11"/>
  <c r="D89" i="11"/>
  <c r="D88" i="11"/>
  <c r="D87" i="11"/>
  <c r="D32" i="11"/>
  <c r="D67" i="11"/>
  <c r="D66" i="11"/>
  <c r="D65" i="11"/>
  <c r="D64" i="11"/>
  <c r="D61" i="11"/>
  <c r="D58" i="11"/>
  <c r="D57" i="11"/>
  <c r="D56" i="11"/>
  <c r="D55" i="11"/>
  <c r="D54" i="11"/>
  <c r="D53" i="11"/>
  <c r="H65" i="11"/>
  <c r="K65" i="11" s="1"/>
  <c r="H66" i="11"/>
  <c r="K66" i="11" s="1"/>
  <c r="H67" i="11"/>
  <c r="K67" i="11" s="1"/>
  <c r="H64" i="11"/>
  <c r="K64" i="11" s="1"/>
  <c r="C46" i="11"/>
  <c r="D31" i="11"/>
  <c r="D29" i="11"/>
  <c r="D28" i="11"/>
  <c r="D26" i="11"/>
  <c r="D24" i="11"/>
  <c r="D23" i="11"/>
  <c r="D2176" i="11"/>
  <c r="E2176" i="11" s="1"/>
  <c r="F2176" i="11" s="1"/>
  <c r="D21" i="11"/>
  <c r="D20" i="11"/>
  <c r="D19" i="11"/>
  <c r="D18" i="11"/>
  <c r="H29" i="11"/>
  <c r="K29" i="11" s="1"/>
  <c r="H30" i="11"/>
  <c r="K30" i="11" s="1"/>
  <c r="H31" i="11"/>
  <c r="K31" i="11" s="1"/>
  <c r="H32" i="11"/>
  <c r="K32" i="11" s="1"/>
  <c r="H28" i="11"/>
  <c r="K28" i="11" s="1"/>
  <c r="C11" i="11"/>
  <c r="D93" i="12"/>
  <c r="F93" i="12" s="1"/>
  <c r="G93" i="12" s="1"/>
  <c r="D83" i="12"/>
  <c r="D57" i="12"/>
  <c r="D84" i="12"/>
  <c r="R12" i="8"/>
  <c r="H97" i="12"/>
  <c r="G95" i="12"/>
  <c r="F95" i="12"/>
  <c r="D94" i="12"/>
  <c r="F94" i="12" s="1"/>
  <c r="G94" i="12" s="1"/>
  <c r="D92" i="12"/>
  <c r="F92" i="12" s="1"/>
  <c r="D91" i="12"/>
  <c r="F91" i="12" s="1"/>
  <c r="G91" i="12" s="1"/>
  <c r="S49" i="5"/>
  <c r="D68" i="12"/>
  <c r="D67" i="12"/>
  <c r="D66" i="12"/>
  <c r="D65" i="12"/>
  <c r="D58" i="12"/>
  <c r="S38" i="5"/>
  <c r="D43" i="12"/>
  <c r="D42" i="12"/>
  <c r="D41" i="12"/>
  <c r="D40" i="12"/>
  <c r="O15" i="12"/>
  <c r="O14" i="12"/>
  <c r="O13" i="12"/>
  <c r="D14" i="12"/>
  <c r="D13" i="12"/>
  <c r="D33" i="12"/>
  <c r="O6" i="12"/>
  <c r="D6" i="12"/>
  <c r="S23" i="5"/>
  <c r="E150" i="10"/>
  <c r="E149" i="10"/>
  <c r="E148" i="10"/>
  <c r="D133" i="10"/>
  <c r="E112" i="10"/>
  <c r="D105" i="10"/>
  <c r="D73" i="10"/>
  <c r="E87" i="10"/>
  <c r="E91" i="10"/>
  <c r="E90" i="10"/>
  <c r="E89" i="10"/>
  <c r="E84" i="10"/>
  <c r="E83" i="10"/>
  <c r="E82" i="10"/>
  <c r="E81" i="10"/>
  <c r="E80" i="10"/>
  <c r="E86" i="10"/>
  <c r="E85" i="10"/>
  <c r="S32" i="5"/>
  <c r="G96" i="11" l="1"/>
  <c r="F2192" i="11"/>
  <c r="L2176" i="11"/>
  <c r="L2188" i="11" s="1"/>
  <c r="G2176" i="11"/>
  <c r="G2188" i="11" s="1"/>
  <c r="G2192" i="11" s="1"/>
  <c r="L593" i="11"/>
  <c r="G960" i="11"/>
  <c r="L617" i="11"/>
  <c r="G962" i="11"/>
  <c r="K591" i="11"/>
  <c r="L591" i="11" s="1"/>
  <c r="G591" i="11"/>
  <c r="K324" i="11"/>
  <c r="L324" i="11" s="1"/>
  <c r="G324" i="11"/>
  <c r="G590" i="11"/>
  <c r="L590" i="11"/>
  <c r="G527" i="11"/>
  <c r="L527" i="11"/>
  <c r="L592" i="11"/>
  <c r="G592" i="11"/>
  <c r="G589" i="11"/>
  <c r="L589" i="11"/>
  <c r="D129" i="14"/>
  <c r="E129" i="14" s="1"/>
  <c r="F129" i="14" s="1"/>
  <c r="D20" i="14"/>
  <c r="E20" i="14" s="1"/>
  <c r="F20" i="14" s="1"/>
  <c r="D160" i="14"/>
  <c r="E160" i="14" s="1"/>
  <c r="F160" i="14" s="1"/>
  <c r="D230" i="14"/>
  <c r="E230" i="14" s="1"/>
  <c r="F230" i="14" s="1"/>
  <c r="D56" i="14"/>
  <c r="E56" i="14" s="1"/>
  <c r="F56" i="14" s="1"/>
  <c r="D94" i="14"/>
  <c r="E94" i="14" s="1"/>
  <c r="F94" i="14" s="1"/>
  <c r="D195" i="14"/>
  <c r="E195" i="14" s="1"/>
  <c r="F195" i="14" s="1"/>
  <c r="G1223" i="11"/>
  <c r="G1226" i="11"/>
  <c r="L1388" i="11"/>
  <c r="G1388" i="11"/>
  <c r="L1386" i="11"/>
  <c r="G1386" i="11"/>
  <c r="F1293" i="11"/>
  <c r="K1225" i="11"/>
  <c r="L1225" i="11" s="1"/>
  <c r="G662" i="11"/>
  <c r="G1052" i="11"/>
  <c r="G729" i="11"/>
  <c r="K1193" i="11"/>
  <c r="L1193" i="11" s="1"/>
  <c r="G963" i="11"/>
  <c r="G1119" i="11"/>
  <c r="G524" i="11"/>
  <c r="G856" i="11"/>
  <c r="L856" i="11"/>
  <c r="L1053" i="11"/>
  <c r="G1053" i="11"/>
  <c r="G1120" i="11"/>
  <c r="K96" i="11"/>
  <c r="K626" i="11"/>
  <c r="L626" i="11" s="1"/>
  <c r="G626" i="11"/>
  <c r="L859" i="11"/>
  <c r="G859" i="11"/>
  <c r="L857" i="11"/>
  <c r="G857" i="11"/>
  <c r="L855" i="11"/>
  <c r="G855" i="11"/>
  <c r="G593" i="11"/>
  <c r="G659" i="11"/>
  <c r="K661" i="11"/>
  <c r="L661" i="11" s="1"/>
  <c r="G661" i="11"/>
  <c r="L858" i="11"/>
  <c r="G858" i="11"/>
  <c r="G860" i="11"/>
  <c r="L860" i="11"/>
  <c r="G961" i="11"/>
  <c r="G1051" i="11"/>
  <c r="G1121" i="11"/>
  <c r="K1156" i="11"/>
  <c r="L1156" i="11" s="1"/>
  <c r="G1156" i="11"/>
  <c r="F959" i="11"/>
  <c r="G959" i="11" s="1"/>
  <c r="G984" i="11"/>
  <c r="L984" i="11"/>
  <c r="L989" i="11"/>
  <c r="G989" i="11"/>
  <c r="L987" i="11"/>
  <c r="G987" i="11"/>
  <c r="G988" i="11"/>
  <c r="L988" i="11"/>
  <c r="G983" i="11"/>
  <c r="L983" i="11"/>
  <c r="K164" i="11"/>
  <c r="L164" i="11" s="1"/>
  <c r="L1226" i="11"/>
  <c r="L1223" i="11"/>
  <c r="L1121" i="11"/>
  <c r="D1115" i="11"/>
  <c r="E1115" i="11" s="1"/>
  <c r="F1115" i="11" s="1"/>
  <c r="L1115" i="11" s="1"/>
  <c r="D1018" i="11"/>
  <c r="E1018" i="11" s="1"/>
  <c r="F1018" i="11" s="1"/>
  <c r="D887" i="11"/>
  <c r="E887" i="11" s="1"/>
  <c r="F887" i="11" s="1"/>
  <c r="P1050" i="11"/>
  <c r="R1050" i="11" s="1"/>
  <c r="S1050" i="11" s="1"/>
  <c r="L1050" i="11"/>
  <c r="L1051" i="11"/>
  <c r="L1052" i="11"/>
  <c r="D1637" i="11"/>
  <c r="E1637" i="11" s="1"/>
  <c r="F1637" i="11" s="1"/>
  <c r="D1602" i="11"/>
  <c r="E1602" i="11" s="1"/>
  <c r="F1602" i="11" s="1"/>
  <c r="D1571" i="11"/>
  <c r="E1571" i="11" s="1"/>
  <c r="F1571" i="11" s="1"/>
  <c r="D1669" i="11"/>
  <c r="E1669" i="11" s="1"/>
  <c r="F1669" i="11" s="1"/>
  <c r="D1502" i="11"/>
  <c r="E1502" i="11" s="1"/>
  <c r="F1502" i="11" s="1"/>
  <c r="D1878" i="11"/>
  <c r="E1878" i="11" s="1"/>
  <c r="F1878" i="11" s="1"/>
  <c r="L1878" i="11" s="1"/>
  <c r="D2291" i="11"/>
  <c r="E2291" i="11" s="1"/>
  <c r="F2291" i="11" s="1"/>
  <c r="D2224" i="11"/>
  <c r="E2224" i="11" s="1"/>
  <c r="F2224" i="11" s="1"/>
  <c r="L2224" i="11" s="1"/>
  <c r="D1844" i="11"/>
  <c r="E1844" i="11" s="1"/>
  <c r="F1844" i="11" s="1"/>
  <c r="D2008" i="11"/>
  <c r="E2008" i="11" s="1"/>
  <c r="F2008" i="11" s="1"/>
  <c r="D1913" i="11"/>
  <c r="E1913" i="11" s="1"/>
  <c r="F1913" i="11" s="1"/>
  <c r="L1913" i="11" s="1"/>
  <c r="D62" i="11"/>
  <c r="E62" i="11" s="1"/>
  <c r="F62" i="11" s="1"/>
  <c r="D2045" i="11"/>
  <c r="E2045" i="11" s="1"/>
  <c r="F2045" i="11" s="1"/>
  <c r="D1149" i="11"/>
  <c r="E1149" i="11" s="1"/>
  <c r="F1149" i="11" s="1"/>
  <c r="D2256" i="11"/>
  <c r="E2256" i="11" s="1"/>
  <c r="F2256" i="11" s="1"/>
  <c r="L2256" i="11" s="1"/>
  <c r="D2081" i="11"/>
  <c r="E2081" i="11" s="1"/>
  <c r="F2081" i="11" s="1"/>
  <c r="D1322" i="11"/>
  <c r="E1322" i="11" s="1"/>
  <c r="F1322" i="11" s="1"/>
  <c r="L1322" i="11" s="1"/>
  <c r="D1049" i="11"/>
  <c r="E1049" i="11" s="1"/>
  <c r="F1049" i="11" s="1"/>
  <c r="L1049" i="11" s="1"/>
  <c r="D452" i="11"/>
  <c r="E452" i="11" s="1"/>
  <c r="F452" i="11" s="1"/>
  <c r="D319" i="11"/>
  <c r="E319" i="11" s="1"/>
  <c r="F319" i="11" s="1"/>
  <c r="D225" i="11"/>
  <c r="E225" i="11" s="1"/>
  <c r="F225" i="11" s="1"/>
  <c r="D1350" i="11"/>
  <c r="E1350" i="11" s="1"/>
  <c r="F1350" i="11" s="1"/>
  <c r="D1974" i="11"/>
  <c r="E1974" i="11" s="1"/>
  <c r="F1974" i="11" s="1"/>
  <c r="D1253" i="11"/>
  <c r="E1253" i="11" s="1"/>
  <c r="F1253" i="11" s="1"/>
  <c r="G1253" i="11" s="1"/>
  <c r="D1945" i="11"/>
  <c r="E1945" i="11" s="1"/>
  <c r="F1945" i="11" s="1"/>
  <c r="L1945" i="11" s="1"/>
  <c r="D2113" i="11"/>
  <c r="E2113" i="11" s="1"/>
  <c r="F2113" i="11" s="1"/>
  <c r="L2113" i="11" s="1"/>
  <c r="D1809" i="11"/>
  <c r="E1809" i="11" s="1"/>
  <c r="F1809" i="11" s="1"/>
  <c r="D1384" i="11"/>
  <c r="E1384" i="11" s="1"/>
  <c r="F1384" i="11" s="1"/>
  <c r="D1220" i="11"/>
  <c r="E1220" i="11" s="1"/>
  <c r="F1220" i="11" s="1"/>
  <c r="L1220" i="11" s="1"/>
  <c r="D521" i="11"/>
  <c r="E521" i="11" s="1"/>
  <c r="F521" i="11" s="1"/>
  <c r="G521" i="11" s="1"/>
  <c r="D356" i="11"/>
  <c r="E356" i="11" s="1"/>
  <c r="F356" i="11" s="1"/>
  <c r="D258" i="11"/>
  <c r="E258" i="11" s="1"/>
  <c r="F258" i="11" s="1"/>
  <c r="D194" i="11"/>
  <c r="E194" i="11" s="1"/>
  <c r="F194" i="11" s="1"/>
  <c r="L1255" i="11"/>
  <c r="D817" i="11"/>
  <c r="E817" i="11" s="1"/>
  <c r="F817" i="11" s="1"/>
  <c r="G817" i="11" s="1"/>
  <c r="G826" i="11" s="1"/>
  <c r="D783" i="11"/>
  <c r="E783" i="11" s="1"/>
  <c r="F783" i="11" s="1"/>
  <c r="G783" i="11" s="1"/>
  <c r="D754" i="11"/>
  <c r="E754" i="11" s="1"/>
  <c r="F754" i="11" s="1"/>
  <c r="G754" i="11" s="1"/>
  <c r="G761" i="11" s="1"/>
  <c r="D621" i="11"/>
  <c r="E621" i="11" s="1"/>
  <c r="F621" i="11" s="1"/>
  <c r="D1706" i="11"/>
  <c r="E1706" i="11" s="1"/>
  <c r="F1706" i="11" s="1"/>
  <c r="D2142" i="11"/>
  <c r="E2142" i="11" s="1"/>
  <c r="F2142" i="11" s="1"/>
  <c r="D655" i="11"/>
  <c r="E655" i="11" s="1"/>
  <c r="F655" i="11" s="1"/>
  <c r="D1739" i="11"/>
  <c r="E1739" i="11" s="1"/>
  <c r="F1739" i="11" s="1"/>
  <c r="D919" i="11"/>
  <c r="E919" i="11" s="1"/>
  <c r="F919" i="11" s="1"/>
  <c r="G919" i="11" s="1"/>
  <c r="G930" i="11" s="1"/>
  <c r="D689" i="11"/>
  <c r="E689" i="11" s="1"/>
  <c r="F689" i="11" s="1"/>
  <c r="D587" i="11"/>
  <c r="E587" i="11" s="1"/>
  <c r="F587" i="11" s="1"/>
  <c r="L587" i="11" s="1"/>
  <c r="D986" i="11"/>
  <c r="E986" i="11" s="1"/>
  <c r="F986" i="11" s="1"/>
  <c r="D1536" i="11"/>
  <c r="D1776" i="11"/>
  <c r="E1776" i="11" s="1"/>
  <c r="F1776" i="11" s="1"/>
  <c r="L1776" i="11" s="1"/>
  <c r="D125" i="11"/>
  <c r="D1289" i="11"/>
  <c r="E1289" i="11" s="1"/>
  <c r="F1289" i="11" s="1"/>
  <c r="D1079" i="11"/>
  <c r="E1079" i="11" s="1"/>
  <c r="F1079" i="11" s="1"/>
  <c r="L1079" i="11" s="1"/>
  <c r="D1180" i="11"/>
  <c r="L1284" i="11"/>
  <c r="G1284" i="11"/>
  <c r="L1286" i="11"/>
  <c r="G1286" i="11"/>
  <c r="G1287" i="11"/>
  <c r="L1287" i="11"/>
  <c r="G1283" i="11"/>
  <c r="L1283" i="11"/>
  <c r="L1282" i="11"/>
  <c r="G1282" i="11"/>
  <c r="G1285" i="11"/>
  <c r="L1285" i="11"/>
  <c r="F1292" i="11"/>
  <c r="L1262" i="11"/>
  <c r="L1250" i="11"/>
  <c r="L1252" i="11"/>
  <c r="L1254" i="11"/>
  <c r="L1256" i="11"/>
  <c r="L1260" i="11"/>
  <c r="L1249" i="11"/>
  <c r="L1251" i="11"/>
  <c r="F1259" i="11"/>
  <c r="F1261" i="11"/>
  <c r="F1263" i="11"/>
  <c r="G1216" i="11"/>
  <c r="G1219" i="11"/>
  <c r="G1218" i="11"/>
  <c r="G1215" i="11"/>
  <c r="L1214" i="11"/>
  <c r="G1214" i="11"/>
  <c r="G1217" i="11"/>
  <c r="F1227" i="11"/>
  <c r="G1227" i="11" s="1"/>
  <c r="F1222" i="11"/>
  <c r="G1222" i="11" s="1"/>
  <c r="F1224" i="11"/>
  <c r="G1224" i="11" s="1"/>
  <c r="L1188" i="11"/>
  <c r="L1119" i="11"/>
  <c r="L1109" i="11"/>
  <c r="L1120" i="11"/>
  <c r="G1075" i="11"/>
  <c r="G1077" i="11"/>
  <c r="G1074" i="11"/>
  <c r="L1074" i="11"/>
  <c r="G1076" i="11"/>
  <c r="G1078" i="11"/>
  <c r="G1047" i="11"/>
  <c r="G1046" i="11"/>
  <c r="G1050" i="11"/>
  <c r="G1044" i="11"/>
  <c r="G1048" i="11"/>
  <c r="G1043" i="11"/>
  <c r="L1043" i="11"/>
  <c r="G1045" i="11"/>
  <c r="L1012" i="11"/>
  <c r="L950" i="11"/>
  <c r="G954" i="11"/>
  <c r="L954" i="11"/>
  <c r="D852" i="11"/>
  <c r="E852" i="11" s="1"/>
  <c r="F852" i="11" s="1"/>
  <c r="L852" i="11" s="1"/>
  <c r="L819" i="11"/>
  <c r="D387" i="11"/>
  <c r="D421" i="11"/>
  <c r="D956" i="11"/>
  <c r="E956" i="11" s="1"/>
  <c r="F956" i="11" s="1"/>
  <c r="L961" i="11"/>
  <c r="L962" i="11"/>
  <c r="L963" i="11"/>
  <c r="L951" i="11"/>
  <c r="G951" i="11"/>
  <c r="L953" i="11"/>
  <c r="G953" i="11"/>
  <c r="L957" i="11"/>
  <c r="G957" i="11"/>
  <c r="L960" i="11"/>
  <c r="G950" i="11"/>
  <c r="G952" i="11"/>
  <c r="L952" i="11"/>
  <c r="G955" i="11"/>
  <c r="L955" i="11"/>
  <c r="L916" i="11"/>
  <c r="L915" i="11"/>
  <c r="L918" i="11"/>
  <c r="L917" i="11"/>
  <c r="L920" i="11"/>
  <c r="L881" i="11"/>
  <c r="G848" i="11"/>
  <c r="G847" i="11"/>
  <c r="G853" i="11"/>
  <c r="G846" i="11"/>
  <c r="G850" i="11"/>
  <c r="G845" i="11"/>
  <c r="L845" i="11"/>
  <c r="G851" i="11"/>
  <c r="L813" i="11"/>
  <c r="L818" i="11"/>
  <c r="L788" i="11"/>
  <c r="L815" i="11"/>
  <c r="L816" i="11"/>
  <c r="L814" i="11"/>
  <c r="D288" i="11"/>
  <c r="D551" i="11"/>
  <c r="D487" i="11"/>
  <c r="D723" i="11"/>
  <c r="E723" i="11" s="1"/>
  <c r="F723" i="11" s="1"/>
  <c r="G723" i="11" s="1"/>
  <c r="D159" i="11"/>
  <c r="L784" i="11"/>
  <c r="L785" i="11"/>
  <c r="L781" i="11"/>
  <c r="L782" i="11"/>
  <c r="K790" i="11"/>
  <c r="L725" i="11"/>
  <c r="L729" i="11"/>
  <c r="F728" i="11"/>
  <c r="L718" i="11"/>
  <c r="G718" i="11"/>
  <c r="L720" i="11"/>
  <c r="G720" i="11"/>
  <c r="L722" i="11"/>
  <c r="G722" i="11"/>
  <c r="G717" i="11"/>
  <c r="L717" i="11"/>
  <c r="G719" i="11"/>
  <c r="L719" i="11"/>
  <c r="G721" i="11"/>
  <c r="L721" i="11"/>
  <c r="F727" i="11"/>
  <c r="L688" i="11"/>
  <c r="L687" i="11"/>
  <c r="F693" i="11"/>
  <c r="L686" i="11"/>
  <c r="L618" i="11"/>
  <c r="L654" i="11"/>
  <c r="L619" i="11"/>
  <c r="L659" i="11"/>
  <c r="L653" i="11"/>
  <c r="L684" i="11"/>
  <c r="H694" i="11"/>
  <c r="K694" i="11" s="1"/>
  <c r="L652" i="11"/>
  <c r="L662" i="11"/>
  <c r="L581" i="11"/>
  <c r="F695" i="11"/>
  <c r="G685" i="11"/>
  <c r="L685" i="11"/>
  <c r="G688" i="11"/>
  <c r="G684" i="11"/>
  <c r="G686" i="11"/>
  <c r="G687" i="11"/>
  <c r="F698" i="11"/>
  <c r="L650" i="11"/>
  <c r="G650" i="11"/>
  <c r="G652" i="11"/>
  <c r="G654" i="11"/>
  <c r="G649" i="11"/>
  <c r="L649" i="11"/>
  <c r="G651" i="11"/>
  <c r="L651" i="11"/>
  <c r="G653" i="11"/>
  <c r="F658" i="11"/>
  <c r="F660" i="11"/>
  <c r="F663" i="11"/>
  <c r="F624" i="11"/>
  <c r="G614" i="11"/>
  <c r="L614" i="11"/>
  <c r="G616" i="11"/>
  <c r="L616" i="11"/>
  <c r="G618" i="11"/>
  <c r="L615" i="11"/>
  <c r="G615" i="11"/>
  <c r="G617" i="11"/>
  <c r="G619" i="11"/>
  <c r="F623" i="11"/>
  <c r="F625" i="11"/>
  <c r="F628" i="11"/>
  <c r="G581" i="11"/>
  <c r="G583" i="11"/>
  <c r="G585" i="11"/>
  <c r="G582" i="11"/>
  <c r="G584" i="11"/>
  <c r="G586" i="11"/>
  <c r="F594" i="11"/>
  <c r="L594" i="11" s="1"/>
  <c r="L513" i="11"/>
  <c r="L524" i="11"/>
  <c r="F528" i="11"/>
  <c r="F523" i="11"/>
  <c r="F525" i="11"/>
  <c r="G525" i="11" s="1"/>
  <c r="G514" i="11"/>
  <c r="L514" i="11"/>
  <c r="G513" i="11"/>
  <c r="G516" i="11"/>
  <c r="L516" i="11"/>
  <c r="L517" i="11"/>
  <c r="G517" i="11"/>
  <c r="L515" i="11"/>
  <c r="G515" i="11"/>
  <c r="G518" i="11"/>
  <c r="L518" i="11"/>
  <c r="D90" i="11"/>
  <c r="D22" i="11"/>
  <c r="G92" i="12"/>
  <c r="G96" i="12" s="1"/>
  <c r="F100" i="12"/>
  <c r="F1984" i="11" l="1"/>
  <c r="G1974" i="11"/>
  <c r="R130" i="5"/>
  <c r="G2193" i="11"/>
  <c r="G2194" i="11" s="1"/>
  <c r="T130" i="5" s="1"/>
  <c r="AB130" i="5" s="1"/>
  <c r="J42" i="17"/>
  <c r="O43" i="5"/>
  <c r="O40" i="5"/>
  <c r="J39" i="17"/>
  <c r="O37" i="5"/>
  <c r="J36" i="17"/>
  <c r="G230" i="14"/>
  <c r="G238" i="14" s="1"/>
  <c r="L230" i="14"/>
  <c r="L238" i="14" s="1"/>
  <c r="F242" i="14"/>
  <c r="L195" i="14"/>
  <c r="L203" i="14" s="1"/>
  <c r="G195" i="14"/>
  <c r="G203" i="14" s="1"/>
  <c r="F207" i="14"/>
  <c r="G160" i="14"/>
  <c r="G168" i="14" s="1"/>
  <c r="L160" i="14"/>
  <c r="L168" i="14" s="1"/>
  <c r="F172" i="14"/>
  <c r="G94" i="14"/>
  <c r="G102" i="14" s="1"/>
  <c r="L94" i="14"/>
  <c r="L102" i="14" s="1"/>
  <c r="L20" i="14"/>
  <c r="L28" i="14" s="1"/>
  <c r="G20" i="14"/>
  <c r="G28" i="14" s="1"/>
  <c r="O114" i="5" s="1"/>
  <c r="L56" i="14"/>
  <c r="L64" i="14" s="1"/>
  <c r="G56" i="14"/>
  <c r="G64" i="14" s="1"/>
  <c r="F68" i="14"/>
  <c r="L129" i="14"/>
  <c r="L136" i="14" s="1"/>
  <c r="G129" i="14"/>
  <c r="G136" i="14" s="1"/>
  <c r="F140" i="14"/>
  <c r="F1393" i="11"/>
  <c r="L1384" i="11"/>
  <c r="L1389" i="11" s="1"/>
  <c r="G1384" i="11"/>
  <c r="G1389" i="11" s="1"/>
  <c r="L1292" i="11"/>
  <c r="G1292" i="11"/>
  <c r="L1263" i="11"/>
  <c r="G1263" i="11"/>
  <c r="L1261" i="11"/>
  <c r="G1261" i="11"/>
  <c r="L1259" i="11"/>
  <c r="G1259" i="11"/>
  <c r="L1293" i="11"/>
  <c r="G1293" i="11"/>
  <c r="L1222" i="11"/>
  <c r="L1224" i="11"/>
  <c r="L1227" i="11"/>
  <c r="L861" i="11"/>
  <c r="L1088" i="11"/>
  <c r="F968" i="11"/>
  <c r="L959" i="11"/>
  <c r="L625" i="11"/>
  <c r="G625" i="11"/>
  <c r="L627" i="11"/>
  <c r="G627" i="11"/>
  <c r="L693" i="11"/>
  <c r="G693" i="11"/>
  <c r="L728" i="11"/>
  <c r="G728" i="11"/>
  <c r="L525" i="11"/>
  <c r="L623" i="11"/>
  <c r="G623" i="11"/>
  <c r="L663" i="11"/>
  <c r="G663" i="11"/>
  <c r="L523" i="11"/>
  <c r="G523" i="11"/>
  <c r="L660" i="11"/>
  <c r="G660" i="11"/>
  <c r="L528" i="11"/>
  <c r="G528" i="11"/>
  <c r="G594" i="11"/>
  <c r="L628" i="11"/>
  <c r="G628" i="11"/>
  <c r="L624" i="11"/>
  <c r="G624" i="11"/>
  <c r="L658" i="11"/>
  <c r="G658" i="11"/>
  <c r="L727" i="11"/>
  <c r="G727" i="11"/>
  <c r="L1055" i="11"/>
  <c r="G694" i="11"/>
  <c r="G986" i="11"/>
  <c r="G994" i="11" s="1"/>
  <c r="L986" i="11"/>
  <c r="L994" i="11" s="1"/>
  <c r="F1332" i="11"/>
  <c r="G887" i="11"/>
  <c r="L887" i="11"/>
  <c r="L896" i="11" s="1"/>
  <c r="G1018" i="11"/>
  <c r="L1018" i="11"/>
  <c r="L1025" i="11" s="1"/>
  <c r="G1115" i="11"/>
  <c r="G1123" i="11" s="1"/>
  <c r="O52" i="5" s="1"/>
  <c r="L1784" i="11"/>
  <c r="L1253" i="11"/>
  <c r="G852" i="11"/>
  <c r="L2120" i="11"/>
  <c r="G2113" i="11"/>
  <c r="F2124" i="11"/>
  <c r="G1350" i="11"/>
  <c r="L1350" i="11"/>
  <c r="G1049" i="11"/>
  <c r="L2264" i="11"/>
  <c r="G2256" i="11"/>
  <c r="G2264" i="11" s="1"/>
  <c r="F2268" i="11"/>
  <c r="L1922" i="11"/>
  <c r="G1913" i="11"/>
  <c r="F1926" i="11"/>
  <c r="G2291" i="11"/>
  <c r="G2298" i="11" s="1"/>
  <c r="O96" i="5" s="1"/>
  <c r="L2291" i="11"/>
  <c r="L2298" i="11" s="1"/>
  <c r="F2302" i="11"/>
  <c r="G1571" i="11"/>
  <c r="L1571" i="11"/>
  <c r="L356" i="11"/>
  <c r="G356" i="11"/>
  <c r="G1809" i="11"/>
  <c r="G1816" i="11" s="1"/>
  <c r="L1809" i="11"/>
  <c r="L1816" i="11" s="1"/>
  <c r="F1820" i="11"/>
  <c r="L1974" i="11"/>
  <c r="L1982" i="11" s="1"/>
  <c r="L452" i="11"/>
  <c r="G452" i="11"/>
  <c r="L2081" i="11"/>
  <c r="L2087" i="11" s="1"/>
  <c r="G2081" i="11"/>
  <c r="F2091" i="11"/>
  <c r="G62" i="11"/>
  <c r="L62" i="11"/>
  <c r="G2224" i="11"/>
  <c r="G2231" i="11" s="1"/>
  <c r="L2231" i="11"/>
  <c r="F2235" i="11"/>
  <c r="G1669" i="11"/>
  <c r="G1680" i="11" s="1"/>
  <c r="L1669" i="11"/>
  <c r="L1680" i="11" s="1"/>
  <c r="F1684" i="11"/>
  <c r="L194" i="11"/>
  <c r="G194" i="11"/>
  <c r="G1220" i="11"/>
  <c r="G1945" i="11"/>
  <c r="L1953" i="11"/>
  <c r="G225" i="11"/>
  <c r="L225" i="11"/>
  <c r="L1328" i="11"/>
  <c r="G1322" i="11"/>
  <c r="G1149" i="11"/>
  <c r="L1149" i="11"/>
  <c r="L1157" i="11" s="1"/>
  <c r="G2008" i="11"/>
  <c r="G2016" i="11" s="1"/>
  <c r="L2008" i="11"/>
  <c r="L2016" i="11" s="1"/>
  <c r="G1878" i="11"/>
  <c r="L1887" i="11"/>
  <c r="F1891" i="11"/>
  <c r="G1602" i="11"/>
  <c r="G1613" i="11" s="1"/>
  <c r="L1602" i="11"/>
  <c r="L1613" i="11" s="1"/>
  <c r="F1617" i="11"/>
  <c r="L258" i="11"/>
  <c r="G258" i="11"/>
  <c r="G319" i="11"/>
  <c r="L319" i="11"/>
  <c r="L1480" i="11"/>
  <c r="G2045" i="11"/>
  <c r="L2045" i="11"/>
  <c r="L2053" i="11" s="1"/>
  <c r="F2057" i="11"/>
  <c r="G1844" i="11"/>
  <c r="G1852" i="11" s="1"/>
  <c r="O77" i="5" s="1"/>
  <c r="L1844" i="11"/>
  <c r="L1852" i="11" s="1"/>
  <c r="F1856" i="11"/>
  <c r="L1502" i="11"/>
  <c r="L1513" i="11" s="1"/>
  <c r="G1502" i="11"/>
  <c r="F1517" i="11"/>
  <c r="G1637" i="11"/>
  <c r="G1644" i="11" s="1"/>
  <c r="L1637" i="11"/>
  <c r="L1644" i="11" s="1"/>
  <c r="L919" i="11"/>
  <c r="L930" i="11" s="1"/>
  <c r="L817" i="11"/>
  <c r="L826" i="11" s="1"/>
  <c r="L783" i="11"/>
  <c r="G587" i="11"/>
  <c r="G655" i="11"/>
  <c r="L655" i="11"/>
  <c r="G689" i="11"/>
  <c r="L689" i="11"/>
  <c r="G2142" i="11"/>
  <c r="G2153" i="11" s="1"/>
  <c r="L2142" i="11"/>
  <c r="L2153" i="11" s="1"/>
  <c r="F2157" i="11"/>
  <c r="G1706" i="11"/>
  <c r="G1715" i="11" s="1"/>
  <c r="O72" i="5" s="1"/>
  <c r="L1706" i="11"/>
  <c r="L1715" i="11" s="1"/>
  <c r="F1719" i="11"/>
  <c r="G1739" i="11"/>
  <c r="G1751" i="11" s="1"/>
  <c r="L1739" i="11"/>
  <c r="L1751" i="11" s="1"/>
  <c r="F1755" i="11"/>
  <c r="G621" i="11"/>
  <c r="L621" i="11"/>
  <c r="G956" i="11"/>
  <c r="F2020" i="11"/>
  <c r="F1648" i="11"/>
  <c r="G1776" i="11"/>
  <c r="F1786" i="11"/>
  <c r="F1957" i="11"/>
  <c r="L1573" i="11"/>
  <c r="F1583" i="11"/>
  <c r="G1079" i="11"/>
  <c r="G1088" i="11" s="1"/>
  <c r="L1123" i="11"/>
  <c r="F1484" i="11"/>
  <c r="L1353" i="11"/>
  <c r="F1361" i="11"/>
  <c r="L1289" i="11"/>
  <c r="G1289" i="11"/>
  <c r="F1300" i="11"/>
  <c r="F1268" i="11"/>
  <c r="F1232" i="11"/>
  <c r="F1161" i="11"/>
  <c r="F1127" i="11"/>
  <c r="F1092" i="11"/>
  <c r="F1059" i="11"/>
  <c r="F1029" i="11"/>
  <c r="L786" i="11"/>
  <c r="F798" i="11"/>
  <c r="F998" i="11"/>
  <c r="L956" i="11"/>
  <c r="F865" i="11"/>
  <c r="L723" i="11"/>
  <c r="F934" i="11"/>
  <c r="F900" i="11"/>
  <c r="G794" i="11"/>
  <c r="F830" i="11"/>
  <c r="K789" i="11"/>
  <c r="L789" i="11" s="1"/>
  <c r="L790" i="11"/>
  <c r="K791" i="11"/>
  <c r="F734" i="11"/>
  <c r="H695" i="11"/>
  <c r="G695" i="11" s="1"/>
  <c r="H696" i="11"/>
  <c r="G696" i="11" s="1"/>
  <c r="L694" i="11"/>
  <c r="F703" i="11"/>
  <c r="F668" i="11"/>
  <c r="F633" i="11"/>
  <c r="F599" i="11"/>
  <c r="F533" i="11"/>
  <c r="O62" i="5" l="1"/>
  <c r="J68" i="17"/>
  <c r="O69" i="5"/>
  <c r="O51" i="5"/>
  <c r="J50" i="17"/>
  <c r="J92" i="17"/>
  <c r="O93" i="5"/>
  <c r="J83" i="17"/>
  <c r="O84" i="5"/>
  <c r="J119" i="17"/>
  <c r="O120" i="5"/>
  <c r="J46" i="17"/>
  <c r="O47" i="5"/>
  <c r="O117" i="5"/>
  <c r="J116" i="17"/>
  <c r="O115" i="5"/>
  <c r="J114" i="17"/>
  <c r="O39" i="5"/>
  <c r="J38" i="17"/>
  <c r="J93" i="17"/>
  <c r="O94" i="5"/>
  <c r="O76" i="5"/>
  <c r="J75" i="17"/>
  <c r="J94" i="17"/>
  <c r="O95" i="5"/>
  <c r="O73" i="5"/>
  <c r="J72" i="17"/>
  <c r="J69" i="17"/>
  <c r="O70" i="5"/>
  <c r="J70" i="17"/>
  <c r="O71" i="5"/>
  <c r="O116" i="5"/>
  <c r="J115" i="17"/>
  <c r="J117" i="17"/>
  <c r="O118" i="5"/>
  <c r="G595" i="11"/>
  <c r="G2120" i="11"/>
  <c r="G2087" i="11"/>
  <c r="G2053" i="11"/>
  <c r="O86" i="5" s="1"/>
  <c r="G1982" i="11"/>
  <c r="G1953" i="11"/>
  <c r="G1922" i="11"/>
  <c r="G1887" i="11"/>
  <c r="G1579" i="11"/>
  <c r="G1264" i="11"/>
  <c r="L1296" i="11"/>
  <c r="G1513" i="11"/>
  <c r="L1264" i="11"/>
  <c r="G1357" i="11"/>
  <c r="L1228" i="11"/>
  <c r="G1328" i="11"/>
  <c r="G1296" i="11"/>
  <c r="G730" i="11"/>
  <c r="L529" i="11"/>
  <c r="G1228" i="11"/>
  <c r="G529" i="11"/>
  <c r="L964" i="11"/>
  <c r="G861" i="11"/>
  <c r="O41" i="5" s="1"/>
  <c r="G1055" i="11"/>
  <c r="L730" i="11"/>
  <c r="L629" i="11"/>
  <c r="L595" i="11"/>
  <c r="G896" i="11"/>
  <c r="O42" i="5" s="1"/>
  <c r="G964" i="11"/>
  <c r="G629" i="11"/>
  <c r="O30" i="5" s="1"/>
  <c r="L664" i="11"/>
  <c r="G1157" i="11"/>
  <c r="G664" i="11"/>
  <c r="O33" i="5" s="1"/>
  <c r="G1025" i="11"/>
  <c r="L1357" i="11"/>
  <c r="L1579" i="11"/>
  <c r="G1784" i="11"/>
  <c r="L791" i="11"/>
  <c r="K696" i="11"/>
  <c r="L696" i="11" s="1"/>
  <c r="H697" i="11"/>
  <c r="G697" i="11" s="1"/>
  <c r="K695" i="11"/>
  <c r="L695" i="11" s="1"/>
  <c r="J58" i="17" l="1"/>
  <c r="O59" i="5"/>
  <c r="J78" i="17"/>
  <c r="O79" i="5"/>
  <c r="J54" i="17"/>
  <c r="O55" i="5"/>
  <c r="O66" i="5"/>
  <c r="J65" i="17"/>
  <c r="J47" i="17"/>
  <c r="O48" i="5"/>
  <c r="O36" i="5"/>
  <c r="J35" i="17"/>
  <c r="J59" i="17"/>
  <c r="O60" i="5"/>
  <c r="J55" i="17"/>
  <c r="O56" i="5"/>
  <c r="J81" i="17"/>
  <c r="O82" i="5"/>
  <c r="J87" i="17"/>
  <c r="O88" i="5"/>
  <c r="J52" i="17"/>
  <c r="O53" i="5"/>
  <c r="J49" i="17"/>
  <c r="O50" i="5"/>
  <c r="J77" i="17"/>
  <c r="O78" i="5"/>
  <c r="J86" i="17"/>
  <c r="O87" i="5"/>
  <c r="J74" i="17"/>
  <c r="O75" i="5"/>
  <c r="J44" i="17"/>
  <c r="O45" i="5"/>
  <c r="O27" i="5"/>
  <c r="J26" i="17"/>
  <c r="J56" i="17"/>
  <c r="O57" i="5"/>
  <c r="J67" i="17"/>
  <c r="O68" i="5"/>
  <c r="J82" i="17"/>
  <c r="O83" i="5"/>
  <c r="O29" i="5"/>
  <c r="J28" i="17"/>
  <c r="L794" i="11"/>
  <c r="K697" i="11"/>
  <c r="L697" i="11" s="1"/>
  <c r="H698" i="11"/>
  <c r="G698" i="11" s="1"/>
  <c r="G699" i="11" s="1"/>
  <c r="O34" i="5" l="1"/>
  <c r="J33" i="17"/>
  <c r="K698" i="11"/>
  <c r="L698" i="11" s="1"/>
  <c r="L699" i="11" s="1"/>
  <c r="AX52" i="10" l="1"/>
  <c r="AX56" i="10"/>
  <c r="AX55" i="10"/>
  <c r="AX54" i="10"/>
  <c r="AX51" i="10"/>
  <c r="AX50" i="10"/>
  <c r="AX45" i="10"/>
  <c r="AW38" i="10"/>
  <c r="AH38" i="10"/>
  <c r="AI52" i="10"/>
  <c r="AI56" i="10"/>
  <c r="AI55" i="10"/>
  <c r="AI54" i="10"/>
  <c r="AI45" i="10"/>
  <c r="I93" i="16"/>
  <c r="J93" i="16" s="1"/>
  <c r="AI51" i="10"/>
  <c r="AI50" i="10"/>
  <c r="T52" i="10"/>
  <c r="T56" i="10"/>
  <c r="T55" i="10"/>
  <c r="T54" i="10"/>
  <c r="T51" i="10"/>
  <c r="T50" i="10"/>
  <c r="T45" i="10"/>
  <c r="S38" i="10"/>
  <c r="E52" i="10"/>
  <c r="E56" i="10"/>
  <c r="E55" i="10"/>
  <c r="E54" i="10"/>
  <c r="E51" i="10"/>
  <c r="E50" i="10"/>
  <c r="E49" i="10"/>
  <c r="E48" i="10"/>
  <c r="E47" i="10"/>
  <c r="E46" i="10"/>
  <c r="E45" i="10"/>
  <c r="D38" i="10"/>
  <c r="CB23" i="10"/>
  <c r="CB22" i="10"/>
  <c r="CB21" i="10"/>
  <c r="CB19" i="10"/>
  <c r="CB18" i="10"/>
  <c r="CB17" i="10"/>
  <c r="CB12" i="10"/>
  <c r="CA5" i="10"/>
  <c r="BM23" i="10"/>
  <c r="BM22" i="10"/>
  <c r="BM21" i="10"/>
  <c r="BM19" i="10"/>
  <c r="BM18" i="10"/>
  <c r="BM17" i="10"/>
  <c r="BM15" i="10"/>
  <c r="BM14" i="10"/>
  <c r="BM13" i="10"/>
  <c r="BM12" i="10"/>
  <c r="BL5" i="10"/>
  <c r="AX23" i="10"/>
  <c r="AX22" i="10"/>
  <c r="AX21" i="10"/>
  <c r="AX19" i="10"/>
  <c r="AX17" i="10"/>
  <c r="AX16" i="10"/>
  <c r="AX15" i="10"/>
  <c r="AX14" i="10"/>
  <c r="AX13" i="10"/>
  <c r="AX12" i="10"/>
  <c r="AW5" i="10"/>
  <c r="AI23" i="10"/>
  <c r="AI22" i="10"/>
  <c r="AI21" i="10"/>
  <c r="AI19" i="10"/>
  <c r="AI18" i="10"/>
  <c r="AI17" i="10"/>
  <c r="AI16" i="10"/>
  <c r="AI15" i="10"/>
  <c r="AI14" i="10"/>
  <c r="AI13" i="10"/>
  <c r="AI12" i="10"/>
  <c r="I92" i="16"/>
  <c r="J92" i="16" s="1"/>
  <c r="I91" i="16"/>
  <c r="J91" i="16" s="1"/>
  <c r="I90" i="16"/>
  <c r="J90" i="16" s="1"/>
  <c r="I89" i="16"/>
  <c r="J89" i="16" s="1"/>
  <c r="AH5" i="10"/>
  <c r="T23" i="10"/>
  <c r="Z23" i="10" s="1"/>
  <c r="T22" i="10"/>
  <c r="T21" i="10"/>
  <c r="T19" i="10"/>
  <c r="T18" i="10"/>
  <c r="T17" i="10"/>
  <c r="T16" i="10"/>
  <c r="T15" i="10"/>
  <c r="I88" i="16"/>
  <c r="J88" i="16" s="1"/>
  <c r="I87" i="16"/>
  <c r="J87" i="16" s="1"/>
  <c r="T14" i="10"/>
  <c r="I86" i="16"/>
  <c r="J86" i="16" s="1"/>
  <c r="T13" i="10"/>
  <c r="I85" i="16"/>
  <c r="J85" i="16" s="1"/>
  <c r="T12" i="10"/>
  <c r="E23" i="10"/>
  <c r="E22" i="10"/>
  <c r="E21" i="10"/>
  <c r="K21" i="10" s="1"/>
  <c r="E19" i="10"/>
  <c r="K19" i="10" s="1"/>
  <c r="E18" i="10"/>
  <c r="E17" i="10"/>
  <c r="E16" i="10"/>
  <c r="E15" i="10"/>
  <c r="E14" i="10"/>
  <c r="E13" i="10"/>
  <c r="I84" i="16"/>
  <c r="J84" i="16" s="1"/>
  <c r="I83" i="16"/>
  <c r="J83" i="16" s="1"/>
  <c r="I82" i="16"/>
  <c r="J82" i="16" s="1"/>
  <c r="I81" i="16"/>
  <c r="J81" i="16" s="1"/>
  <c r="S5" i="10"/>
  <c r="D5" i="10"/>
  <c r="E12" i="10"/>
  <c r="S113" i="5"/>
  <c r="D107" i="8"/>
  <c r="I73" i="16"/>
  <c r="J73" i="16" s="1"/>
  <c r="D113" i="8"/>
  <c r="D112" i="8"/>
  <c r="D111" i="8"/>
  <c r="D110" i="8"/>
  <c r="D109" i="8"/>
  <c r="D108" i="8"/>
  <c r="AF76" i="8"/>
  <c r="I72" i="16"/>
  <c r="J72" i="16" s="1"/>
  <c r="AF82" i="8"/>
  <c r="AF81" i="8"/>
  <c r="AF80" i="8"/>
  <c r="AF79" i="8"/>
  <c r="AF78" i="8"/>
  <c r="AF77" i="8"/>
  <c r="R76" i="8"/>
  <c r="I71" i="16"/>
  <c r="J71" i="16" s="1"/>
  <c r="R82" i="8"/>
  <c r="R81" i="8"/>
  <c r="R80" i="8"/>
  <c r="R79" i="8"/>
  <c r="R78" i="8"/>
  <c r="R77" i="8"/>
  <c r="D76" i="8"/>
  <c r="I70" i="16"/>
  <c r="J70" i="16" s="1"/>
  <c r="D82" i="8"/>
  <c r="D81" i="8"/>
  <c r="D80" i="8"/>
  <c r="D79" i="8"/>
  <c r="D78" i="8"/>
  <c r="D77" i="8"/>
  <c r="BV44" i="8"/>
  <c r="I14" i="16"/>
  <c r="J14" i="16" s="1"/>
  <c r="BV50" i="8"/>
  <c r="BV49" i="8"/>
  <c r="BV48" i="8"/>
  <c r="BV47" i="8"/>
  <c r="BV46" i="8"/>
  <c r="BV45" i="8"/>
  <c r="BH50" i="8"/>
  <c r="BH49" i="8"/>
  <c r="BH48" i="8"/>
  <c r="BH47" i="8"/>
  <c r="BH46" i="8"/>
  <c r="BH45" i="8"/>
  <c r="I69" i="16"/>
  <c r="J69" i="16" s="1"/>
  <c r="BH44" i="8"/>
  <c r="I68" i="16"/>
  <c r="J68" i="16" s="1"/>
  <c r="AT50" i="8"/>
  <c r="AT49" i="8"/>
  <c r="AT48" i="8"/>
  <c r="AT47" i="8"/>
  <c r="AT46" i="8"/>
  <c r="AT45" i="8"/>
  <c r="AT44" i="8"/>
  <c r="AF44" i="8"/>
  <c r="I67" i="16"/>
  <c r="J67" i="16" s="1"/>
  <c r="AF50" i="8"/>
  <c r="AF49" i="8"/>
  <c r="AF48" i="8"/>
  <c r="AF47" i="8"/>
  <c r="AF46" i="8"/>
  <c r="AF45" i="8"/>
  <c r="R50" i="8"/>
  <c r="R49" i="8"/>
  <c r="R48" i="8"/>
  <c r="R47" i="8"/>
  <c r="R46" i="8"/>
  <c r="R45" i="8"/>
  <c r="D50" i="8"/>
  <c r="D49" i="8"/>
  <c r="D48" i="8"/>
  <c r="D47" i="8"/>
  <c r="D46" i="8"/>
  <c r="D45" i="8"/>
  <c r="R44" i="8"/>
  <c r="I66" i="16"/>
  <c r="J66" i="16" s="1"/>
  <c r="I65" i="16"/>
  <c r="J65" i="16" s="1"/>
  <c r="D44" i="8"/>
  <c r="BV18" i="8"/>
  <c r="BV17" i="8"/>
  <c r="BV16" i="8"/>
  <c r="BV15" i="8"/>
  <c r="BV14" i="8"/>
  <c r="BV13" i="8"/>
  <c r="BV12" i="8"/>
  <c r="BH18" i="8"/>
  <c r="BH17" i="8"/>
  <c r="BH16" i="8"/>
  <c r="BH15" i="8"/>
  <c r="BH14" i="8"/>
  <c r="BH13" i="8"/>
  <c r="BH12" i="8"/>
  <c r="I77" i="16"/>
  <c r="J77" i="16" s="1"/>
  <c r="AT18" i="8"/>
  <c r="AT17" i="8"/>
  <c r="AT16" i="8"/>
  <c r="AT15" i="8"/>
  <c r="AT14" i="8"/>
  <c r="AT13" i="8"/>
  <c r="AT12" i="8"/>
  <c r="I76" i="16"/>
  <c r="J76" i="16" s="1"/>
  <c r="AF12" i="8"/>
  <c r="I75" i="16"/>
  <c r="J75" i="16" s="1"/>
  <c r="I74" i="16"/>
  <c r="J74" i="16" s="1"/>
  <c r="AF18" i="8"/>
  <c r="AF17" i="8"/>
  <c r="AF16" i="8"/>
  <c r="AF15" i="8"/>
  <c r="AF14" i="8"/>
  <c r="AF13" i="8"/>
  <c r="R18" i="8"/>
  <c r="R17" i="8"/>
  <c r="R16" i="8"/>
  <c r="R15" i="8"/>
  <c r="R14" i="8"/>
  <c r="R13" i="8"/>
  <c r="D18" i="8"/>
  <c r="D17" i="8"/>
  <c r="D16" i="8"/>
  <c r="D15" i="8"/>
  <c r="D14" i="8"/>
  <c r="D13" i="8"/>
  <c r="C100" i="8"/>
  <c r="AE69" i="8"/>
  <c r="Q69" i="8"/>
  <c r="C69" i="8"/>
  <c r="BU37" i="8"/>
  <c r="BG37" i="8"/>
  <c r="AS37" i="8"/>
  <c r="AE37" i="8"/>
  <c r="Q37" i="8"/>
  <c r="C37" i="8"/>
  <c r="BU5" i="8"/>
  <c r="BG5" i="8"/>
  <c r="AS5" i="8"/>
  <c r="AE5" i="8"/>
  <c r="Q5" i="8"/>
  <c r="C5" i="8"/>
  <c r="D12" i="8"/>
  <c r="I64" i="16"/>
  <c r="J64" i="16" s="1"/>
  <c r="CA4" i="10" l="1"/>
  <c r="I119" i="16"/>
  <c r="J119" i="16" s="1"/>
  <c r="I118" i="16"/>
  <c r="J118" i="16" s="1"/>
  <c r="I117" i="16"/>
  <c r="J117" i="16" s="1"/>
  <c r="J7" i="16"/>
  <c r="D380" i="14" s="1"/>
  <c r="I116" i="16"/>
  <c r="J116" i="16" s="1"/>
  <c r="I115" i="16"/>
  <c r="J115" i="16" s="1"/>
  <c r="I80" i="16"/>
  <c r="J80" i="16" s="1"/>
  <c r="I79" i="16"/>
  <c r="J79" i="16" s="1"/>
  <c r="I78" i="16"/>
  <c r="J78" i="16" s="1"/>
  <c r="J95" i="16"/>
  <c r="J94" i="16"/>
  <c r="J36" i="16"/>
  <c r="I35" i="16"/>
  <c r="J35" i="16" s="1"/>
  <c r="I34" i="16"/>
  <c r="J34" i="16" s="1"/>
  <c r="I33" i="16"/>
  <c r="J33" i="16" s="1"/>
  <c r="I32" i="16"/>
  <c r="J32" i="16" s="1"/>
  <c r="J31" i="16"/>
  <c r="J29" i="16"/>
  <c r="I63" i="16"/>
  <c r="J63" i="16" s="1"/>
  <c r="I62" i="16"/>
  <c r="J62" i="16" s="1"/>
  <c r="I60" i="16"/>
  <c r="J60" i="16" s="1"/>
  <c r="I59" i="16"/>
  <c r="J59" i="16" s="1"/>
  <c r="I58" i="16"/>
  <c r="J58" i="16" s="1"/>
  <c r="I55" i="16"/>
  <c r="J55" i="16" s="1"/>
  <c r="I53" i="16"/>
  <c r="J53" i="16" s="1"/>
  <c r="I52" i="16"/>
  <c r="J52" i="16" s="1"/>
  <c r="I50" i="16"/>
  <c r="J50" i="16" s="1"/>
  <c r="I49" i="16"/>
  <c r="J49" i="16" s="1"/>
  <c r="I47" i="16"/>
  <c r="J47" i="16" s="1"/>
  <c r="I44" i="16"/>
  <c r="J44" i="16" s="1"/>
  <c r="D386" i="14" s="1"/>
  <c r="E386" i="14" s="1"/>
  <c r="I28" i="16"/>
  <c r="J28" i="16" s="1"/>
  <c r="I21" i="16"/>
  <c r="J21" i="16" s="1"/>
  <c r="D383" i="14" s="1"/>
  <c r="E383" i="14" s="1"/>
  <c r="I27" i="16"/>
  <c r="J27" i="16" s="1"/>
  <c r="J26" i="16"/>
  <c r="I25" i="16"/>
  <c r="J25" i="16" s="1"/>
  <c r="I24" i="16"/>
  <c r="J24" i="16" s="1"/>
  <c r="I23" i="16"/>
  <c r="J23" i="16" s="1"/>
  <c r="J22" i="16"/>
  <c r="I43" i="16"/>
  <c r="J43" i="16" s="1"/>
  <c r="I41" i="16"/>
  <c r="J41" i="16" s="1"/>
  <c r="D385" i="14" s="1"/>
  <c r="E385" i="14" s="1"/>
  <c r="I40" i="16"/>
  <c r="J40" i="16" s="1"/>
  <c r="I39" i="16"/>
  <c r="J39" i="16" s="1"/>
  <c r="J20" i="16"/>
  <c r="J19" i="16"/>
  <c r="I18" i="16"/>
  <c r="J18" i="16" s="1"/>
  <c r="J17" i="16"/>
  <c r="I16" i="16"/>
  <c r="J16" i="16" s="1"/>
  <c r="I15" i="16"/>
  <c r="J15" i="16" s="1"/>
  <c r="I13" i="16"/>
  <c r="J13" i="16" s="1"/>
  <c r="I12" i="16"/>
  <c r="J12" i="16" s="1"/>
  <c r="D384" i="14" s="1"/>
  <c r="E384" i="14" s="1"/>
  <c r="I11" i="16"/>
  <c r="J11" i="16" s="1"/>
  <c r="D381" i="14" s="1"/>
  <c r="E381" i="14" s="1"/>
  <c r="J10" i="16"/>
  <c r="I9" i="16"/>
  <c r="J9" i="16" s="1"/>
  <c r="D382" i="14" s="1"/>
  <c r="E382" i="14" s="1"/>
  <c r="F113" i="8"/>
  <c r="F112" i="8"/>
  <c r="E111" i="8"/>
  <c r="F111" i="8" s="1"/>
  <c r="E110" i="8"/>
  <c r="F110" i="8" s="1"/>
  <c r="F109" i="8"/>
  <c r="E108" i="8"/>
  <c r="F108" i="8" s="1"/>
  <c r="H107" i="8"/>
  <c r="K107" i="8" s="1"/>
  <c r="E107" i="8"/>
  <c r="F107" i="8" s="1"/>
  <c r="D104" i="8"/>
  <c r="C99" i="8"/>
  <c r="S26" i="5"/>
  <c r="K481" i="11"/>
  <c r="K482" i="11"/>
  <c r="K483" i="11"/>
  <c r="K484" i="11"/>
  <c r="K485" i="11"/>
  <c r="K487" i="11"/>
  <c r="K480" i="11"/>
  <c r="H489" i="11"/>
  <c r="K489" i="11" s="1"/>
  <c r="F489" i="11"/>
  <c r="E484" i="11"/>
  <c r="F484" i="11" s="1"/>
  <c r="H496" i="11"/>
  <c r="F494" i="11"/>
  <c r="F493" i="11"/>
  <c r="F492" i="11"/>
  <c r="E485" i="11"/>
  <c r="F485" i="11" s="1"/>
  <c r="E483" i="11"/>
  <c r="F483" i="11" s="1"/>
  <c r="E482" i="11"/>
  <c r="F482" i="11" s="1"/>
  <c r="E481" i="11"/>
  <c r="F481" i="11" s="1"/>
  <c r="E480" i="11"/>
  <c r="F480" i="11" s="1"/>
  <c r="C472" i="11"/>
  <c r="H461" i="11"/>
  <c r="F458" i="11"/>
  <c r="F457" i="11"/>
  <c r="H455" i="11"/>
  <c r="E450" i="11"/>
  <c r="F450" i="11" s="1"/>
  <c r="L450" i="11" s="1"/>
  <c r="K449" i="11"/>
  <c r="E449" i="11"/>
  <c r="F449" i="11" s="1"/>
  <c r="K448" i="11"/>
  <c r="E448" i="11"/>
  <c r="F448" i="11" s="1"/>
  <c r="K447" i="11"/>
  <c r="E447" i="11"/>
  <c r="F447" i="11" s="1"/>
  <c r="K446" i="11"/>
  <c r="E446" i="11"/>
  <c r="F446" i="11" s="1"/>
  <c r="K445" i="11"/>
  <c r="E445" i="11"/>
  <c r="F445" i="11" s="1"/>
  <c r="C437" i="11"/>
  <c r="S21" i="5"/>
  <c r="H424" i="11"/>
  <c r="K424" i="11" s="1"/>
  <c r="H425" i="11"/>
  <c r="K425" i="11" s="1"/>
  <c r="H423" i="11"/>
  <c r="K423" i="11" s="1"/>
  <c r="H393" i="11"/>
  <c r="K393" i="11" s="1"/>
  <c r="H394" i="11"/>
  <c r="K394" i="11" s="1"/>
  <c r="H395" i="11"/>
  <c r="K395" i="11" s="1"/>
  <c r="K385" i="11"/>
  <c r="K386" i="11"/>
  <c r="K387" i="11"/>
  <c r="K388" i="11"/>
  <c r="K389" i="11"/>
  <c r="K390" i="11"/>
  <c r="K391" i="11"/>
  <c r="K392" i="11"/>
  <c r="K384" i="11"/>
  <c r="K351" i="11"/>
  <c r="K352" i="11"/>
  <c r="K353" i="11"/>
  <c r="K354" i="11"/>
  <c r="K355" i="11"/>
  <c r="K350" i="11"/>
  <c r="K255" i="11"/>
  <c r="K188" i="11"/>
  <c r="C407" i="11"/>
  <c r="E415" i="11"/>
  <c r="F415" i="11" s="1"/>
  <c r="E416" i="11"/>
  <c r="F416" i="11" s="1"/>
  <c r="E417" i="11"/>
  <c r="F417" i="11" s="1"/>
  <c r="S20" i="5"/>
  <c r="F393" i="11"/>
  <c r="E388" i="11"/>
  <c r="F388" i="11" s="1"/>
  <c r="M380" i="11"/>
  <c r="O380" i="11" s="1"/>
  <c r="T2181" i="11" s="1"/>
  <c r="U2181" i="11" s="1"/>
  <c r="F391" i="11"/>
  <c r="P2181" i="11" s="1"/>
  <c r="R2181" i="11" s="1"/>
  <c r="S2181" i="11" s="1"/>
  <c r="J332" i="14"/>
  <c r="H397" i="11"/>
  <c r="F394" i="11"/>
  <c r="E390" i="11"/>
  <c r="F390" i="11" s="1"/>
  <c r="E389" i="11"/>
  <c r="F389" i="11" s="1"/>
  <c r="E386" i="11"/>
  <c r="F386" i="11" s="1"/>
  <c r="E385" i="11"/>
  <c r="F385" i="11" s="1"/>
  <c r="E384" i="11"/>
  <c r="F384" i="11" s="1"/>
  <c r="C377" i="11"/>
  <c r="C376" i="11"/>
  <c r="H365" i="11"/>
  <c r="E355" i="11"/>
  <c r="F355" i="11" s="1"/>
  <c r="E354" i="11"/>
  <c r="F354" i="11" s="1"/>
  <c r="E353" i="11"/>
  <c r="F353" i="11" s="1"/>
  <c r="E352" i="11"/>
  <c r="F352" i="11" s="1"/>
  <c r="E351" i="11"/>
  <c r="F351" i="11" s="1"/>
  <c r="E350" i="11"/>
  <c r="F350" i="11" s="1"/>
  <c r="C342" i="11"/>
  <c r="L107" i="8" l="1"/>
  <c r="E380" i="14"/>
  <c r="E390" i="14" s="1"/>
  <c r="E392" i="14" s="1"/>
  <c r="F380" i="14" s="1"/>
  <c r="D390" i="14"/>
  <c r="T2293" i="11"/>
  <c r="U2293" i="11" s="1"/>
  <c r="P2293" i="11"/>
  <c r="R2293" i="11" s="1"/>
  <c r="S2293" i="11" s="1"/>
  <c r="G110" i="8"/>
  <c r="L110" i="8"/>
  <c r="G111" i="8"/>
  <c r="L111" i="8"/>
  <c r="G108" i="8"/>
  <c r="L108" i="8"/>
  <c r="G112" i="8"/>
  <c r="L112" i="8"/>
  <c r="G109" i="8"/>
  <c r="L109" i="8"/>
  <c r="G113" i="8"/>
  <c r="L113" i="8"/>
  <c r="D18" i="13"/>
  <c r="T2225" i="11"/>
  <c r="U2225" i="11" s="1"/>
  <c r="T2257" i="11"/>
  <c r="U2257" i="11" s="1"/>
  <c r="P2225" i="11"/>
  <c r="R2225" i="11" s="1"/>
  <c r="S2225" i="11" s="1"/>
  <c r="P2257" i="11"/>
  <c r="R2257" i="11" s="1"/>
  <c r="S2257" i="11" s="1"/>
  <c r="T2114" i="11"/>
  <c r="U2114" i="11" s="1"/>
  <c r="T2147" i="11"/>
  <c r="U2147" i="11" s="1"/>
  <c r="P2114" i="11"/>
  <c r="R2114" i="11" s="1"/>
  <c r="S2114" i="11" s="1"/>
  <c r="P2147" i="11"/>
  <c r="R2147" i="11" s="1"/>
  <c r="S2147" i="11" s="1"/>
  <c r="T2046" i="11"/>
  <c r="U2046" i="11" s="1"/>
  <c r="T2082" i="11"/>
  <c r="U2082" i="11" s="1"/>
  <c r="P2046" i="11"/>
  <c r="R2046" i="11" s="1"/>
  <c r="S2046" i="11" s="1"/>
  <c r="P2082" i="11"/>
  <c r="R2082" i="11" s="1"/>
  <c r="S2082" i="11" s="1"/>
  <c r="T1978" i="11"/>
  <c r="U1978" i="11" s="1"/>
  <c r="T2009" i="11"/>
  <c r="U2009" i="11" s="1"/>
  <c r="P1978" i="11"/>
  <c r="R1978" i="11" s="1"/>
  <c r="S1978" i="11" s="1"/>
  <c r="P2009" i="11"/>
  <c r="R2009" i="11" s="1"/>
  <c r="S2009" i="11" s="1"/>
  <c r="G489" i="11"/>
  <c r="T1915" i="11"/>
  <c r="U1915" i="11" s="1"/>
  <c r="T1949" i="11"/>
  <c r="U1949" i="11" s="1"/>
  <c r="P1915" i="11"/>
  <c r="R1915" i="11" s="1"/>
  <c r="S1915" i="11" s="1"/>
  <c r="P1949" i="11"/>
  <c r="R1949" i="11" s="1"/>
  <c r="S1949" i="11" s="1"/>
  <c r="T1845" i="11"/>
  <c r="U1845" i="11" s="1"/>
  <c r="T1880" i="11"/>
  <c r="U1880" i="11" s="1"/>
  <c r="P1845" i="11"/>
  <c r="R1845" i="11" s="1"/>
  <c r="S1845" i="11" s="1"/>
  <c r="P1880" i="11"/>
  <c r="R1880" i="11" s="1"/>
  <c r="S1880" i="11" s="1"/>
  <c r="T1777" i="11"/>
  <c r="U1777" i="11" s="1"/>
  <c r="T1810" i="11"/>
  <c r="U1810" i="11" s="1"/>
  <c r="P1777" i="11"/>
  <c r="R1777" i="11" s="1"/>
  <c r="S1777" i="11" s="1"/>
  <c r="P1810" i="11"/>
  <c r="R1810" i="11" s="1"/>
  <c r="S1810" i="11" s="1"/>
  <c r="T1708" i="11"/>
  <c r="U1708" i="11" s="1"/>
  <c r="T1744" i="11"/>
  <c r="U1744" i="11" s="1"/>
  <c r="P1708" i="11"/>
  <c r="R1708" i="11" s="1"/>
  <c r="S1708" i="11" s="1"/>
  <c r="P1744" i="11"/>
  <c r="R1744" i="11" s="1"/>
  <c r="S1744" i="11" s="1"/>
  <c r="T1640" i="11"/>
  <c r="U1640" i="11" s="1"/>
  <c r="T1673" i="11"/>
  <c r="U1673" i="11" s="1"/>
  <c r="P1640" i="11"/>
  <c r="R1640" i="11" s="1"/>
  <c r="S1640" i="11" s="1"/>
  <c r="P1673" i="11"/>
  <c r="R1673" i="11" s="1"/>
  <c r="S1673" i="11" s="1"/>
  <c r="T1575" i="11"/>
  <c r="U1575" i="11" s="1"/>
  <c r="T1606" i="11"/>
  <c r="U1606" i="11" s="1"/>
  <c r="P1575" i="11"/>
  <c r="R1575" i="11" s="1"/>
  <c r="S1575" i="11" s="1"/>
  <c r="P1606" i="11"/>
  <c r="R1606" i="11" s="1"/>
  <c r="S1606" i="11" s="1"/>
  <c r="T1506" i="11"/>
  <c r="U1506" i="11" s="1"/>
  <c r="T1540" i="11"/>
  <c r="U1540" i="11" s="1"/>
  <c r="P1506" i="11"/>
  <c r="R1506" i="11" s="1"/>
  <c r="S1506" i="11" s="1"/>
  <c r="P1540" i="11"/>
  <c r="R1540" i="11" s="1"/>
  <c r="S1540" i="11" s="1"/>
  <c r="T1385" i="11"/>
  <c r="U1385" i="11" s="1"/>
  <c r="P1385" i="11"/>
  <c r="R1385" i="11" s="1"/>
  <c r="S1385" i="11" s="1"/>
  <c r="P1323" i="11"/>
  <c r="R1323" i="11" s="1"/>
  <c r="S1323" i="11" s="1"/>
  <c r="P1354" i="11"/>
  <c r="R1354" i="11" s="1"/>
  <c r="S1354" i="11" s="1"/>
  <c r="T1323" i="11"/>
  <c r="U1323" i="11" s="1"/>
  <c r="T1354" i="11"/>
  <c r="U1354" i="11" s="1"/>
  <c r="G394" i="11"/>
  <c r="P1257" i="11"/>
  <c r="R1257" i="11" s="1"/>
  <c r="S1257" i="11" s="1"/>
  <c r="P1291" i="11"/>
  <c r="R1291" i="11" s="1"/>
  <c r="S1291" i="11" s="1"/>
  <c r="T1257" i="11"/>
  <c r="U1257" i="11" s="1"/>
  <c r="T1291" i="11"/>
  <c r="U1291" i="11" s="1"/>
  <c r="T1190" i="11"/>
  <c r="U1190" i="11" s="1"/>
  <c r="T1221" i="11"/>
  <c r="U1221" i="11" s="1"/>
  <c r="P1190" i="11"/>
  <c r="R1190" i="11" s="1"/>
  <c r="S1190" i="11" s="1"/>
  <c r="P1221" i="11"/>
  <c r="R1221" i="11" s="1"/>
  <c r="S1221" i="11" s="1"/>
  <c r="T1117" i="11"/>
  <c r="U1117" i="11" s="1"/>
  <c r="T1150" i="11"/>
  <c r="U1150" i="11" s="1"/>
  <c r="P1117" i="11"/>
  <c r="R1117" i="11" s="1"/>
  <c r="S1117" i="11" s="1"/>
  <c r="P1150" i="11"/>
  <c r="R1150" i="11" s="1"/>
  <c r="S1150" i="11" s="1"/>
  <c r="G393" i="11"/>
  <c r="T1019" i="11"/>
  <c r="U1019" i="11" s="1"/>
  <c r="T1081" i="11"/>
  <c r="U1081" i="11" s="1"/>
  <c r="P1019" i="11"/>
  <c r="R1019" i="11" s="1"/>
  <c r="S1019" i="11" s="1"/>
  <c r="P1081" i="11"/>
  <c r="R1081" i="11" s="1"/>
  <c r="S1081" i="11" s="1"/>
  <c r="T958" i="11"/>
  <c r="U958" i="11" s="1"/>
  <c r="T990" i="11"/>
  <c r="U990" i="11" s="1"/>
  <c r="P958" i="11"/>
  <c r="R958" i="11" s="1"/>
  <c r="S958" i="11" s="1"/>
  <c r="P990" i="11"/>
  <c r="R990" i="11" s="1"/>
  <c r="S990" i="11" s="1"/>
  <c r="T889" i="11"/>
  <c r="U889" i="11" s="1"/>
  <c r="T924" i="11"/>
  <c r="U924" i="11" s="1"/>
  <c r="P889" i="11"/>
  <c r="R889" i="11" s="1"/>
  <c r="S889" i="11" s="1"/>
  <c r="P924" i="11"/>
  <c r="R924" i="11" s="1"/>
  <c r="S924" i="11" s="1"/>
  <c r="T820" i="11"/>
  <c r="U820" i="11" s="1"/>
  <c r="T854" i="11"/>
  <c r="U854" i="11" s="1"/>
  <c r="P820" i="11"/>
  <c r="R820" i="11" s="1"/>
  <c r="S820" i="11" s="1"/>
  <c r="P854" i="11"/>
  <c r="R854" i="11" s="1"/>
  <c r="S854" i="11" s="1"/>
  <c r="T757" i="11"/>
  <c r="U757" i="11" s="1"/>
  <c r="T787" i="11"/>
  <c r="U787" i="11" s="1"/>
  <c r="P757" i="11"/>
  <c r="R757" i="11" s="1"/>
  <c r="S757" i="11" s="1"/>
  <c r="P787" i="11"/>
  <c r="R787" i="11" s="1"/>
  <c r="S787" i="11" s="1"/>
  <c r="T692" i="11"/>
  <c r="U692" i="11" s="1"/>
  <c r="T726" i="11"/>
  <c r="U726" i="11" s="1"/>
  <c r="P692" i="11"/>
  <c r="R692" i="11" s="1"/>
  <c r="S692" i="11" s="1"/>
  <c r="P726" i="11"/>
  <c r="R726" i="11" s="1"/>
  <c r="S726" i="11" s="1"/>
  <c r="T622" i="11"/>
  <c r="U622" i="11" s="1"/>
  <c r="T657" i="11"/>
  <c r="U657" i="11" s="1"/>
  <c r="P622" i="11"/>
  <c r="R622" i="11" s="1"/>
  <c r="S622" i="11" s="1"/>
  <c r="P657" i="11"/>
  <c r="R657" i="11" s="1"/>
  <c r="S657" i="11" s="1"/>
  <c r="T555" i="11"/>
  <c r="U555" i="11" s="1"/>
  <c r="T588" i="11"/>
  <c r="U588" i="11" s="1"/>
  <c r="P555" i="11"/>
  <c r="R555" i="11" s="1"/>
  <c r="S555" i="11" s="1"/>
  <c r="P588" i="11"/>
  <c r="R588" i="11" s="1"/>
  <c r="S588" i="11" s="1"/>
  <c r="P488" i="11"/>
  <c r="R488" i="11" s="1"/>
  <c r="S488" i="11" s="1"/>
  <c r="P522" i="11"/>
  <c r="R522" i="11" s="1"/>
  <c r="S522" i="11" s="1"/>
  <c r="T488" i="11"/>
  <c r="U488" i="11" s="1"/>
  <c r="T522" i="11"/>
  <c r="U522" i="11" s="1"/>
  <c r="T422" i="11"/>
  <c r="U422" i="11" s="1"/>
  <c r="T453" i="11"/>
  <c r="U453" i="11" s="1"/>
  <c r="P422" i="11"/>
  <c r="R422" i="11" s="1"/>
  <c r="S422" i="11" s="1"/>
  <c r="P453" i="11"/>
  <c r="R453" i="11" s="1"/>
  <c r="S453" i="11" s="1"/>
  <c r="T320" i="11"/>
  <c r="U320" i="11" s="1"/>
  <c r="T357" i="11"/>
  <c r="U357" i="11" s="1"/>
  <c r="P320" i="11"/>
  <c r="R320" i="11" s="1"/>
  <c r="S320" i="11" s="1"/>
  <c r="P357" i="11"/>
  <c r="R357" i="11" s="1"/>
  <c r="S357" i="11" s="1"/>
  <c r="T259" i="11"/>
  <c r="U259" i="11" s="1"/>
  <c r="T291" i="11"/>
  <c r="U291" i="11" s="1"/>
  <c r="P259" i="11"/>
  <c r="R259" i="11" s="1"/>
  <c r="S259" i="11" s="1"/>
  <c r="P291" i="11"/>
  <c r="R291" i="11" s="1"/>
  <c r="S291" i="11" s="1"/>
  <c r="T195" i="11"/>
  <c r="U195" i="11" s="1"/>
  <c r="T226" i="11"/>
  <c r="U226" i="11" s="1"/>
  <c r="P195" i="11"/>
  <c r="R195" i="11" s="1"/>
  <c r="S195" i="11" s="1"/>
  <c r="P226" i="11"/>
  <c r="R226" i="11" s="1"/>
  <c r="S226" i="11" s="1"/>
  <c r="T127" i="11"/>
  <c r="U127" i="11" s="1"/>
  <c r="T160" i="11"/>
  <c r="U160" i="11" s="1"/>
  <c r="P127" i="11"/>
  <c r="R127" i="11" s="1"/>
  <c r="S127" i="11" s="1"/>
  <c r="P160" i="11"/>
  <c r="R160" i="11" s="1"/>
  <c r="S160" i="11" s="1"/>
  <c r="T63" i="11"/>
  <c r="U63" i="11" s="1"/>
  <c r="T94" i="11"/>
  <c r="U94" i="11" s="1"/>
  <c r="P63" i="11"/>
  <c r="R63" i="11" s="1"/>
  <c r="S63" i="11" s="1"/>
  <c r="P94" i="11"/>
  <c r="R94" i="11" s="1"/>
  <c r="S94" i="11" s="1"/>
  <c r="T1050" i="11"/>
  <c r="U1050" i="11" s="1"/>
  <c r="T27" i="11"/>
  <c r="U27" i="11" s="1"/>
  <c r="P391" i="11"/>
  <c r="R391" i="11" s="1"/>
  <c r="S391" i="11" s="1"/>
  <c r="P27" i="11"/>
  <c r="R27" i="11" s="1"/>
  <c r="S27" i="11" s="1"/>
  <c r="G416" i="11"/>
  <c r="L416" i="11"/>
  <c r="L417" i="11"/>
  <c r="G417" i="11"/>
  <c r="G415" i="11"/>
  <c r="L415" i="11"/>
  <c r="H456" i="11"/>
  <c r="H457" i="11" s="1"/>
  <c r="K457" i="11" s="1"/>
  <c r="L457" i="11" s="1"/>
  <c r="K455" i="11"/>
  <c r="L385" i="11"/>
  <c r="L390" i="11"/>
  <c r="F456" i="11"/>
  <c r="G107" i="8"/>
  <c r="L386" i="11"/>
  <c r="F491" i="11"/>
  <c r="H490" i="11"/>
  <c r="L489" i="11"/>
  <c r="L485" i="11"/>
  <c r="G485" i="11"/>
  <c r="L481" i="11"/>
  <c r="G481" i="11"/>
  <c r="L483" i="11"/>
  <c r="G483" i="11"/>
  <c r="G480" i="11"/>
  <c r="L480" i="11"/>
  <c r="G482" i="11"/>
  <c r="L482" i="11"/>
  <c r="G484" i="11"/>
  <c r="L484" i="11"/>
  <c r="F490" i="11"/>
  <c r="L446" i="11"/>
  <c r="G446" i="11"/>
  <c r="L448" i="11"/>
  <c r="G448" i="11"/>
  <c r="G450" i="11"/>
  <c r="G445" i="11"/>
  <c r="L445" i="11"/>
  <c r="G447" i="11"/>
  <c r="L447" i="11"/>
  <c r="G449" i="11"/>
  <c r="L449" i="11"/>
  <c r="F454" i="11"/>
  <c r="F459" i="11"/>
  <c r="F455" i="11"/>
  <c r="G455" i="11" s="1"/>
  <c r="L384" i="11"/>
  <c r="L389" i="11"/>
  <c r="L393" i="11"/>
  <c r="L388" i="11"/>
  <c r="L391" i="11"/>
  <c r="L394" i="11"/>
  <c r="F395" i="11"/>
  <c r="T391" i="11"/>
  <c r="U391" i="11" s="1"/>
  <c r="G391" i="11"/>
  <c r="G385" i="11"/>
  <c r="G389" i="11"/>
  <c r="G384" i="11"/>
  <c r="G386" i="11"/>
  <c r="G388" i="11"/>
  <c r="G390" i="11"/>
  <c r="F392" i="11"/>
  <c r="G350" i="11"/>
  <c r="L350" i="11"/>
  <c r="G352" i="11"/>
  <c r="L352" i="11"/>
  <c r="G354" i="11"/>
  <c r="L354" i="11"/>
  <c r="L351" i="11"/>
  <c r="G351" i="11"/>
  <c r="L353" i="11"/>
  <c r="G353" i="11"/>
  <c r="L355" i="11"/>
  <c r="G355" i="11"/>
  <c r="G114" i="8" l="1"/>
  <c r="J112" i="17" s="1"/>
  <c r="L114" i="8"/>
  <c r="G456" i="11"/>
  <c r="G490" i="11"/>
  <c r="L454" i="11"/>
  <c r="G454" i="11"/>
  <c r="L392" i="11"/>
  <c r="G392" i="11"/>
  <c r="G457" i="11"/>
  <c r="L395" i="11"/>
  <c r="G395" i="11"/>
  <c r="L455" i="11"/>
  <c r="H458" i="11"/>
  <c r="K456" i="11"/>
  <c r="L456" i="11" s="1"/>
  <c r="H491" i="11"/>
  <c r="K491" i="11" s="1"/>
  <c r="L491" i="11" s="1"/>
  <c r="K490" i="11"/>
  <c r="L490" i="11" s="1"/>
  <c r="F464" i="11"/>
  <c r="G364" i="11"/>
  <c r="F368" i="11"/>
  <c r="O113" i="5" l="1"/>
  <c r="O19" i="5"/>
  <c r="J19" i="17"/>
  <c r="G491" i="11"/>
  <c r="H459" i="11"/>
  <c r="G458" i="11"/>
  <c r="K458" i="11"/>
  <c r="L458" i="11" s="1"/>
  <c r="H493" i="11"/>
  <c r="H492" i="11"/>
  <c r="L364" i="11"/>
  <c r="K492" i="11" l="1"/>
  <c r="L492" i="11" s="1"/>
  <c r="G492" i="11"/>
  <c r="K459" i="11"/>
  <c r="L459" i="11" s="1"/>
  <c r="L460" i="11" s="1"/>
  <c r="G459" i="11"/>
  <c r="G460" i="11" s="1"/>
  <c r="K493" i="11"/>
  <c r="L493" i="11" s="1"/>
  <c r="G493" i="11"/>
  <c r="H494" i="11"/>
  <c r="H328" i="11"/>
  <c r="C305" i="11"/>
  <c r="F228" i="11"/>
  <c r="D363" i="14"/>
  <c r="D362" i="14"/>
  <c r="K356" i="14"/>
  <c r="K357" i="14"/>
  <c r="K358" i="14"/>
  <c r="K359" i="14"/>
  <c r="K360" i="14"/>
  <c r="K361" i="14"/>
  <c r="K355" i="14"/>
  <c r="F361" i="14"/>
  <c r="G361" i="14" s="1"/>
  <c r="F332" i="14"/>
  <c r="P332" i="14" s="1"/>
  <c r="D299" i="14"/>
  <c r="D300" i="14"/>
  <c r="AB333" i="14"/>
  <c r="AB332" i="14"/>
  <c r="AB331" i="14"/>
  <c r="AB330" i="14"/>
  <c r="AB329" i="14"/>
  <c r="AB328" i="14"/>
  <c r="AB327" i="14"/>
  <c r="AB326" i="14"/>
  <c r="R321" i="14"/>
  <c r="R320" i="14"/>
  <c r="K292" i="14"/>
  <c r="K293" i="14"/>
  <c r="K294" i="14"/>
  <c r="K295" i="14"/>
  <c r="K296" i="14"/>
  <c r="K297" i="14"/>
  <c r="K298" i="14"/>
  <c r="K291" i="14"/>
  <c r="H300" i="14"/>
  <c r="K300" i="14" s="1"/>
  <c r="D295" i="14"/>
  <c r="E295" i="14" s="1"/>
  <c r="F295" i="14" s="1"/>
  <c r="G295" i="14" s="1"/>
  <c r="D261" i="14"/>
  <c r="E261" i="14" s="1"/>
  <c r="F261" i="14" s="1"/>
  <c r="G261" i="14" s="1"/>
  <c r="AB258" i="14"/>
  <c r="AB259" i="14"/>
  <c r="AB260" i="14"/>
  <c r="AB261" i="14"/>
  <c r="AB262" i="14"/>
  <c r="AB263" i="14"/>
  <c r="AB264" i="14"/>
  <c r="AB257" i="14"/>
  <c r="K258" i="14"/>
  <c r="K259" i="14"/>
  <c r="K260" i="14"/>
  <c r="K261" i="14"/>
  <c r="K262" i="14"/>
  <c r="K263" i="14"/>
  <c r="K264" i="14"/>
  <c r="K265" i="14"/>
  <c r="K257" i="14"/>
  <c r="P28" i="6"/>
  <c r="R252" i="14"/>
  <c r="R251" i="14"/>
  <c r="B20" i="9"/>
  <c r="B22" i="9" s="1"/>
  <c r="D359" i="14"/>
  <c r="E359" i="14" s="1"/>
  <c r="F359" i="14" s="1"/>
  <c r="D358" i="14"/>
  <c r="E358" i="14" s="1"/>
  <c r="F358" i="14" s="1"/>
  <c r="D329" i="14"/>
  <c r="D330" i="14"/>
  <c r="H367" i="14"/>
  <c r="H363" i="14"/>
  <c r="K363" i="14" s="1"/>
  <c r="H362" i="14"/>
  <c r="K362" i="14" s="1"/>
  <c r="D360" i="14"/>
  <c r="E360" i="14" s="1"/>
  <c r="F360" i="14" s="1"/>
  <c r="D357" i="14"/>
  <c r="E357" i="14" s="1"/>
  <c r="F357" i="14" s="1"/>
  <c r="D356" i="14"/>
  <c r="F356" i="14" s="1"/>
  <c r="D355" i="14"/>
  <c r="E355" i="14" s="1"/>
  <c r="F355" i="14" s="1"/>
  <c r="L355" i="14" s="1"/>
  <c r="D348" i="14"/>
  <c r="D347" i="14"/>
  <c r="K334" i="14"/>
  <c r="L334" i="14" s="1"/>
  <c r="H333" i="14"/>
  <c r="K333" i="14" s="1"/>
  <c r="K332" i="14"/>
  <c r="K327" i="14"/>
  <c r="K328" i="14"/>
  <c r="K329" i="14"/>
  <c r="K330" i="14"/>
  <c r="K331" i="14"/>
  <c r="K326" i="14"/>
  <c r="H299" i="14"/>
  <c r="K299" i="14" s="1"/>
  <c r="H304" i="14"/>
  <c r="D298" i="14"/>
  <c r="E298" i="14" s="1"/>
  <c r="F298" i="14" s="1"/>
  <c r="D297" i="14"/>
  <c r="E297" i="14" s="1"/>
  <c r="F297" i="14" s="1"/>
  <c r="D296" i="14"/>
  <c r="E296" i="14" s="1"/>
  <c r="F296" i="14" s="1"/>
  <c r="D294" i="14"/>
  <c r="E294" i="14" s="1"/>
  <c r="F294" i="14" s="1"/>
  <c r="D293" i="14"/>
  <c r="E293" i="14" s="1"/>
  <c r="F293" i="14" s="1"/>
  <c r="D292" i="14"/>
  <c r="F292" i="14" s="1"/>
  <c r="D291" i="14"/>
  <c r="E291" i="14" s="1"/>
  <c r="F291" i="14" s="1"/>
  <c r="D284" i="14"/>
  <c r="D283" i="14"/>
  <c r="K266" i="14"/>
  <c r="K253" i="11"/>
  <c r="K254" i="11"/>
  <c r="K256" i="11"/>
  <c r="K257" i="11"/>
  <c r="K260" i="11"/>
  <c r="K252" i="11"/>
  <c r="K220" i="11"/>
  <c r="K221" i="11"/>
  <c r="K222" i="11"/>
  <c r="K223" i="11"/>
  <c r="K224" i="11"/>
  <c r="K227" i="11"/>
  <c r="K219" i="11"/>
  <c r="K189" i="11"/>
  <c r="K190" i="11"/>
  <c r="K191" i="11"/>
  <c r="K192" i="11"/>
  <c r="K193" i="11"/>
  <c r="K196" i="11"/>
  <c r="F292" i="11"/>
  <c r="G292" i="11" s="1"/>
  <c r="E290" i="11"/>
  <c r="F290" i="11" s="1"/>
  <c r="L290" i="11" s="1"/>
  <c r="E289" i="11"/>
  <c r="F289" i="11" s="1"/>
  <c r="L289" i="11" s="1"/>
  <c r="E287" i="11"/>
  <c r="F287" i="11" s="1"/>
  <c r="L287" i="11" s="1"/>
  <c r="E286" i="11"/>
  <c r="F286" i="11" s="1"/>
  <c r="L286" i="11" s="1"/>
  <c r="E257" i="11"/>
  <c r="F257" i="11" s="1"/>
  <c r="E256" i="11"/>
  <c r="F256" i="11" s="1"/>
  <c r="E255" i="11"/>
  <c r="F255" i="11" s="1"/>
  <c r="F227" i="11"/>
  <c r="G227" i="11" s="1"/>
  <c r="E224" i="11"/>
  <c r="F224" i="11" s="1"/>
  <c r="E223" i="11"/>
  <c r="F223" i="11" s="1"/>
  <c r="E222" i="11"/>
  <c r="F222" i="11" s="1"/>
  <c r="S16" i="5"/>
  <c r="H296" i="11"/>
  <c r="E285" i="11"/>
  <c r="F285" i="11" s="1"/>
  <c r="L285" i="11" s="1"/>
  <c r="E284" i="11"/>
  <c r="F284" i="11" s="1"/>
  <c r="C276" i="11"/>
  <c r="H265" i="11"/>
  <c r="F263" i="11"/>
  <c r="H261" i="11"/>
  <c r="H262" i="11" s="1"/>
  <c r="K262" i="11" s="1"/>
  <c r="E254" i="11"/>
  <c r="F254" i="11" s="1"/>
  <c r="E253" i="11"/>
  <c r="F253" i="11" s="1"/>
  <c r="E252" i="11"/>
  <c r="F252" i="11" s="1"/>
  <c r="C244" i="11"/>
  <c r="H233" i="11"/>
  <c r="F229" i="11"/>
  <c r="H228" i="11"/>
  <c r="H229" i="11" s="1"/>
  <c r="E221" i="11"/>
  <c r="F221" i="11" s="1"/>
  <c r="E220" i="11"/>
  <c r="F220" i="11" s="1"/>
  <c r="E219" i="11"/>
  <c r="F219" i="11" s="1"/>
  <c r="C211" i="11"/>
  <c r="P23" i="5" l="1"/>
  <c r="P24" i="5"/>
  <c r="Q24" i="5" s="1"/>
  <c r="V24" i="5" s="1"/>
  <c r="W24" i="5" s="1"/>
  <c r="G229" i="11"/>
  <c r="O22" i="5"/>
  <c r="J22" i="17"/>
  <c r="L332" i="14"/>
  <c r="L292" i="11"/>
  <c r="G228" i="11"/>
  <c r="K494" i="11"/>
  <c r="L494" i="11" s="1"/>
  <c r="L495" i="11" s="1"/>
  <c r="G494" i="11"/>
  <c r="L360" i="14"/>
  <c r="L356" i="14"/>
  <c r="L294" i="14"/>
  <c r="L357" i="14"/>
  <c r="L298" i="14"/>
  <c r="L361" i="14"/>
  <c r="R322" i="14"/>
  <c r="Y327" i="14" s="1"/>
  <c r="Z327" i="14" s="1"/>
  <c r="L359" i="14"/>
  <c r="L358" i="14"/>
  <c r="H231" i="11"/>
  <c r="H230" i="11"/>
  <c r="L227" i="11"/>
  <c r="F363" i="14"/>
  <c r="L284" i="11"/>
  <c r="F300" i="14"/>
  <c r="K228" i="11"/>
  <c r="L228" i="11" s="1"/>
  <c r="K261" i="11"/>
  <c r="L291" i="14"/>
  <c r="L296" i="14"/>
  <c r="G332" i="14"/>
  <c r="L297" i="14"/>
  <c r="L293" i="14"/>
  <c r="L295" i="14"/>
  <c r="L292" i="14"/>
  <c r="L261" i="14"/>
  <c r="R253" i="14"/>
  <c r="P261" i="14"/>
  <c r="G357" i="14"/>
  <c r="G359" i="14"/>
  <c r="G355" i="14"/>
  <c r="G360" i="14"/>
  <c r="G358" i="14"/>
  <c r="G356" i="14"/>
  <c r="F362" i="14"/>
  <c r="G362" i="14" s="1"/>
  <c r="F299" i="14"/>
  <c r="G291" i="14"/>
  <c r="G297" i="14"/>
  <c r="G293" i="14"/>
  <c r="G296" i="14"/>
  <c r="G292" i="14"/>
  <c r="G294" i="14"/>
  <c r="G298" i="14"/>
  <c r="F261" i="11"/>
  <c r="G261" i="11" s="1"/>
  <c r="F262" i="11"/>
  <c r="F260" i="11"/>
  <c r="G284" i="11"/>
  <c r="G286" i="11"/>
  <c r="G290" i="11"/>
  <c r="G285" i="11"/>
  <c r="G287" i="11"/>
  <c r="G289" i="11"/>
  <c r="F294" i="11"/>
  <c r="G253" i="11"/>
  <c r="L253" i="11"/>
  <c r="G255" i="11"/>
  <c r="L255" i="11"/>
  <c r="G257" i="11"/>
  <c r="L257" i="11"/>
  <c r="H263" i="11"/>
  <c r="K263" i="11" s="1"/>
  <c r="L263" i="11" s="1"/>
  <c r="L252" i="11"/>
  <c r="G252" i="11"/>
  <c r="L254" i="11"/>
  <c r="G254" i="11"/>
  <c r="L256" i="11"/>
  <c r="G256" i="11"/>
  <c r="G222" i="11"/>
  <c r="L222" i="11"/>
  <c r="L219" i="11"/>
  <c r="G219" i="11"/>
  <c r="L221" i="11"/>
  <c r="G221" i="11"/>
  <c r="L223" i="11"/>
  <c r="G223" i="11"/>
  <c r="K229" i="11"/>
  <c r="L229" i="11" s="1"/>
  <c r="G220" i="11"/>
  <c r="L220" i="11"/>
  <c r="G224" i="11"/>
  <c r="L224" i="11"/>
  <c r="G147" i="8" l="1"/>
  <c r="G150" i="8" s="1"/>
  <c r="G151" i="8" s="1"/>
  <c r="G152" i="8" s="1"/>
  <c r="F150" i="8"/>
  <c r="G179" i="8"/>
  <c r="G182" i="8" s="1"/>
  <c r="G183" i="8" s="1"/>
  <c r="G184" i="8" s="1"/>
  <c r="F182" i="8"/>
  <c r="G209" i="8"/>
  <c r="G212" i="8" s="1"/>
  <c r="G213" i="8" s="1"/>
  <c r="G214" i="8" s="1"/>
  <c r="F212" i="8"/>
  <c r="L362" i="14"/>
  <c r="L299" i="14"/>
  <c r="G299" i="14"/>
  <c r="L300" i="14"/>
  <c r="G300" i="14"/>
  <c r="L363" i="14"/>
  <c r="G363" i="14"/>
  <c r="G263" i="11"/>
  <c r="L294" i="11"/>
  <c r="G294" i="11"/>
  <c r="L260" i="11"/>
  <c r="G260" i="11"/>
  <c r="L262" i="11"/>
  <c r="G262" i="11"/>
  <c r="K230" i="11"/>
  <c r="L230" i="11" s="1"/>
  <c r="G230" i="11"/>
  <c r="K231" i="11"/>
  <c r="L231" i="11" s="1"/>
  <c r="G231" i="11"/>
  <c r="Y333" i="14"/>
  <c r="Z333" i="14" s="1"/>
  <c r="U328" i="14"/>
  <c r="V328" i="14" s="1"/>
  <c r="Y329" i="14"/>
  <c r="Z329" i="14" s="1"/>
  <c r="Y328" i="14"/>
  <c r="Z328" i="14" s="1"/>
  <c r="Y332" i="14"/>
  <c r="Z332" i="14" s="1"/>
  <c r="Y331" i="14"/>
  <c r="Z331" i="14" s="1"/>
  <c r="U329" i="14"/>
  <c r="V329" i="14" s="1"/>
  <c r="U331" i="14"/>
  <c r="V331" i="14" s="1"/>
  <c r="U326" i="14"/>
  <c r="V326" i="14" s="1"/>
  <c r="Y330" i="14"/>
  <c r="Z330" i="14" s="1"/>
  <c r="Y326" i="14"/>
  <c r="Z326" i="14" s="1"/>
  <c r="R332" i="14"/>
  <c r="T332" i="14" s="1"/>
  <c r="U332" i="14"/>
  <c r="V332" i="14" s="1"/>
  <c r="U330" i="14"/>
  <c r="V330" i="14" s="1"/>
  <c r="U327" i="14"/>
  <c r="V327" i="14" s="1"/>
  <c r="AA327" i="14" s="1"/>
  <c r="AC327" i="14" s="1"/>
  <c r="G327" i="11"/>
  <c r="L261" i="11"/>
  <c r="F331" i="11"/>
  <c r="U333" i="14"/>
  <c r="V333" i="14" s="1"/>
  <c r="R261" i="14"/>
  <c r="X261" i="14" s="1"/>
  <c r="Y259" i="14"/>
  <c r="Z259" i="14" s="1"/>
  <c r="Y263" i="14"/>
  <c r="Z263" i="14" s="1"/>
  <c r="U257" i="14"/>
  <c r="Y258" i="14"/>
  <c r="Z258" i="14" s="1"/>
  <c r="Y262" i="14"/>
  <c r="Z262" i="14" s="1"/>
  <c r="Y257" i="14"/>
  <c r="Z257" i="14" s="1"/>
  <c r="Y260" i="14"/>
  <c r="Z260" i="14" s="1"/>
  <c r="Y264" i="14"/>
  <c r="Z264" i="14" s="1"/>
  <c r="Y261" i="14"/>
  <c r="Z261" i="14" s="1"/>
  <c r="U261" i="14"/>
  <c r="V261" i="14" s="1"/>
  <c r="U258" i="14"/>
  <c r="V258" i="14" s="1"/>
  <c r="U262" i="14"/>
  <c r="V262" i="14" s="1"/>
  <c r="U259" i="14"/>
  <c r="V259" i="14" s="1"/>
  <c r="U263" i="14"/>
  <c r="V263" i="14" s="1"/>
  <c r="U260" i="14"/>
  <c r="V260" i="14" s="1"/>
  <c r="U264" i="14"/>
  <c r="V264" i="14" s="1"/>
  <c r="F370" i="14"/>
  <c r="F307" i="14"/>
  <c r="F268" i="11"/>
  <c r="F236" i="11"/>
  <c r="L303" i="14" l="1"/>
  <c r="L368" i="14"/>
  <c r="G303" i="14"/>
  <c r="AA329" i="14"/>
  <c r="AC329" i="14" s="1"/>
  <c r="G366" i="14"/>
  <c r="O18" i="5"/>
  <c r="J18" i="17"/>
  <c r="G232" i="11"/>
  <c r="G264" i="11"/>
  <c r="AA332" i="14"/>
  <c r="AC332" i="14" s="1"/>
  <c r="AA333" i="14"/>
  <c r="AC333" i="14" s="1"/>
  <c r="T261" i="14"/>
  <c r="U334" i="14"/>
  <c r="L232" i="11"/>
  <c r="L264" i="11"/>
  <c r="AA330" i="14"/>
  <c r="AC330" i="14" s="1"/>
  <c r="AA264" i="14"/>
  <c r="AC264" i="14" s="1"/>
  <c r="X332" i="14"/>
  <c r="T333" i="14"/>
  <c r="X333" i="14"/>
  <c r="AA261" i="14"/>
  <c r="AC261" i="14" s="1"/>
  <c r="AA258" i="14"/>
  <c r="AC258" i="14" s="1"/>
  <c r="V334" i="14"/>
  <c r="AA260" i="14"/>
  <c r="AC260" i="14" s="1"/>
  <c r="AA328" i="14"/>
  <c r="AC328" i="14" s="1"/>
  <c r="AA331" i="14"/>
  <c r="AC331" i="14" s="1"/>
  <c r="V257" i="14"/>
  <c r="U267" i="14"/>
  <c r="AA263" i="14"/>
  <c r="AC263" i="14" s="1"/>
  <c r="AA262" i="14"/>
  <c r="AC262" i="14" s="1"/>
  <c r="AA259" i="14"/>
  <c r="AC259" i="14" s="1"/>
  <c r="S13" i="5"/>
  <c r="F199" i="11"/>
  <c r="G199" i="11" s="1"/>
  <c r="E193" i="11"/>
  <c r="F193" i="11" s="1"/>
  <c r="E191" i="11"/>
  <c r="F191" i="11" s="1"/>
  <c r="E192" i="11"/>
  <c r="F192" i="11" s="1"/>
  <c r="S12" i="5"/>
  <c r="H201" i="11"/>
  <c r="K197" i="11"/>
  <c r="F197" i="11"/>
  <c r="G197" i="11" s="1"/>
  <c r="F196" i="11"/>
  <c r="E190" i="11"/>
  <c r="F190" i="11" s="1"/>
  <c r="E189" i="11"/>
  <c r="F189" i="11" s="1"/>
  <c r="E188" i="11"/>
  <c r="F188" i="11" s="1"/>
  <c r="C180" i="11"/>
  <c r="S11" i="5"/>
  <c r="E159" i="11"/>
  <c r="F159" i="11" s="1"/>
  <c r="E157" i="11"/>
  <c r="F157" i="11" s="1"/>
  <c r="E156" i="11"/>
  <c r="F156" i="11" s="1"/>
  <c r="E155" i="11"/>
  <c r="F155" i="11" s="1"/>
  <c r="E154" i="11"/>
  <c r="F154" i="11" s="1"/>
  <c r="E153" i="11"/>
  <c r="F153" i="11" s="1"/>
  <c r="E152" i="11"/>
  <c r="F152" i="11" s="1"/>
  <c r="G152" i="11" s="1"/>
  <c r="C144" i="11"/>
  <c r="S10" i="5"/>
  <c r="E124" i="11"/>
  <c r="F124" i="11" s="1"/>
  <c r="F130" i="11"/>
  <c r="G130" i="11" s="1"/>
  <c r="E18" i="6"/>
  <c r="E126" i="11"/>
  <c r="F126" i="11" s="1"/>
  <c r="F128" i="11"/>
  <c r="E122" i="11"/>
  <c r="F122" i="11" s="1"/>
  <c r="E121" i="11"/>
  <c r="F121" i="11" s="1"/>
  <c r="E123" i="11"/>
  <c r="F123" i="11" s="1"/>
  <c r="H133" i="11"/>
  <c r="F131" i="11"/>
  <c r="G131" i="11" s="1"/>
  <c r="E120" i="11"/>
  <c r="F120" i="11" s="1"/>
  <c r="E119" i="11"/>
  <c r="F119" i="11" s="1"/>
  <c r="E118" i="11"/>
  <c r="F118" i="11" s="1"/>
  <c r="C110" i="11"/>
  <c r="S9" i="5"/>
  <c r="S8" i="5"/>
  <c r="O128" i="5" l="1"/>
  <c r="J127" i="17"/>
  <c r="O126" i="5"/>
  <c r="J125" i="17"/>
  <c r="O15" i="5"/>
  <c r="J15" i="17"/>
  <c r="O14" i="5"/>
  <c r="J14" i="17"/>
  <c r="L128" i="11"/>
  <c r="G128" i="11"/>
  <c r="L196" i="11"/>
  <c r="G196" i="11"/>
  <c r="L159" i="11"/>
  <c r="G159" i="11"/>
  <c r="L155" i="11"/>
  <c r="G155" i="11"/>
  <c r="G154" i="11"/>
  <c r="L154" i="11"/>
  <c r="G156" i="11"/>
  <c r="L156" i="11"/>
  <c r="G153" i="11"/>
  <c r="L153" i="11"/>
  <c r="G157" i="11"/>
  <c r="L157" i="11"/>
  <c r="E387" i="11"/>
  <c r="F387" i="11" s="1"/>
  <c r="L387" i="11" s="1"/>
  <c r="L396" i="11" s="1"/>
  <c r="E421" i="11"/>
  <c r="F421" i="11" s="1"/>
  <c r="E487" i="11"/>
  <c r="F487" i="11" s="1"/>
  <c r="L327" i="11"/>
  <c r="L197" i="11"/>
  <c r="L131" i="11"/>
  <c r="AA326" i="14"/>
  <c r="AA257" i="14"/>
  <c r="AC257" i="14" s="1"/>
  <c r="V267" i="14"/>
  <c r="E288" i="11"/>
  <c r="F288" i="11" s="1"/>
  <c r="E125" i="11"/>
  <c r="F125" i="11" s="1"/>
  <c r="G125" i="11" s="1"/>
  <c r="F198" i="11"/>
  <c r="G198" i="11" s="1"/>
  <c r="K199" i="11"/>
  <c r="L199" i="11" s="1"/>
  <c r="L188" i="11"/>
  <c r="G188" i="11"/>
  <c r="L190" i="11"/>
  <c r="G190" i="11"/>
  <c r="L191" i="11"/>
  <c r="G191" i="11"/>
  <c r="L193" i="11"/>
  <c r="G193" i="11"/>
  <c r="G189" i="11"/>
  <c r="L189" i="11"/>
  <c r="G192" i="11"/>
  <c r="L192" i="11"/>
  <c r="L152" i="11"/>
  <c r="L124" i="11"/>
  <c r="G124" i="11"/>
  <c r="G126" i="11"/>
  <c r="L126" i="11"/>
  <c r="L119" i="11"/>
  <c r="G119" i="11"/>
  <c r="L121" i="11"/>
  <c r="G121" i="11"/>
  <c r="L123" i="11"/>
  <c r="G123" i="11"/>
  <c r="G118" i="11"/>
  <c r="L118" i="11"/>
  <c r="G120" i="11"/>
  <c r="L120" i="11"/>
  <c r="G122" i="11"/>
  <c r="L122" i="11"/>
  <c r="F129" i="11"/>
  <c r="G129" i="11" s="1"/>
  <c r="F67" i="11"/>
  <c r="G67" i="11" s="1"/>
  <c r="G200" i="11" l="1"/>
  <c r="G132" i="11"/>
  <c r="J10" i="17" s="1"/>
  <c r="G167" i="11"/>
  <c r="AA267" i="14"/>
  <c r="L167" i="11"/>
  <c r="L421" i="11"/>
  <c r="G421" i="11"/>
  <c r="G288" i="11"/>
  <c r="G295" i="11" s="1"/>
  <c r="L288" i="11"/>
  <c r="L295" i="11" s="1"/>
  <c r="L129" i="11"/>
  <c r="F400" i="11"/>
  <c r="G387" i="11"/>
  <c r="G396" i="11" s="1"/>
  <c r="G487" i="11"/>
  <c r="F499" i="11"/>
  <c r="F299" i="11"/>
  <c r="L130" i="11"/>
  <c r="K198" i="11"/>
  <c r="L198" i="11" s="1"/>
  <c r="L96" i="11"/>
  <c r="AC326" i="14"/>
  <c r="AA334" i="14"/>
  <c r="L125" i="11"/>
  <c r="F204" i="11"/>
  <c r="F171" i="11"/>
  <c r="F136" i="11"/>
  <c r="O13" i="5" l="1"/>
  <c r="J13" i="17"/>
  <c r="O16" i="5"/>
  <c r="J16" i="17"/>
  <c r="O20" i="5"/>
  <c r="J20" i="17"/>
  <c r="O11" i="5"/>
  <c r="J11" i="17"/>
  <c r="O10" i="5"/>
  <c r="G495" i="11"/>
  <c r="O26" i="5" s="1"/>
  <c r="H69" i="11"/>
  <c r="F66" i="11"/>
  <c r="G66" i="11" s="1"/>
  <c r="F65" i="11"/>
  <c r="G65" i="11" s="1"/>
  <c r="F64" i="11"/>
  <c r="F61" i="11"/>
  <c r="G61" i="11" s="1"/>
  <c r="E59" i="11"/>
  <c r="F59" i="11" s="1"/>
  <c r="E58" i="11"/>
  <c r="F58" i="11" s="1"/>
  <c r="E57" i="11"/>
  <c r="F57" i="11" s="1"/>
  <c r="E56" i="11"/>
  <c r="F56" i="11" s="1"/>
  <c r="E55" i="11"/>
  <c r="F55" i="11" s="1"/>
  <c r="E54" i="11"/>
  <c r="F54" i="11" s="1"/>
  <c r="E53" i="11"/>
  <c r="F53" i="11" s="1"/>
  <c r="L53" i="11" s="1"/>
  <c r="C45" i="11"/>
  <c r="L64" i="11" l="1"/>
  <c r="G64" i="11"/>
  <c r="L132" i="11"/>
  <c r="L65" i="11"/>
  <c r="L200" i="11"/>
  <c r="L67" i="11"/>
  <c r="G53" i="11"/>
  <c r="L55" i="11"/>
  <c r="G55" i="11"/>
  <c r="L57" i="11"/>
  <c r="G57" i="11"/>
  <c r="L59" i="11"/>
  <c r="G59" i="11"/>
  <c r="G54" i="11"/>
  <c r="L54" i="11"/>
  <c r="G58" i="11"/>
  <c r="L58" i="11"/>
  <c r="G56" i="11"/>
  <c r="L56" i="11"/>
  <c r="L61" i="11"/>
  <c r="F23" i="6"/>
  <c r="G23" i="6" s="1"/>
  <c r="F56" i="6"/>
  <c r="G56" i="6" s="1"/>
  <c r="F46" i="6"/>
  <c r="G46" i="6" s="1"/>
  <c r="F49" i="6"/>
  <c r="G49" i="6" s="1"/>
  <c r="F44" i="6"/>
  <c r="G44" i="6" s="1"/>
  <c r="F57" i="6"/>
  <c r="G57" i="6" s="1"/>
  <c r="F47" i="6"/>
  <c r="G47" i="6" s="1"/>
  <c r="F41" i="6"/>
  <c r="G41" i="6" s="1"/>
  <c r="F52" i="6"/>
  <c r="G52" i="6" s="1"/>
  <c r="F38" i="6"/>
  <c r="G38" i="6" s="1"/>
  <c r="E330" i="14"/>
  <c r="F330" i="14" s="1"/>
  <c r="P330" i="14" s="1"/>
  <c r="R330" i="14" s="1"/>
  <c r="F54" i="6"/>
  <c r="G54" i="6" s="1"/>
  <c r="F24" i="6"/>
  <c r="G24" i="6" s="1"/>
  <c r="E329" i="14"/>
  <c r="F329" i="14" s="1"/>
  <c r="P329" i="14" s="1"/>
  <c r="R329" i="14" s="1"/>
  <c r="D327" i="14"/>
  <c r="F327" i="14" s="1"/>
  <c r="P327" i="14" s="1"/>
  <c r="R327" i="14" s="1"/>
  <c r="D328" i="14"/>
  <c r="E328" i="14" s="1"/>
  <c r="F328" i="14" s="1"/>
  <c r="P328" i="14" s="1"/>
  <c r="R328" i="14" s="1"/>
  <c r="T328" i="14" s="1"/>
  <c r="D333" i="14"/>
  <c r="D331" i="14"/>
  <c r="E331" i="14" s="1"/>
  <c r="F331" i="14" s="1"/>
  <c r="P331" i="14" s="1"/>
  <c r="R331" i="14" s="1"/>
  <c r="D326" i="14"/>
  <c r="E326" i="14" s="1"/>
  <c r="F326" i="14" s="1"/>
  <c r="P326" i="14" s="1"/>
  <c r="R326" i="14" s="1"/>
  <c r="D265" i="14"/>
  <c r="D264" i="14"/>
  <c r="D263" i="14"/>
  <c r="D262" i="14"/>
  <c r="D260" i="14"/>
  <c r="D259" i="14"/>
  <c r="D258" i="14"/>
  <c r="D257" i="14"/>
  <c r="H336" i="14"/>
  <c r="D319" i="14"/>
  <c r="D318" i="14"/>
  <c r="F43" i="6"/>
  <c r="G43" i="6" s="1"/>
  <c r="F22" i="6"/>
  <c r="G22" i="6" s="1"/>
  <c r="G68" i="11" l="1"/>
  <c r="J8" i="17" s="1"/>
  <c r="L66" i="11"/>
  <c r="X326" i="14"/>
  <c r="T326" i="14"/>
  <c r="X327" i="14"/>
  <c r="T327" i="14"/>
  <c r="X328" i="14"/>
  <c r="L331" i="14"/>
  <c r="X329" i="14"/>
  <c r="T329" i="14"/>
  <c r="X330" i="14"/>
  <c r="T330" i="14"/>
  <c r="G326" i="14"/>
  <c r="L326" i="14"/>
  <c r="G328" i="14"/>
  <c r="L328" i="14"/>
  <c r="G331" i="14"/>
  <c r="G327" i="14"/>
  <c r="L327" i="14"/>
  <c r="F333" i="14"/>
  <c r="G329" i="14"/>
  <c r="L329" i="14"/>
  <c r="G330" i="14"/>
  <c r="L330" i="14"/>
  <c r="F72" i="11"/>
  <c r="L12" i="10"/>
  <c r="G141" i="10"/>
  <c r="G60" i="6"/>
  <c r="F16" i="6"/>
  <c r="G16" i="6" s="1"/>
  <c r="F15" i="6"/>
  <c r="G15" i="6" s="1"/>
  <c r="F7" i="6"/>
  <c r="G7" i="6" s="1"/>
  <c r="G10" i="6"/>
  <c r="F11" i="6"/>
  <c r="G11" i="6" s="1"/>
  <c r="F13" i="6"/>
  <c r="G13" i="6" s="1"/>
  <c r="G17" i="6"/>
  <c r="G19" i="6"/>
  <c r="G20" i="6"/>
  <c r="F28" i="6"/>
  <c r="G28" i="6" s="1"/>
  <c r="G29" i="6"/>
  <c r="F30" i="6"/>
  <c r="G30" i="6" s="1"/>
  <c r="F31" i="6"/>
  <c r="G31" i="6" s="1"/>
  <c r="F32" i="6"/>
  <c r="G32" i="6" s="1"/>
  <c r="F33" i="6"/>
  <c r="G33" i="6" s="1"/>
  <c r="F34" i="6"/>
  <c r="G34" i="6" s="1"/>
  <c r="F35" i="6"/>
  <c r="G35" i="6" s="1"/>
  <c r="G36" i="6"/>
  <c r="F37" i="6"/>
  <c r="G37" i="6" s="1"/>
  <c r="F53" i="6"/>
  <c r="G53" i="6" s="1"/>
  <c r="G58" i="6"/>
  <c r="F61" i="6"/>
  <c r="G61" i="6" s="1"/>
  <c r="F62" i="6"/>
  <c r="G62" i="6" s="1"/>
  <c r="F63" i="6"/>
  <c r="G63" i="6" s="1"/>
  <c r="F64" i="6"/>
  <c r="G64" i="6" s="1"/>
  <c r="G65" i="6"/>
  <c r="G68" i="6"/>
  <c r="G69" i="6"/>
  <c r="F70" i="6"/>
  <c r="G70" i="6" s="1"/>
  <c r="F71" i="6"/>
  <c r="G71" i="6" s="1"/>
  <c r="F72" i="6"/>
  <c r="G72" i="6" s="1"/>
  <c r="F73" i="6"/>
  <c r="G73" i="6" s="1"/>
  <c r="F74" i="6"/>
  <c r="G74" i="6" s="1"/>
  <c r="H141" i="10" l="1"/>
  <c r="K141" i="10"/>
  <c r="L333" i="14"/>
  <c r="L337" i="14" s="1"/>
  <c r="G333" i="14"/>
  <c r="G335" i="14" s="1"/>
  <c r="O8" i="5"/>
  <c r="P334" i="14"/>
  <c r="T331" i="14"/>
  <c r="X331" i="14"/>
  <c r="F339" i="14"/>
  <c r="F145" i="10"/>
  <c r="G145" i="10" s="1"/>
  <c r="F140" i="10"/>
  <c r="G140" i="10" s="1"/>
  <c r="G150" i="10"/>
  <c r="G149" i="10"/>
  <c r="G148" i="10"/>
  <c r="G147" i="10"/>
  <c r="D135" i="10"/>
  <c r="D132" i="10"/>
  <c r="H762" i="11"/>
  <c r="L748" i="11"/>
  <c r="C740" i="11"/>
  <c r="F68" i="12"/>
  <c r="G68" i="12" s="1"/>
  <c r="F67" i="12"/>
  <c r="G67" i="12" s="1"/>
  <c r="F65" i="12"/>
  <c r="F66" i="12"/>
  <c r="G66" i="12" s="1"/>
  <c r="H71" i="12"/>
  <c r="G69" i="12"/>
  <c r="F69" i="12"/>
  <c r="E554" i="11"/>
  <c r="F554" i="11" s="1"/>
  <c r="E553" i="11"/>
  <c r="F553" i="11" s="1"/>
  <c r="E552" i="11"/>
  <c r="F552" i="11" s="1"/>
  <c r="H563" i="11"/>
  <c r="F561" i="11"/>
  <c r="G561" i="11" s="1"/>
  <c r="F560" i="11"/>
  <c r="G560" i="11" s="1"/>
  <c r="F559" i="11"/>
  <c r="G559" i="11" s="1"/>
  <c r="F557" i="11"/>
  <c r="G557" i="11" s="1"/>
  <c r="D556" i="11"/>
  <c r="E550" i="11"/>
  <c r="F550" i="11" s="1"/>
  <c r="E549" i="11"/>
  <c r="F549" i="11" s="1"/>
  <c r="E548" i="11"/>
  <c r="F548" i="11" s="1"/>
  <c r="L548" i="11" s="1"/>
  <c r="C540" i="11"/>
  <c r="M15" i="12"/>
  <c r="L1541" i="11"/>
  <c r="E1539" i="11"/>
  <c r="F1539" i="11" s="1"/>
  <c r="E1538" i="11"/>
  <c r="F1538" i="11" s="1"/>
  <c r="E1537" i="11"/>
  <c r="F1537" i="11" s="1"/>
  <c r="E1535" i="11"/>
  <c r="F1535" i="11" s="1"/>
  <c r="E1534" i="11"/>
  <c r="F1534" i="11" s="1"/>
  <c r="E1533" i="11"/>
  <c r="F1533" i="11" s="1"/>
  <c r="E1532" i="11"/>
  <c r="F1532" i="11" s="1"/>
  <c r="H1548" i="11"/>
  <c r="C1524" i="11"/>
  <c r="E93" i="11"/>
  <c r="F93" i="11" s="1"/>
  <c r="E91" i="11"/>
  <c r="F91" i="11" s="1"/>
  <c r="E92" i="11"/>
  <c r="F92" i="11" s="1"/>
  <c r="E89" i="11"/>
  <c r="F89" i="11" s="1"/>
  <c r="E88" i="11"/>
  <c r="F88" i="11" s="1"/>
  <c r="E87" i="11"/>
  <c r="F87" i="11" s="1"/>
  <c r="H99" i="11"/>
  <c r="C79" i="11"/>
  <c r="E119" i="10"/>
  <c r="K119" i="10" s="1"/>
  <c r="E118" i="10"/>
  <c r="G118" i="10" s="1"/>
  <c r="E117" i="10"/>
  <c r="K117" i="10" s="1"/>
  <c r="P48" i="6"/>
  <c r="P49" i="6"/>
  <c r="P47" i="6"/>
  <c r="P45" i="6"/>
  <c r="K115" i="10" s="1"/>
  <c r="F113" i="10"/>
  <c r="G113" i="10" s="1"/>
  <c r="K113" i="10" s="1"/>
  <c r="F112" i="10"/>
  <c r="G112" i="10" s="1"/>
  <c r="G116" i="10"/>
  <c r="L114" i="10"/>
  <c r="G114" i="10"/>
  <c r="D107" i="10"/>
  <c r="D104" i="10"/>
  <c r="G1188" i="11"/>
  <c r="F1191" i="11"/>
  <c r="G1191" i="11" s="1"/>
  <c r="E1186" i="11"/>
  <c r="F1186" i="11" s="1"/>
  <c r="F1185" i="11"/>
  <c r="E1184" i="11"/>
  <c r="F1184" i="11" s="1"/>
  <c r="E1177" i="11"/>
  <c r="F1177" i="11" s="1"/>
  <c r="L1177" i="11" s="1"/>
  <c r="F1194" i="11"/>
  <c r="G1194" i="11" s="1"/>
  <c r="F1192" i="11"/>
  <c r="G1192" i="11" s="1"/>
  <c r="E1183" i="11"/>
  <c r="F1183" i="11" s="1"/>
  <c r="E1181" i="11"/>
  <c r="F1181" i="11" s="1"/>
  <c r="E1182" i="11"/>
  <c r="F1182" i="11" s="1"/>
  <c r="H1197" i="11"/>
  <c r="F1195" i="11"/>
  <c r="G1195" i="11" s="1"/>
  <c r="E1179" i="11"/>
  <c r="F1179" i="11" s="1"/>
  <c r="E1178" i="11"/>
  <c r="F1178" i="11" s="1"/>
  <c r="S64" i="5"/>
  <c r="C1169" i="11"/>
  <c r="F424" i="11"/>
  <c r="G424" i="11" s="1"/>
  <c r="E419" i="11"/>
  <c r="F419" i="11" s="1"/>
  <c r="E418" i="11"/>
  <c r="F418" i="11" s="1"/>
  <c r="H427" i="11"/>
  <c r="E420" i="11"/>
  <c r="F420" i="11" s="1"/>
  <c r="H268" i="14"/>
  <c r="F266" i="14"/>
  <c r="F265" i="14"/>
  <c r="G265" i="14" s="1"/>
  <c r="E264" i="14"/>
  <c r="F264" i="14" s="1"/>
  <c r="E263" i="14"/>
  <c r="F263" i="14" s="1"/>
  <c r="E262" i="14"/>
  <c r="F262" i="14" s="1"/>
  <c r="E260" i="14"/>
  <c r="F260" i="14" s="1"/>
  <c r="E259" i="14"/>
  <c r="F259" i="14" s="1"/>
  <c r="F258" i="14"/>
  <c r="E257" i="14"/>
  <c r="F257" i="14" s="1"/>
  <c r="D114" i="14"/>
  <c r="D79" i="14"/>
  <c r="D41" i="14"/>
  <c r="D5" i="14"/>
  <c r="H103" i="14"/>
  <c r="H29" i="14"/>
  <c r="P17" i="13"/>
  <c r="Q17" i="13" s="1"/>
  <c r="R17" i="13" s="1"/>
  <c r="O20" i="13"/>
  <c r="Q20" i="13" s="1"/>
  <c r="R20" i="13" s="1"/>
  <c r="O19" i="13"/>
  <c r="Q19" i="13" s="1"/>
  <c r="R19" i="13" s="1"/>
  <c r="O16" i="13"/>
  <c r="P16" i="13" s="1"/>
  <c r="Q16" i="13" s="1"/>
  <c r="R16" i="13" s="1"/>
  <c r="O15" i="13"/>
  <c r="Q15" i="13" s="1"/>
  <c r="R15" i="13" s="1"/>
  <c r="O14" i="13"/>
  <c r="P14" i="13" s="1"/>
  <c r="Q14" i="13" s="1"/>
  <c r="R14" i="13" s="1"/>
  <c r="O13" i="13"/>
  <c r="P13" i="13" s="1"/>
  <c r="Q13" i="13" s="1"/>
  <c r="S23" i="13"/>
  <c r="O5" i="13"/>
  <c r="S46" i="5"/>
  <c r="S110" i="5"/>
  <c r="S109" i="5"/>
  <c r="S106" i="5"/>
  <c r="S105" i="5"/>
  <c r="S104" i="5"/>
  <c r="S103" i="5"/>
  <c r="S102" i="5"/>
  <c r="S99" i="5"/>
  <c r="S98" i="5"/>
  <c r="S97" i="5"/>
  <c r="S124" i="5"/>
  <c r="AH82" i="8"/>
  <c r="AH81" i="8"/>
  <c r="AG80" i="8"/>
  <c r="AH80" i="8" s="1"/>
  <c r="AG79" i="8"/>
  <c r="AH79" i="8" s="1"/>
  <c r="AH78" i="8"/>
  <c r="AG77" i="8"/>
  <c r="AH77" i="8" s="1"/>
  <c r="AJ76" i="8"/>
  <c r="AM76" i="8" s="1"/>
  <c r="AG76" i="8"/>
  <c r="AH76" i="8" s="1"/>
  <c r="AF73" i="8"/>
  <c r="AE68" i="8"/>
  <c r="S107" i="5"/>
  <c r="S108" i="5"/>
  <c r="S89" i="5"/>
  <c r="S74" i="5"/>
  <c r="S101" i="5"/>
  <c r="S100" i="5"/>
  <c r="S61" i="5"/>
  <c r="S35" i="5"/>
  <c r="S17" i="5"/>
  <c r="S111" i="5"/>
  <c r="S91" i="5"/>
  <c r="S90" i="5"/>
  <c r="S112" i="5"/>
  <c r="S123" i="5"/>
  <c r="V76" i="8"/>
  <c r="Y76" i="8" s="1"/>
  <c r="Q68" i="8"/>
  <c r="T82" i="8"/>
  <c r="T81" i="8"/>
  <c r="S80" i="8"/>
  <c r="T80" i="8" s="1"/>
  <c r="S79" i="8"/>
  <c r="T79" i="8" s="1"/>
  <c r="T78" i="8"/>
  <c r="S77" i="8"/>
  <c r="T77" i="8" s="1"/>
  <c r="S76" i="8"/>
  <c r="T76" i="8" s="1"/>
  <c r="Z76" i="8" s="1"/>
  <c r="R73" i="8"/>
  <c r="J126" i="17" l="1"/>
  <c r="O127" i="5"/>
  <c r="K274" i="10"/>
  <c r="K276" i="10" s="1"/>
  <c r="K277" i="10" s="1"/>
  <c r="K278" i="10" s="1"/>
  <c r="F1416" i="11"/>
  <c r="G1416" i="11" s="1"/>
  <c r="P45" i="5"/>
  <c r="Q45" i="5" s="1"/>
  <c r="V45" i="5" s="1"/>
  <c r="W45" i="5" s="1"/>
  <c r="P46" i="5"/>
  <c r="K245" i="10"/>
  <c r="K247" i="10" s="1"/>
  <c r="K126" i="17"/>
  <c r="K119" i="17"/>
  <c r="L119" i="17" s="1"/>
  <c r="Q119" i="17" s="1"/>
  <c r="R119" i="17" s="1"/>
  <c r="K112" i="17"/>
  <c r="L112" i="17" s="1"/>
  <c r="Q112" i="17" s="1"/>
  <c r="R112" i="17" s="1"/>
  <c r="K108" i="17"/>
  <c r="K104" i="17"/>
  <c r="K100" i="17"/>
  <c r="K96" i="17"/>
  <c r="K92" i="17"/>
  <c r="L92" i="17" s="1"/>
  <c r="K88" i="17"/>
  <c r="K84" i="17"/>
  <c r="L84" i="17" s="1"/>
  <c r="K77" i="17"/>
  <c r="L77" i="17" s="1"/>
  <c r="K73" i="17"/>
  <c r="K69" i="17"/>
  <c r="L69" i="17" s="1"/>
  <c r="Q69" i="17" s="1"/>
  <c r="R69" i="17" s="1"/>
  <c r="K65" i="17"/>
  <c r="L65" i="17" s="1"/>
  <c r="K54" i="17"/>
  <c r="L54" i="17" s="1"/>
  <c r="K50" i="17"/>
  <c r="L50" i="17" s="1"/>
  <c r="K46" i="17"/>
  <c r="L46" i="17" s="1"/>
  <c r="Q46" i="17" s="1"/>
  <c r="R46" i="17" s="1"/>
  <c r="K43" i="17"/>
  <c r="L43" i="17" s="1"/>
  <c r="K39" i="17"/>
  <c r="L39" i="17" s="1"/>
  <c r="Q39" i="17" s="1"/>
  <c r="R39" i="17" s="1"/>
  <c r="K35" i="17"/>
  <c r="L35" i="17" s="1"/>
  <c r="K31" i="17"/>
  <c r="K27" i="17"/>
  <c r="K24" i="17"/>
  <c r="K21" i="17"/>
  <c r="K17" i="17"/>
  <c r="K13" i="17"/>
  <c r="L13" i="17" s="1"/>
  <c r="Q13" i="17" s="1"/>
  <c r="R13" i="17" s="1"/>
  <c r="K9" i="17"/>
  <c r="AB17" i="12"/>
  <c r="AC17" i="12" s="1"/>
  <c r="AC20" i="12" s="1"/>
  <c r="P109" i="5"/>
  <c r="P97" i="5"/>
  <c r="P112" i="5"/>
  <c r="P89" i="5"/>
  <c r="P49" i="5"/>
  <c r="P120" i="5"/>
  <c r="Q120" i="5" s="1"/>
  <c r="V120" i="5" s="1"/>
  <c r="W120" i="5" s="1"/>
  <c r="P119" i="5"/>
  <c r="Q119" i="5" s="1"/>
  <c r="V119" i="5" s="1"/>
  <c r="W119" i="5" s="1"/>
  <c r="P94" i="5"/>
  <c r="Q94" i="5" s="1"/>
  <c r="P79" i="5"/>
  <c r="Q79" i="5" s="1"/>
  <c r="P70" i="5"/>
  <c r="Q70" i="5" s="1"/>
  <c r="V70" i="5" s="1"/>
  <c r="W70" i="5" s="1"/>
  <c r="P60" i="5"/>
  <c r="Q60" i="5" s="1"/>
  <c r="V60" i="5" s="1"/>
  <c r="W60" i="5" s="1"/>
  <c r="P51" i="5"/>
  <c r="Q51" i="5" s="1"/>
  <c r="P39" i="5"/>
  <c r="Q39" i="5" s="1"/>
  <c r="V39" i="5" s="1"/>
  <c r="W39" i="5" s="1"/>
  <c r="P27" i="5"/>
  <c r="Q27" i="5" s="1"/>
  <c r="P15" i="5"/>
  <c r="Q15" i="5" s="1"/>
  <c r="P14" i="5"/>
  <c r="Q14" i="5" s="1"/>
  <c r="P25" i="5"/>
  <c r="Q25" i="5" s="1"/>
  <c r="P127" i="5"/>
  <c r="P116" i="5"/>
  <c r="Q116" i="5" s="1"/>
  <c r="V116" i="5" s="1"/>
  <c r="W116" i="5" s="1"/>
  <c r="P76" i="5"/>
  <c r="P56" i="5"/>
  <c r="Q56" i="5" s="1"/>
  <c r="P21" i="5"/>
  <c r="K106" i="17"/>
  <c r="K94" i="17"/>
  <c r="L94" i="17" s="1"/>
  <c r="K82" i="17"/>
  <c r="L82" i="17" s="1"/>
  <c r="Q82" i="17" s="1"/>
  <c r="R82" i="17" s="1"/>
  <c r="K75" i="17"/>
  <c r="L75" i="17" s="1"/>
  <c r="K48" i="17"/>
  <c r="K37" i="17"/>
  <c r="K25" i="17"/>
  <c r="L25" i="17" s="1"/>
  <c r="K15" i="17"/>
  <c r="L15" i="17" s="1"/>
  <c r="P101" i="5"/>
  <c r="P126" i="5"/>
  <c r="P115" i="5"/>
  <c r="Q115" i="5" s="1"/>
  <c r="V115" i="5" s="1"/>
  <c r="W115" i="5" s="1"/>
  <c r="P86" i="5"/>
  <c r="Q86" i="5" s="1"/>
  <c r="P66" i="5"/>
  <c r="Q66" i="5" s="1"/>
  <c r="P55" i="5"/>
  <c r="Q55" i="5" s="1"/>
  <c r="P20" i="5"/>
  <c r="Q20" i="5" s="1"/>
  <c r="V20" i="5" s="1"/>
  <c r="W20" i="5" s="1"/>
  <c r="P99" i="5"/>
  <c r="P123" i="5"/>
  <c r="P72" i="5"/>
  <c r="Q72" i="5" s="1"/>
  <c r="P41" i="5"/>
  <c r="Q41" i="5" s="1"/>
  <c r="F23" i="13"/>
  <c r="G23" i="13" s="1"/>
  <c r="K129" i="17"/>
  <c r="L129" i="17" s="1"/>
  <c r="Q129" i="17" s="1"/>
  <c r="R129" i="17" s="1"/>
  <c r="K127" i="17"/>
  <c r="L127" i="17" s="1"/>
  <c r="Q127" i="17" s="1"/>
  <c r="R127" i="17" s="1"/>
  <c r="K122" i="17"/>
  <c r="K115" i="17"/>
  <c r="L115" i="17" s="1"/>
  <c r="Q115" i="17" s="1"/>
  <c r="R115" i="17" s="1"/>
  <c r="K61" i="17"/>
  <c r="L61" i="17" s="1"/>
  <c r="P106" i="5"/>
  <c r="P85" i="5"/>
  <c r="Q85" i="5" s="1"/>
  <c r="V85" i="5" s="1"/>
  <c r="W85" i="5" s="1"/>
  <c r="P111" i="5"/>
  <c r="P74" i="5"/>
  <c r="P38" i="5"/>
  <c r="P118" i="5"/>
  <c r="Q118" i="5" s="1"/>
  <c r="V118" i="5" s="1"/>
  <c r="W118" i="5" s="1"/>
  <c r="P93" i="5"/>
  <c r="Q93" i="5" s="1"/>
  <c r="P78" i="5"/>
  <c r="Q78" i="5" s="1"/>
  <c r="P69" i="5"/>
  <c r="Q69" i="5" s="1"/>
  <c r="P59" i="5"/>
  <c r="Q59" i="5" s="1"/>
  <c r="V59" i="5" s="1"/>
  <c r="W59" i="5" s="1"/>
  <c r="P50" i="5"/>
  <c r="Q50" i="5" s="1"/>
  <c r="V50" i="5" s="1"/>
  <c r="W50" i="5" s="1"/>
  <c r="P37" i="5"/>
  <c r="Q37" i="5" s="1"/>
  <c r="V37" i="5" s="1"/>
  <c r="W37" i="5" s="1"/>
  <c r="P26" i="5"/>
  <c r="Q26" i="5" s="1"/>
  <c r="K114" i="17"/>
  <c r="L114" i="17" s="1"/>
  <c r="Q114" i="17" s="1"/>
  <c r="R114" i="17" s="1"/>
  <c r="P104" i="5"/>
  <c r="P107" i="5"/>
  <c r="P12" i="5"/>
  <c r="P87" i="5"/>
  <c r="Q87" i="5" s="1"/>
  <c r="P47" i="5"/>
  <c r="Q47" i="5" s="1"/>
  <c r="V47" i="5" s="1"/>
  <c r="W47" i="5" s="1"/>
  <c r="P11" i="5"/>
  <c r="Q11" i="5" s="1"/>
  <c r="K110" i="17"/>
  <c r="K102" i="17"/>
  <c r="K90" i="17"/>
  <c r="K79" i="17"/>
  <c r="L79" i="17" s="1"/>
  <c r="K71" i="17"/>
  <c r="L71" i="17" s="1"/>
  <c r="K63" i="17"/>
  <c r="K52" i="17"/>
  <c r="L52" i="17" s="1"/>
  <c r="K41" i="17"/>
  <c r="L41" i="17" s="1"/>
  <c r="K33" i="17"/>
  <c r="L33" i="17" s="1"/>
  <c r="K23" i="17"/>
  <c r="K11" i="17"/>
  <c r="L11" i="17" s="1"/>
  <c r="P103" i="5"/>
  <c r="P17" i="5"/>
  <c r="P75" i="5"/>
  <c r="Q75" i="5" s="1"/>
  <c r="P43" i="5"/>
  <c r="Q43" i="5" s="1"/>
  <c r="P10" i="5"/>
  <c r="Q10" i="5" s="1"/>
  <c r="V10" i="5" s="1"/>
  <c r="W10" i="5" s="1"/>
  <c r="P92" i="5"/>
  <c r="P91" i="5"/>
  <c r="P122" i="5"/>
  <c r="Q122" i="5" s="1"/>
  <c r="V122" i="5" s="1"/>
  <c r="W122" i="5" s="1"/>
  <c r="P83" i="5"/>
  <c r="Q83" i="5" s="1"/>
  <c r="V83" i="5" s="1"/>
  <c r="W83" i="5" s="1"/>
  <c r="P53" i="5"/>
  <c r="Q53" i="5" s="1"/>
  <c r="K132" i="17"/>
  <c r="L132" i="17" s="1"/>
  <c r="Q132" i="17" s="1"/>
  <c r="R132" i="17" s="1"/>
  <c r="K111" i="17"/>
  <c r="K107" i="17"/>
  <c r="K103" i="17"/>
  <c r="K99" i="17"/>
  <c r="K95" i="17"/>
  <c r="L95" i="17" s="1"/>
  <c r="K91" i="17"/>
  <c r="K87" i="17"/>
  <c r="L87" i="17" s="1"/>
  <c r="K83" i="17"/>
  <c r="L83" i="17" s="1"/>
  <c r="K76" i="17"/>
  <c r="L76" i="17" s="1"/>
  <c r="K72" i="17"/>
  <c r="L72" i="17" s="1"/>
  <c r="K68" i="17"/>
  <c r="L68" i="17" s="1"/>
  <c r="K64" i="17"/>
  <c r="L64" i="17" s="1"/>
  <c r="Q64" i="17" s="1"/>
  <c r="R64" i="17" s="1"/>
  <c r="K53" i="17"/>
  <c r="L53" i="17" s="1"/>
  <c r="K49" i="17"/>
  <c r="L49" i="17" s="1"/>
  <c r="Q49" i="17" s="1"/>
  <c r="R49" i="17" s="1"/>
  <c r="K42" i="17"/>
  <c r="L42" i="17" s="1"/>
  <c r="K38" i="17"/>
  <c r="L38" i="17" s="1"/>
  <c r="Q38" i="17" s="1"/>
  <c r="R38" i="17" s="1"/>
  <c r="K34" i="17"/>
  <c r="K30" i="17"/>
  <c r="K26" i="17"/>
  <c r="L26" i="17" s="1"/>
  <c r="K20" i="17"/>
  <c r="L20" i="17" s="1"/>
  <c r="Q20" i="17" s="1"/>
  <c r="R20" i="17" s="1"/>
  <c r="K16" i="17"/>
  <c r="L16" i="17" s="1"/>
  <c r="K12" i="17"/>
  <c r="K8" i="17"/>
  <c r="L8" i="17" s="1"/>
  <c r="Q8" i="17" s="1"/>
  <c r="R8" i="17" s="1"/>
  <c r="P105" i="5"/>
  <c r="P108" i="5"/>
  <c r="P61" i="5"/>
  <c r="P31" i="5"/>
  <c r="P128" i="5"/>
  <c r="P117" i="5"/>
  <c r="Q117" i="5" s="1"/>
  <c r="V117" i="5" s="1"/>
  <c r="W117" i="5" s="1"/>
  <c r="P88" i="5"/>
  <c r="Q88" i="5" s="1"/>
  <c r="P77" i="5"/>
  <c r="Q77" i="5" s="1"/>
  <c r="P68" i="5"/>
  <c r="Q68" i="5" s="1"/>
  <c r="V68" i="5" s="1"/>
  <c r="W68" i="5" s="1"/>
  <c r="P57" i="5"/>
  <c r="Q57" i="5" s="1"/>
  <c r="P48" i="5"/>
  <c r="Q48" i="5" s="1"/>
  <c r="P36" i="5"/>
  <c r="Q36" i="5" s="1"/>
  <c r="P22" i="5"/>
  <c r="Q22" i="5" s="1"/>
  <c r="P13" i="5"/>
  <c r="Q13" i="5" s="1"/>
  <c r="V13" i="5" s="1"/>
  <c r="W13" i="5" s="1"/>
  <c r="K118" i="17"/>
  <c r="L118" i="17" s="1"/>
  <c r="Q118" i="17" s="1"/>
  <c r="R118" i="17" s="1"/>
  <c r="K60" i="17"/>
  <c r="P35" i="5"/>
  <c r="P67" i="5"/>
  <c r="P34" i="5"/>
  <c r="Q34" i="5" s="1"/>
  <c r="K128" i="17"/>
  <c r="L128" i="17" s="1"/>
  <c r="Q128" i="17" s="1"/>
  <c r="R128" i="17" s="1"/>
  <c r="K124" i="17"/>
  <c r="K121" i="17"/>
  <c r="L121" i="17" s="1"/>
  <c r="Q121" i="17" s="1"/>
  <c r="R121" i="17" s="1"/>
  <c r="K98" i="17"/>
  <c r="K86" i="17"/>
  <c r="L86" i="17" s="1"/>
  <c r="K67" i="17"/>
  <c r="L67" i="17" s="1"/>
  <c r="Q67" i="17" s="1"/>
  <c r="R67" i="17" s="1"/>
  <c r="K56" i="17"/>
  <c r="L56" i="17" s="1"/>
  <c r="K29" i="17"/>
  <c r="L29" i="17" s="1"/>
  <c r="K19" i="17"/>
  <c r="L19" i="17" s="1"/>
  <c r="P44" i="5"/>
  <c r="Q44" i="5" s="1"/>
  <c r="P33" i="5"/>
  <c r="Q33" i="5" s="1"/>
  <c r="P96" i="5"/>
  <c r="Q96" i="5" s="1"/>
  <c r="P64" i="5"/>
  <c r="P29" i="5"/>
  <c r="Q29" i="5" s="1"/>
  <c r="P18" i="5"/>
  <c r="Q18" i="5" s="1"/>
  <c r="P81" i="5"/>
  <c r="K131" i="17"/>
  <c r="L131" i="17" s="1"/>
  <c r="Q131" i="17" s="1"/>
  <c r="R131" i="17" s="1"/>
  <c r="K117" i="17"/>
  <c r="L117" i="17" s="1"/>
  <c r="Q117" i="17" s="1"/>
  <c r="R117" i="17" s="1"/>
  <c r="K59" i="17"/>
  <c r="L59" i="17" s="1"/>
  <c r="Q59" i="17" s="1"/>
  <c r="R59" i="17" s="1"/>
  <c r="P102" i="5"/>
  <c r="P32" i="5"/>
  <c r="P124" i="5"/>
  <c r="P100" i="5"/>
  <c r="P125" i="5"/>
  <c r="P114" i="5"/>
  <c r="Q114" i="5" s="1"/>
  <c r="V114" i="5" s="1"/>
  <c r="W114" i="5" s="1"/>
  <c r="P84" i="5"/>
  <c r="Q84" i="5" s="1"/>
  <c r="P73" i="5"/>
  <c r="Q73" i="5" s="1"/>
  <c r="P65" i="5"/>
  <c r="Q65" i="5" s="1"/>
  <c r="V65" i="5" s="1"/>
  <c r="W65" i="5" s="1"/>
  <c r="P54" i="5"/>
  <c r="P42" i="5"/>
  <c r="Q42" i="5" s="1"/>
  <c r="P30" i="5"/>
  <c r="Q30" i="5" s="1"/>
  <c r="P19" i="5"/>
  <c r="Q19" i="5" s="1"/>
  <c r="P9" i="5"/>
  <c r="Q23" i="13"/>
  <c r="R23" i="13" s="1"/>
  <c r="K215" i="10"/>
  <c r="K217" i="10" s="1"/>
  <c r="K125" i="17"/>
  <c r="L125" i="17" s="1"/>
  <c r="Q125" i="17" s="1"/>
  <c r="R125" i="17" s="1"/>
  <c r="K120" i="17"/>
  <c r="L120" i="17" s="1"/>
  <c r="Q120" i="17" s="1"/>
  <c r="R120" i="17" s="1"/>
  <c r="K113" i="17"/>
  <c r="L113" i="17" s="1"/>
  <c r="Q113" i="17" s="1"/>
  <c r="R113" i="17" s="1"/>
  <c r="K109" i="17"/>
  <c r="K105" i="17"/>
  <c r="K101" i="17"/>
  <c r="K97" i="17"/>
  <c r="K93" i="17"/>
  <c r="L93" i="17" s="1"/>
  <c r="K89" i="17"/>
  <c r="K85" i="17"/>
  <c r="L85" i="17" s="1"/>
  <c r="K81" i="17"/>
  <c r="L81" i="17" s="1"/>
  <c r="Q81" i="17" s="1"/>
  <c r="R81" i="17" s="1"/>
  <c r="K78" i="17"/>
  <c r="L78" i="17" s="1"/>
  <c r="K74" i="17"/>
  <c r="L74" i="17" s="1"/>
  <c r="K70" i="17"/>
  <c r="L70" i="17" s="1"/>
  <c r="K66" i="17"/>
  <c r="K55" i="17"/>
  <c r="L55" i="17" s="1"/>
  <c r="K51" i="17"/>
  <c r="L51" i="17" s="1"/>
  <c r="K47" i="17"/>
  <c r="L47" i="17" s="1"/>
  <c r="K44" i="17"/>
  <c r="L44" i="17" s="1"/>
  <c r="Q44" i="17" s="1"/>
  <c r="R44" i="17" s="1"/>
  <c r="K40" i="17"/>
  <c r="L40" i="17" s="1"/>
  <c r="K36" i="17"/>
  <c r="L36" i="17" s="1"/>
  <c r="Q36" i="17" s="1"/>
  <c r="R36" i="17" s="1"/>
  <c r="K32" i="17"/>
  <c r="L32" i="17" s="1"/>
  <c r="K28" i="17"/>
  <c r="L28" i="17" s="1"/>
  <c r="K22" i="17"/>
  <c r="L22" i="17" s="1"/>
  <c r="K18" i="17"/>
  <c r="L18" i="17" s="1"/>
  <c r="K14" i="17"/>
  <c r="L14" i="17" s="1"/>
  <c r="K10" i="17"/>
  <c r="L10" i="17" s="1"/>
  <c r="Q10" i="17" s="1"/>
  <c r="R10" i="17" s="1"/>
  <c r="K123" i="17"/>
  <c r="K116" i="17"/>
  <c r="L116" i="17" s="1"/>
  <c r="Q116" i="17" s="1"/>
  <c r="R116" i="17" s="1"/>
  <c r="K58" i="17"/>
  <c r="L58" i="17" s="1"/>
  <c r="Q58" i="17" s="1"/>
  <c r="R58" i="17" s="1"/>
  <c r="P80" i="5"/>
  <c r="Q80" i="5" s="1"/>
  <c r="P71" i="5"/>
  <c r="Q71" i="5" s="1"/>
  <c r="P113" i="5"/>
  <c r="Q113" i="5" s="1"/>
  <c r="V113" i="5" s="1"/>
  <c r="W113" i="5" s="1"/>
  <c r="K184" i="10"/>
  <c r="K186" i="10" s="1"/>
  <c r="P121" i="5"/>
  <c r="Q121" i="5" s="1"/>
  <c r="V121" i="5" s="1"/>
  <c r="W121" i="5" s="1"/>
  <c r="P110" i="5"/>
  <c r="P82" i="5"/>
  <c r="Q82" i="5" s="1"/>
  <c r="V82" i="5" s="1"/>
  <c r="W82" i="5" s="1"/>
  <c r="K133" i="17"/>
  <c r="L133" i="17" s="1"/>
  <c r="Q133" i="17" s="1"/>
  <c r="R133" i="17" s="1"/>
  <c r="P62" i="5"/>
  <c r="Q62" i="5" s="1"/>
  <c r="P52" i="5"/>
  <c r="Q52" i="5" s="1"/>
  <c r="P40" i="5"/>
  <c r="Q40" i="5" s="1"/>
  <c r="V40" i="5" s="1"/>
  <c r="W40" i="5" s="1"/>
  <c r="P28" i="5"/>
  <c r="P95" i="5"/>
  <c r="Q95" i="5" s="1"/>
  <c r="P16" i="5"/>
  <c r="Q16" i="5" s="1"/>
  <c r="P8" i="5"/>
  <c r="Q8" i="5" s="1"/>
  <c r="V8" i="5" s="1"/>
  <c r="W8" i="5" s="1"/>
  <c r="P90" i="5"/>
  <c r="K130" i="17"/>
  <c r="L130" i="17" s="1"/>
  <c r="Q130" i="17" s="1"/>
  <c r="R130" i="17" s="1"/>
  <c r="P98" i="5"/>
  <c r="AN76" i="8"/>
  <c r="H112" i="10"/>
  <c r="K112" i="10"/>
  <c r="K114" i="10"/>
  <c r="H140" i="10"/>
  <c r="K140" i="10"/>
  <c r="H114" i="10"/>
  <c r="U77" i="8"/>
  <c r="Z77" i="8"/>
  <c r="U81" i="8"/>
  <c r="Z81" i="8"/>
  <c r="AI79" i="8"/>
  <c r="AN79" i="8"/>
  <c r="U78" i="8"/>
  <c r="Z78" i="8"/>
  <c r="U82" i="8"/>
  <c r="Z82" i="8"/>
  <c r="AI80" i="8"/>
  <c r="AN80" i="8"/>
  <c r="U79" i="8"/>
  <c r="Z79" i="8"/>
  <c r="AI77" i="8"/>
  <c r="AN77" i="8"/>
  <c r="AI81" i="8"/>
  <c r="AN81" i="8"/>
  <c r="U80" i="8"/>
  <c r="Z80" i="8"/>
  <c r="AI78" i="8"/>
  <c r="AN78" i="8"/>
  <c r="AI82" i="8"/>
  <c r="AN82" i="8"/>
  <c r="L266" i="14"/>
  <c r="G266" i="14"/>
  <c r="L265" i="14"/>
  <c r="F99" i="11"/>
  <c r="G99" i="11" s="1"/>
  <c r="Q44" i="12"/>
  <c r="R44" i="12" s="1"/>
  <c r="R47" i="12" s="1"/>
  <c r="F204" i="14"/>
  <c r="G204" i="14" s="1"/>
  <c r="G207" i="14" s="1"/>
  <c r="G208" i="14" s="1"/>
  <c r="G209" i="14" s="1"/>
  <c r="F137" i="14"/>
  <c r="G137" i="14" s="1"/>
  <c r="G140" i="14" s="1"/>
  <c r="G141" i="14" s="1"/>
  <c r="M116" i="17" s="1"/>
  <c r="F2232" i="11"/>
  <c r="G2232" i="11" s="1"/>
  <c r="G2235" i="11" s="1"/>
  <c r="G2236" i="11" s="1"/>
  <c r="M93" i="17" s="1"/>
  <c r="F2054" i="11"/>
  <c r="G2054" i="11" s="1"/>
  <c r="G2057" i="11" s="1"/>
  <c r="G2058" i="11" s="1"/>
  <c r="F1923" i="11"/>
  <c r="G1923" i="11" s="1"/>
  <c r="G1926" i="11" s="1"/>
  <c r="G1927" i="11" s="1"/>
  <c r="M78" i="17" s="1"/>
  <c r="F1580" i="11"/>
  <c r="G1580" i="11" s="1"/>
  <c r="G1583" i="11" s="1"/>
  <c r="G1584" i="11" s="1"/>
  <c r="M67" i="17" s="1"/>
  <c r="F1481" i="11"/>
  <c r="G1481" i="11" s="1"/>
  <c r="G1484" i="11" s="1"/>
  <c r="G1485" i="11" s="1"/>
  <c r="M64" i="17" s="1"/>
  <c r="F1817" i="11"/>
  <c r="G1817" i="11" s="1"/>
  <c r="G1820" i="11" s="1"/>
  <c r="F1785" i="11"/>
  <c r="G1785" i="11" s="1"/>
  <c r="G1786" i="11" s="1"/>
  <c r="G1787" i="11" s="1"/>
  <c r="M74" i="17" s="1"/>
  <c r="F169" i="14"/>
  <c r="G169" i="14" s="1"/>
  <c r="G172" i="14" s="1"/>
  <c r="F2265" i="11"/>
  <c r="G2265" i="11" s="1"/>
  <c r="G2268" i="11" s="1"/>
  <c r="G2269" i="11" s="1"/>
  <c r="M94" i="17" s="1"/>
  <c r="F2017" i="11"/>
  <c r="G2017" i="11" s="1"/>
  <c r="G2020" i="11" s="1"/>
  <c r="G2021" i="11" s="1"/>
  <c r="M83" i="17" s="1"/>
  <c r="F1888" i="11"/>
  <c r="G1888" i="11" s="1"/>
  <c r="G1891" i="11" s="1"/>
  <c r="G1892" i="11" s="1"/>
  <c r="M77" i="17" s="1"/>
  <c r="F1752" i="11"/>
  <c r="G1752" i="11" s="1"/>
  <c r="G1755" i="11" s="1"/>
  <c r="G1756" i="11" s="1"/>
  <c r="M72" i="17" s="1"/>
  <c r="F1681" i="11"/>
  <c r="G1681" i="11" s="1"/>
  <c r="G1684" i="11" s="1"/>
  <c r="G1685" i="11" s="1"/>
  <c r="M70" i="17" s="1"/>
  <c r="F1614" i="11"/>
  <c r="G1614" i="11" s="1"/>
  <c r="G1617" i="11" s="1"/>
  <c r="G1618" i="11" s="1"/>
  <c r="M68" i="17" s="1"/>
  <c r="F2154" i="11"/>
  <c r="G2154" i="11" s="1"/>
  <c r="G2157" i="11" s="1"/>
  <c r="G2158" i="11" s="1"/>
  <c r="M92" i="17" s="1"/>
  <c r="F1853" i="11"/>
  <c r="G1853" i="11" s="1"/>
  <c r="G1856" i="11" s="1"/>
  <c r="G1857" i="11" s="1"/>
  <c r="F1645" i="11"/>
  <c r="G1645" i="11" s="1"/>
  <c r="G1648" i="11" s="1"/>
  <c r="G1649" i="11" s="1"/>
  <c r="M69" i="17" s="1"/>
  <c r="F2299" i="11"/>
  <c r="G2299" i="11" s="1"/>
  <c r="G2302" i="11" s="1"/>
  <c r="G2303" i="11" s="1"/>
  <c r="F2121" i="11"/>
  <c r="G2121" i="11" s="1"/>
  <c r="G2124" i="11" s="1"/>
  <c r="G2125" i="11" s="1"/>
  <c r="M87" i="17" s="1"/>
  <c r="F1514" i="11"/>
  <c r="G1514" i="11" s="1"/>
  <c r="G1517" i="11" s="1"/>
  <c r="G1518" i="11" s="1"/>
  <c r="M65" i="17" s="1"/>
  <c r="F239" i="14"/>
  <c r="G239" i="14" s="1"/>
  <c r="G242" i="14" s="1"/>
  <c r="F168" i="11"/>
  <c r="G168" i="11" s="1"/>
  <c r="G171" i="11" s="1"/>
  <c r="G172" i="11" s="1"/>
  <c r="M11" i="17" s="1"/>
  <c r="F1716" i="11"/>
  <c r="G1716" i="11" s="1"/>
  <c r="G1719" i="11" s="1"/>
  <c r="G1720" i="11" s="1"/>
  <c r="G1984" i="11"/>
  <c r="F65" i="14"/>
  <c r="G65" i="14" s="1"/>
  <c r="G68" i="14" s="1"/>
  <c r="G69" i="14" s="1"/>
  <c r="M115" i="17" s="1"/>
  <c r="F2088" i="11"/>
  <c r="G2088" i="11" s="1"/>
  <c r="G2091" i="11" s="1"/>
  <c r="G2092" i="11" s="1"/>
  <c r="M86" i="17" s="1"/>
  <c r="F1954" i="11"/>
  <c r="G1954" i="11" s="1"/>
  <c r="G1957" i="11" s="1"/>
  <c r="G1958" i="11" s="1"/>
  <c r="M81" i="17" s="1"/>
  <c r="F1358" i="11"/>
  <c r="G1358" i="11" s="1"/>
  <c r="G1361" i="11" s="1"/>
  <c r="G1362" i="11" s="1"/>
  <c r="M59" i="17" s="1"/>
  <c r="F1390" i="11"/>
  <c r="G1390" i="11" s="1"/>
  <c r="G1393" i="11" s="1"/>
  <c r="G1394" i="11" s="1"/>
  <c r="R62" i="5" s="1"/>
  <c r="F1329" i="11"/>
  <c r="G1329" i="11" s="1"/>
  <c r="G1332" i="11" s="1"/>
  <c r="G1333" i="11" s="1"/>
  <c r="M58" i="17" s="1"/>
  <c r="F1297" i="11"/>
  <c r="G1297" i="11" s="1"/>
  <c r="G1300" i="11" s="1"/>
  <c r="F1229" i="11"/>
  <c r="G1229" i="11" s="1"/>
  <c r="G1232" i="11" s="1"/>
  <c r="G1233" i="11" s="1"/>
  <c r="M54" i="17" s="1"/>
  <c r="F1158" i="11"/>
  <c r="G1158" i="11" s="1"/>
  <c r="G1161" i="11" s="1"/>
  <c r="D862" i="11"/>
  <c r="F862" i="11" s="1"/>
  <c r="G862" i="11" s="1"/>
  <c r="G865" i="11" s="1"/>
  <c r="G866" i="11" s="1"/>
  <c r="D795" i="11"/>
  <c r="F795" i="11" s="1"/>
  <c r="G795" i="11" s="1"/>
  <c r="G798" i="11" s="1"/>
  <c r="G799" i="11" s="1"/>
  <c r="M38" i="17" s="1"/>
  <c r="D700" i="11"/>
  <c r="F700" i="11" s="1"/>
  <c r="G700" i="11" s="1"/>
  <c r="G703" i="11" s="1"/>
  <c r="G704" i="11" s="1"/>
  <c r="M33" i="17" s="1"/>
  <c r="F630" i="11"/>
  <c r="G630" i="11" s="1"/>
  <c r="G633" i="11" s="1"/>
  <c r="G634" i="11" s="1"/>
  <c r="F596" i="11"/>
  <c r="G596" i="11" s="1"/>
  <c r="G599" i="11" s="1"/>
  <c r="G600" i="11" s="1"/>
  <c r="M28" i="17" s="1"/>
  <c r="F1056" i="11"/>
  <c r="G1056" i="11" s="1"/>
  <c r="G1059" i="11" s="1"/>
  <c r="G1060" i="11" s="1"/>
  <c r="M49" i="17" s="1"/>
  <c r="F995" i="11"/>
  <c r="G995" i="11" s="1"/>
  <c r="G998" i="11" s="1"/>
  <c r="G999" i="11" s="1"/>
  <c r="M46" i="17" s="1"/>
  <c r="F965" i="11"/>
  <c r="G965" i="11" s="1"/>
  <c r="G968" i="11" s="1"/>
  <c r="G969" i="11" s="1"/>
  <c r="M44" i="17" s="1"/>
  <c r="F1124" i="11"/>
  <c r="G1124" i="11" s="1"/>
  <c r="G1127" i="11" s="1"/>
  <c r="F1089" i="11"/>
  <c r="G1089" i="11" s="1"/>
  <c r="G1092" i="11" s="1"/>
  <c r="G1093" i="11" s="1"/>
  <c r="M50" i="17" s="1"/>
  <c r="F1026" i="11"/>
  <c r="G1026" i="11" s="1"/>
  <c r="G1029" i="11" s="1"/>
  <c r="G1030" i="11" s="1"/>
  <c r="M47" i="17" s="1"/>
  <c r="D931" i="11"/>
  <c r="F931" i="11" s="1"/>
  <c r="G931" i="11" s="1"/>
  <c r="G934" i="11" s="1"/>
  <c r="G935" i="11" s="1"/>
  <c r="M42" i="17" s="1"/>
  <c r="F530" i="11"/>
  <c r="G530" i="11" s="1"/>
  <c r="G533" i="11" s="1"/>
  <c r="G534" i="11" s="1"/>
  <c r="M26" i="17" s="1"/>
  <c r="D897" i="11"/>
  <c r="F897" i="11" s="1"/>
  <c r="G897" i="11" s="1"/>
  <c r="G900" i="11" s="1"/>
  <c r="G901" i="11" s="1"/>
  <c r="D731" i="11"/>
  <c r="F731" i="11" s="1"/>
  <c r="G731" i="11" s="1"/>
  <c r="G734" i="11" s="1"/>
  <c r="G735" i="11" s="1"/>
  <c r="M35" i="17" s="1"/>
  <c r="F1265" i="11"/>
  <c r="G1265" i="11" s="1"/>
  <c r="G1268" i="11" s="1"/>
  <c r="G1269" i="11" s="1"/>
  <c r="M55" i="17" s="1"/>
  <c r="F665" i="11"/>
  <c r="G665" i="11" s="1"/>
  <c r="G668" i="11" s="1"/>
  <c r="G669" i="11" s="1"/>
  <c r="D827" i="11"/>
  <c r="F827" i="11" s="1"/>
  <c r="G827" i="11" s="1"/>
  <c r="G830" i="11" s="1"/>
  <c r="F97" i="12"/>
  <c r="G97" i="12" s="1"/>
  <c r="G100" i="12" s="1"/>
  <c r="BY53" i="8"/>
  <c r="U53" i="8"/>
  <c r="AI85" i="8"/>
  <c r="BK53" i="8"/>
  <c r="G53" i="8"/>
  <c r="G85" i="8"/>
  <c r="AI53" i="8"/>
  <c r="K26" i="10"/>
  <c r="J96" i="17" s="1"/>
  <c r="L96" i="17" s="1"/>
  <c r="U85" i="8"/>
  <c r="AW53" i="8"/>
  <c r="F365" i="11"/>
  <c r="G365" i="11" s="1"/>
  <c r="G368" i="11" s="1"/>
  <c r="G369" i="11" s="1"/>
  <c r="M19" i="17" s="1"/>
  <c r="F397" i="11"/>
  <c r="G397" i="11" s="1"/>
  <c r="G400" i="11" s="1"/>
  <c r="G401" i="11" s="1"/>
  <c r="M20" i="17" s="1"/>
  <c r="F461" i="11"/>
  <c r="G461" i="11" s="1"/>
  <c r="G464" i="11" s="1"/>
  <c r="G465" i="11" s="1"/>
  <c r="M22" i="17" s="1"/>
  <c r="F496" i="11"/>
  <c r="G496" i="11" s="1"/>
  <c r="G499" i="11" s="1"/>
  <c r="G500" i="11" s="1"/>
  <c r="F328" i="11"/>
  <c r="G328" i="11" s="1"/>
  <c r="G331" i="11" s="1"/>
  <c r="G332" i="11" s="1"/>
  <c r="M18" i="17" s="1"/>
  <c r="L1191" i="11"/>
  <c r="L418" i="11"/>
  <c r="G418" i="11"/>
  <c r="G420" i="11"/>
  <c r="L420" i="11"/>
  <c r="L424" i="11"/>
  <c r="G419" i="11"/>
  <c r="L419" i="11"/>
  <c r="G1539" i="11"/>
  <c r="L1539" i="11"/>
  <c r="G1538" i="11"/>
  <c r="L1538" i="11"/>
  <c r="G1537" i="11"/>
  <c r="L1537" i="11"/>
  <c r="G1535" i="11"/>
  <c r="L1535" i="11"/>
  <c r="G1532" i="11"/>
  <c r="L1532" i="11"/>
  <c r="G1533" i="11"/>
  <c r="L1533" i="11"/>
  <c r="G1534" i="11"/>
  <c r="L1534" i="11"/>
  <c r="K1542" i="11"/>
  <c r="L1542" i="11" s="1"/>
  <c r="G1189" i="11"/>
  <c r="L1189" i="11"/>
  <c r="G1187" i="11"/>
  <c r="L1187" i="11"/>
  <c r="G1186" i="11"/>
  <c r="L1186" i="11"/>
  <c r="G1185" i="11"/>
  <c r="L1185" i="11"/>
  <c r="G1184" i="11"/>
  <c r="L1184" i="11"/>
  <c r="G1183" i="11"/>
  <c r="L1183" i="11"/>
  <c r="G1182" i="11"/>
  <c r="L1182" i="11"/>
  <c r="G1181" i="11"/>
  <c r="L1181" i="11"/>
  <c r="G1179" i="11"/>
  <c r="L1179" i="11"/>
  <c r="G1178" i="11"/>
  <c r="L1178" i="11"/>
  <c r="L1192" i="11"/>
  <c r="L753" i="11"/>
  <c r="L754" i="11"/>
  <c r="L752" i="11"/>
  <c r="L751" i="11"/>
  <c r="L749" i="11"/>
  <c r="G549" i="11"/>
  <c r="L549" i="11"/>
  <c r="G552" i="11"/>
  <c r="L552" i="11"/>
  <c r="G554" i="11"/>
  <c r="L554" i="11"/>
  <c r="G550" i="11"/>
  <c r="L550" i="11"/>
  <c r="G553" i="11"/>
  <c r="L553" i="11"/>
  <c r="K557" i="11"/>
  <c r="L557" i="11" s="1"/>
  <c r="F556" i="11"/>
  <c r="F425" i="11"/>
  <c r="G425" i="11" s="1"/>
  <c r="L68" i="11"/>
  <c r="X334" i="14"/>
  <c r="T334" i="14"/>
  <c r="P262" i="14"/>
  <c r="R262" i="14" s="1"/>
  <c r="T262" i="14" s="1"/>
  <c r="L262" i="14"/>
  <c r="P258" i="14"/>
  <c r="L258" i="14"/>
  <c r="P263" i="14"/>
  <c r="R263" i="14" s="1"/>
  <c r="T263" i="14" s="1"/>
  <c r="L263" i="14"/>
  <c r="P259" i="14"/>
  <c r="L259" i="14"/>
  <c r="P264" i="14"/>
  <c r="R264" i="14" s="1"/>
  <c r="X264" i="14" s="1"/>
  <c r="L264" i="14"/>
  <c r="P260" i="14"/>
  <c r="R260" i="14" s="1"/>
  <c r="T260" i="14" s="1"/>
  <c r="L260" i="14"/>
  <c r="G257" i="14"/>
  <c r="P257" i="14"/>
  <c r="D762" i="11"/>
  <c r="F762" i="11" s="1"/>
  <c r="G762" i="11" s="1"/>
  <c r="F427" i="11"/>
  <c r="G427" i="11" s="1"/>
  <c r="F563" i="11"/>
  <c r="G563" i="11" s="1"/>
  <c r="K153" i="10"/>
  <c r="F367" i="14"/>
  <c r="G367" i="14" s="1"/>
  <c r="F296" i="11"/>
  <c r="G296" i="11" s="1"/>
  <c r="G299" i="11" s="1"/>
  <c r="G300" i="11" s="1"/>
  <c r="M16" i="17" s="1"/>
  <c r="F304" i="14"/>
  <c r="G304" i="14" s="1"/>
  <c r="G307" i="14" s="1"/>
  <c r="F265" i="11"/>
  <c r="G265" i="11" s="1"/>
  <c r="G268" i="11" s="1"/>
  <c r="G269" i="11" s="1"/>
  <c r="M15" i="17" s="1"/>
  <c r="F233" i="11"/>
  <c r="G233" i="11" s="1"/>
  <c r="G236" i="11" s="1"/>
  <c r="G237" i="11" s="1"/>
  <c r="M14" i="17" s="1"/>
  <c r="F201" i="11"/>
  <c r="G201" i="11" s="1"/>
  <c r="F133" i="11"/>
  <c r="G133" i="11" s="1"/>
  <c r="G136" i="11" s="1"/>
  <c r="F69" i="11"/>
  <c r="G69" i="11" s="1"/>
  <c r="G72" i="11" s="1"/>
  <c r="G73" i="11" s="1"/>
  <c r="M8" i="17" s="1"/>
  <c r="F268" i="14"/>
  <c r="G268" i="14" s="1"/>
  <c r="G29" i="14"/>
  <c r="G32" i="14" s="1"/>
  <c r="G33" i="14" s="1"/>
  <c r="F336" i="14"/>
  <c r="G336" i="14" s="1"/>
  <c r="F103" i="14"/>
  <c r="G103" i="14" s="1"/>
  <c r="F1197" i="11"/>
  <c r="G1197" i="11" s="1"/>
  <c r="F1548" i="11"/>
  <c r="G1548" i="11" s="1"/>
  <c r="G263" i="14"/>
  <c r="L257" i="14"/>
  <c r="G262" i="14"/>
  <c r="G258" i="14"/>
  <c r="G259" i="14"/>
  <c r="G264" i="14"/>
  <c r="G260" i="14"/>
  <c r="G87" i="11"/>
  <c r="L87" i="11"/>
  <c r="G91" i="11"/>
  <c r="L91" i="11"/>
  <c r="G89" i="11"/>
  <c r="L89" i="11"/>
  <c r="F95" i="11"/>
  <c r="G92" i="11"/>
  <c r="L92" i="11"/>
  <c r="F97" i="11"/>
  <c r="G97" i="11" s="1"/>
  <c r="G88" i="11"/>
  <c r="L88" i="11"/>
  <c r="G93" i="11"/>
  <c r="L93" i="11"/>
  <c r="E1180" i="11"/>
  <c r="F1180" i="11" s="1"/>
  <c r="F18" i="6"/>
  <c r="G18" i="6" s="1"/>
  <c r="K122" i="10"/>
  <c r="F71" i="12"/>
  <c r="G71" i="12" s="1"/>
  <c r="E90" i="11"/>
  <c r="F90" i="11" s="1"/>
  <c r="G146" i="10"/>
  <c r="K118" i="10"/>
  <c r="E551" i="11"/>
  <c r="F551" i="11" s="1"/>
  <c r="E1536" i="11"/>
  <c r="F1536" i="11" s="1"/>
  <c r="G119" i="10"/>
  <c r="G117" i="10"/>
  <c r="K148" i="10"/>
  <c r="K150" i="10"/>
  <c r="K149" i="10"/>
  <c r="K146" i="10"/>
  <c r="G65" i="12"/>
  <c r="F74" i="12"/>
  <c r="G548" i="11"/>
  <c r="G115" i="10"/>
  <c r="H113" i="10"/>
  <c r="G1177" i="11"/>
  <c r="F271" i="14"/>
  <c r="F106" i="14"/>
  <c r="F32" i="14"/>
  <c r="Q26" i="13"/>
  <c r="R13" i="13"/>
  <c r="AI76" i="8"/>
  <c r="U76" i="8"/>
  <c r="M82" i="17" l="1"/>
  <c r="G1985" i="11"/>
  <c r="G1128" i="11"/>
  <c r="G1129" i="11" s="1"/>
  <c r="Y14" i="17"/>
  <c r="Z14" i="17" s="1"/>
  <c r="Q14" i="17"/>
  <c r="R14" i="17" s="1"/>
  <c r="U14" i="17"/>
  <c r="V14" i="17" s="1"/>
  <c r="AD77" i="5"/>
  <c r="AE77" i="5" s="1"/>
  <c r="Z77" i="5"/>
  <c r="AA77" i="5" s="1"/>
  <c r="V77" i="5"/>
  <c r="W77" i="5" s="1"/>
  <c r="V75" i="5"/>
  <c r="W75" i="5" s="1"/>
  <c r="AD75" i="5"/>
  <c r="AE75" i="5" s="1"/>
  <c r="Z75" i="5"/>
  <c r="AA75" i="5" s="1"/>
  <c r="V66" i="5"/>
  <c r="W66" i="5" s="1"/>
  <c r="Z66" i="5"/>
  <c r="AA66" i="5" s="1"/>
  <c r="AD66" i="5"/>
  <c r="AE66" i="5" s="1"/>
  <c r="Q22" i="17"/>
  <c r="R22" i="17" s="1"/>
  <c r="U22" i="17"/>
  <c r="V22" i="17" s="1"/>
  <c r="Y22" i="17"/>
  <c r="Z22" i="17" s="1"/>
  <c r="Q71" i="17"/>
  <c r="R71" i="17" s="1"/>
  <c r="U71" i="17"/>
  <c r="V71" i="17" s="1"/>
  <c r="Y71" i="17"/>
  <c r="Z71" i="17" s="1"/>
  <c r="V41" i="5"/>
  <c r="W41" i="5" s="1"/>
  <c r="Z41" i="5"/>
  <c r="AA41" i="5" s="1"/>
  <c r="AD41" i="5"/>
  <c r="AE41" i="5" s="1"/>
  <c r="V86" i="5"/>
  <c r="W86" i="5" s="1"/>
  <c r="AD86" i="5"/>
  <c r="AE86" i="5" s="1"/>
  <c r="Z86" i="5"/>
  <c r="AA86" i="5" s="1"/>
  <c r="Q50" i="17"/>
  <c r="R50" i="17" s="1"/>
  <c r="U50" i="17"/>
  <c r="V50" i="17" s="1"/>
  <c r="Y50" i="17"/>
  <c r="Z50" i="17" s="1"/>
  <c r="Y92" i="17"/>
  <c r="Z92" i="17" s="1"/>
  <c r="U92" i="17"/>
  <c r="V92" i="17" s="1"/>
  <c r="K248" i="10"/>
  <c r="R44" i="5" s="1"/>
  <c r="AD80" i="5"/>
  <c r="AE80" i="5" s="1"/>
  <c r="Z80" i="5"/>
  <c r="AA80" i="5" s="1"/>
  <c r="U28" i="17"/>
  <c r="V28" i="17" s="1"/>
  <c r="Q28" i="17"/>
  <c r="R28" i="17" s="1"/>
  <c r="Y28" i="17"/>
  <c r="Z28" i="17" s="1"/>
  <c r="AD84" i="5"/>
  <c r="AE84" i="5" s="1"/>
  <c r="V84" i="5"/>
  <c r="W84" i="5" s="1"/>
  <c r="Z84" i="5"/>
  <c r="AA84" i="5" s="1"/>
  <c r="V33" i="5"/>
  <c r="W33" i="5" s="1"/>
  <c r="Z33" i="5"/>
  <c r="AA33" i="5" s="1"/>
  <c r="AD33" i="5"/>
  <c r="AE33" i="5" s="1"/>
  <c r="U79" i="17"/>
  <c r="V79" i="17" s="1"/>
  <c r="Y79" i="17"/>
  <c r="Z79" i="17" s="1"/>
  <c r="V78" i="5"/>
  <c r="W78" i="5" s="1"/>
  <c r="Z78" i="5"/>
  <c r="AA78" i="5" s="1"/>
  <c r="AD78" i="5"/>
  <c r="AE78" i="5" s="1"/>
  <c r="AD72" i="5"/>
  <c r="AE72" i="5" s="1"/>
  <c r="V72" i="5"/>
  <c r="W72" i="5" s="1"/>
  <c r="Z72" i="5"/>
  <c r="AA72" i="5" s="1"/>
  <c r="Y75" i="17"/>
  <c r="Z75" i="17" s="1"/>
  <c r="Q75" i="17"/>
  <c r="R75" i="17" s="1"/>
  <c r="U75" i="17"/>
  <c r="V75" i="17" s="1"/>
  <c r="Q54" i="17"/>
  <c r="R54" i="17" s="1"/>
  <c r="Y54" i="17"/>
  <c r="Z54" i="17" s="1"/>
  <c r="U54" i="17"/>
  <c r="V54" i="17" s="1"/>
  <c r="U85" i="17"/>
  <c r="V85" i="17" s="1"/>
  <c r="Y85" i="17"/>
  <c r="Z85" i="17" s="1"/>
  <c r="Q85" i="17"/>
  <c r="R85" i="17" s="1"/>
  <c r="V52" i="5"/>
  <c r="W52" i="5" s="1"/>
  <c r="AD52" i="5"/>
  <c r="AE52" i="5" s="1"/>
  <c r="Z52" i="5"/>
  <c r="AA52" i="5" s="1"/>
  <c r="U18" i="17"/>
  <c r="V18" i="17" s="1"/>
  <c r="Y18" i="17"/>
  <c r="Z18" i="17" s="1"/>
  <c r="Q18" i="17"/>
  <c r="R18" i="17" s="1"/>
  <c r="Y87" i="17"/>
  <c r="Z87" i="17" s="1"/>
  <c r="Q87" i="17"/>
  <c r="R87" i="17" s="1"/>
  <c r="U87" i="17"/>
  <c r="V87" i="17" s="1"/>
  <c r="Q16" i="17"/>
  <c r="R16" i="17" s="1"/>
  <c r="V16" i="17"/>
  <c r="Q47" i="17"/>
  <c r="R47" i="17" s="1"/>
  <c r="U47" i="17"/>
  <c r="V47" i="17" s="1"/>
  <c r="Y47" i="17"/>
  <c r="Z47" i="17" s="1"/>
  <c r="V87" i="5"/>
  <c r="W87" i="5" s="1"/>
  <c r="Z87" i="5"/>
  <c r="AA87" i="5" s="1"/>
  <c r="Z51" i="5"/>
  <c r="AA51" i="5" s="1"/>
  <c r="AD51" i="5"/>
  <c r="AE51" i="5" s="1"/>
  <c r="V51" i="5"/>
  <c r="W51" i="5" s="1"/>
  <c r="V62" i="5"/>
  <c r="W62" i="5" s="1"/>
  <c r="AD62" i="5"/>
  <c r="AE62" i="5" s="1"/>
  <c r="Z62" i="5"/>
  <c r="AA62" i="5" s="1"/>
  <c r="Y93" i="17"/>
  <c r="Z93" i="17" s="1"/>
  <c r="Q93" i="17"/>
  <c r="R93" i="17" s="1"/>
  <c r="U93" i="17"/>
  <c r="V93" i="17" s="1"/>
  <c r="V73" i="5"/>
  <c r="W73" i="5" s="1"/>
  <c r="AD73" i="5"/>
  <c r="AE73" i="5" s="1"/>
  <c r="Z73" i="5"/>
  <c r="AA73" i="5" s="1"/>
  <c r="V53" i="5"/>
  <c r="W53" i="5" s="1"/>
  <c r="Z53" i="5"/>
  <c r="AA53" i="5" s="1"/>
  <c r="AD53" i="5"/>
  <c r="AE53" i="5" s="1"/>
  <c r="Z25" i="5"/>
  <c r="AA25" i="5" s="1"/>
  <c r="AD25" i="5"/>
  <c r="AE25" i="5" s="1"/>
  <c r="V25" i="5"/>
  <c r="W25" i="5" s="1"/>
  <c r="V16" i="5"/>
  <c r="W16" i="5" s="1"/>
  <c r="AA16" i="5"/>
  <c r="Y74" i="17"/>
  <c r="Z74" i="17" s="1"/>
  <c r="Q74" i="17"/>
  <c r="R74" i="17" s="1"/>
  <c r="U74" i="17"/>
  <c r="V74" i="17" s="1"/>
  <c r="V19" i="5"/>
  <c r="W19" i="5" s="1"/>
  <c r="AD19" i="5"/>
  <c r="AE19" i="5" s="1"/>
  <c r="Z19" i="5"/>
  <c r="AA19" i="5" s="1"/>
  <c r="Q19" i="17"/>
  <c r="R19" i="17" s="1"/>
  <c r="Y19" i="17"/>
  <c r="Z19" i="17" s="1"/>
  <c r="U19" i="17"/>
  <c r="V19" i="17" s="1"/>
  <c r="AD36" i="5"/>
  <c r="AE36" i="5" s="1"/>
  <c r="V36" i="5"/>
  <c r="W36" i="5" s="1"/>
  <c r="Z36" i="5"/>
  <c r="AA36" i="5" s="1"/>
  <c r="Q94" i="17"/>
  <c r="R94" i="17" s="1"/>
  <c r="Y94" i="17"/>
  <c r="Z94" i="17" s="1"/>
  <c r="U94" i="17"/>
  <c r="V94" i="17" s="1"/>
  <c r="V14" i="5"/>
  <c r="W14" i="5" s="1"/>
  <c r="Z14" i="5"/>
  <c r="AA14" i="5" s="1"/>
  <c r="AD14" i="5"/>
  <c r="AE14" i="5" s="1"/>
  <c r="V94" i="5"/>
  <c r="W94" i="5" s="1"/>
  <c r="AD94" i="5"/>
  <c r="AE94" i="5" s="1"/>
  <c r="Z94" i="5"/>
  <c r="AA94" i="5" s="1"/>
  <c r="Q51" i="17"/>
  <c r="R51" i="17" s="1"/>
  <c r="U51" i="17"/>
  <c r="V51" i="17" s="1"/>
  <c r="Y51" i="17"/>
  <c r="Z51" i="17" s="1"/>
  <c r="Q86" i="17"/>
  <c r="R86" i="17" s="1"/>
  <c r="U86" i="17"/>
  <c r="V86" i="17" s="1"/>
  <c r="U83" i="17"/>
  <c r="V83" i="17" s="1"/>
  <c r="Y83" i="17"/>
  <c r="Z83" i="17" s="1"/>
  <c r="Q83" i="17"/>
  <c r="R83" i="17" s="1"/>
  <c r="Y55" i="17"/>
  <c r="Z55" i="17" s="1"/>
  <c r="U55" i="17"/>
  <c r="V55" i="17" s="1"/>
  <c r="Q55" i="17"/>
  <c r="R55" i="17" s="1"/>
  <c r="Z96" i="5"/>
  <c r="AA96" i="5" s="1"/>
  <c r="V96" i="5"/>
  <c r="W96" i="5" s="1"/>
  <c r="AD96" i="5"/>
  <c r="AE96" i="5" s="1"/>
  <c r="U42" i="17"/>
  <c r="V42" i="17" s="1"/>
  <c r="Q42" i="17"/>
  <c r="R42" i="17" s="1"/>
  <c r="Y42" i="17"/>
  <c r="Z42" i="17" s="1"/>
  <c r="AD69" i="5"/>
  <c r="AE69" i="5" s="1"/>
  <c r="Z69" i="5"/>
  <c r="AA69" i="5" s="1"/>
  <c r="V69" i="5"/>
  <c r="W69" i="5" s="1"/>
  <c r="Q70" i="17"/>
  <c r="R70" i="17" s="1"/>
  <c r="U70" i="17"/>
  <c r="V70" i="17" s="1"/>
  <c r="Y70" i="17"/>
  <c r="Z70" i="17" s="1"/>
  <c r="V44" i="5"/>
  <c r="W44" i="5" s="1"/>
  <c r="AD44" i="5"/>
  <c r="AE44" i="5" s="1"/>
  <c r="Z44" i="5"/>
  <c r="AA44" i="5" s="1"/>
  <c r="Q61" i="17"/>
  <c r="R61" i="17" s="1"/>
  <c r="Y61" i="17"/>
  <c r="Z61" i="17" s="1"/>
  <c r="U61" i="17"/>
  <c r="V61" i="17" s="1"/>
  <c r="Q126" i="5"/>
  <c r="V126" i="5" s="1"/>
  <c r="W126" i="5" s="1"/>
  <c r="V95" i="5"/>
  <c r="W95" i="5" s="1"/>
  <c r="Z95" i="5"/>
  <c r="AA95" i="5" s="1"/>
  <c r="AD95" i="5"/>
  <c r="AE95" i="5" s="1"/>
  <c r="U40" i="17"/>
  <c r="V40" i="17" s="1"/>
  <c r="Y40" i="17"/>
  <c r="Z40" i="17" s="1"/>
  <c r="Q40" i="17"/>
  <c r="R40" i="17" s="1"/>
  <c r="Q78" i="17"/>
  <c r="R78" i="17" s="1"/>
  <c r="U78" i="17"/>
  <c r="V78" i="17" s="1"/>
  <c r="Y78" i="17"/>
  <c r="Z78" i="17" s="1"/>
  <c r="AD30" i="5"/>
  <c r="AE30" i="5" s="1"/>
  <c r="V30" i="5"/>
  <c r="W30" i="5" s="1"/>
  <c r="Z30" i="5"/>
  <c r="AA30" i="5" s="1"/>
  <c r="U29" i="17"/>
  <c r="V29" i="17" s="1"/>
  <c r="Y29" i="17"/>
  <c r="Z29" i="17" s="1"/>
  <c r="Q29" i="17"/>
  <c r="R29" i="17" s="1"/>
  <c r="AD34" i="5"/>
  <c r="AE34" i="5" s="1"/>
  <c r="V34" i="5"/>
  <c r="W34" i="5" s="1"/>
  <c r="Z34" i="5"/>
  <c r="AA34" i="5" s="1"/>
  <c r="V48" i="5"/>
  <c r="W48" i="5" s="1"/>
  <c r="AD48" i="5"/>
  <c r="AE48" i="5" s="1"/>
  <c r="Z48" i="5"/>
  <c r="AA48" i="5" s="1"/>
  <c r="Q26" i="17"/>
  <c r="R26" i="17" s="1"/>
  <c r="U26" i="17"/>
  <c r="V26" i="17" s="1"/>
  <c r="Y26" i="17"/>
  <c r="Z26" i="17" s="1"/>
  <c r="U68" i="17"/>
  <c r="V68" i="17" s="1"/>
  <c r="Q68" i="17"/>
  <c r="R68" i="17" s="1"/>
  <c r="Y68" i="17"/>
  <c r="Z68" i="17" s="1"/>
  <c r="U33" i="17"/>
  <c r="V33" i="17" s="1"/>
  <c r="Q33" i="17"/>
  <c r="R33" i="17" s="1"/>
  <c r="Y33" i="17"/>
  <c r="Z33" i="17" s="1"/>
  <c r="W26" i="5"/>
  <c r="AD26" i="5"/>
  <c r="AE26" i="5" s="1"/>
  <c r="Z26" i="5"/>
  <c r="AA26" i="5" s="1"/>
  <c r="Z15" i="5"/>
  <c r="AA15" i="5" s="1"/>
  <c r="V15" i="5"/>
  <c r="W15" i="5" s="1"/>
  <c r="AD15" i="5"/>
  <c r="AE15" i="5" s="1"/>
  <c r="AC21" i="12"/>
  <c r="U35" i="17"/>
  <c r="V35" i="17" s="1"/>
  <c r="Q35" i="17"/>
  <c r="R35" i="17" s="1"/>
  <c r="Y35" i="17"/>
  <c r="Z35" i="17" s="1"/>
  <c r="K187" i="10"/>
  <c r="R25" i="5" s="1"/>
  <c r="Z71" i="5"/>
  <c r="AA71" i="5" s="1"/>
  <c r="AD71" i="5"/>
  <c r="AE71" i="5" s="1"/>
  <c r="V71" i="5"/>
  <c r="W71" i="5" s="1"/>
  <c r="K218" i="10"/>
  <c r="R85" i="5" s="1"/>
  <c r="V88" i="5"/>
  <c r="W88" i="5" s="1"/>
  <c r="AD88" i="5"/>
  <c r="AE88" i="5" s="1"/>
  <c r="Z88" i="5"/>
  <c r="AA88" i="5" s="1"/>
  <c r="K151" i="10"/>
  <c r="U32" i="17"/>
  <c r="V32" i="17" s="1"/>
  <c r="Y32" i="17"/>
  <c r="Z32" i="17" s="1"/>
  <c r="Q32" i="17"/>
  <c r="R32" i="17" s="1"/>
  <c r="V22" i="5"/>
  <c r="W22" i="5" s="1"/>
  <c r="AD22" i="5"/>
  <c r="AE22" i="5" s="1"/>
  <c r="Z22" i="5"/>
  <c r="AA22" i="5" s="1"/>
  <c r="Q53" i="17"/>
  <c r="R53" i="17" s="1"/>
  <c r="Y53" i="17"/>
  <c r="Z53" i="17" s="1"/>
  <c r="U53" i="17"/>
  <c r="V53" i="17" s="1"/>
  <c r="U95" i="17"/>
  <c r="V95" i="17" s="1"/>
  <c r="Y95" i="17"/>
  <c r="Z95" i="17" s="1"/>
  <c r="Q95" i="17"/>
  <c r="R95" i="17" s="1"/>
  <c r="U11" i="17"/>
  <c r="V11" i="17" s="1"/>
  <c r="Q11" i="17"/>
  <c r="R11" i="17" s="1"/>
  <c r="Y11" i="17"/>
  <c r="Z11" i="17" s="1"/>
  <c r="Z93" i="5"/>
  <c r="AA93" i="5" s="1"/>
  <c r="AD93" i="5"/>
  <c r="AE93" i="5" s="1"/>
  <c r="AD79" i="5"/>
  <c r="AE79" i="5" s="1"/>
  <c r="V79" i="5"/>
  <c r="W79" i="5" s="1"/>
  <c r="Z79" i="5"/>
  <c r="AA79" i="5" s="1"/>
  <c r="U65" i="17"/>
  <c r="V65" i="17" s="1"/>
  <c r="Y65" i="17"/>
  <c r="Z65" i="17" s="1"/>
  <c r="Q65" i="17"/>
  <c r="R65" i="17" s="1"/>
  <c r="Z42" i="5"/>
  <c r="AA42" i="5" s="1"/>
  <c r="AD42" i="5"/>
  <c r="AE42" i="5" s="1"/>
  <c r="V42" i="5"/>
  <c r="W42" i="5" s="1"/>
  <c r="V18" i="5"/>
  <c r="W18" i="5" s="1"/>
  <c r="Z18" i="5"/>
  <c r="AA18" i="5" s="1"/>
  <c r="AD18" i="5"/>
  <c r="AE18" i="5" s="1"/>
  <c r="Q56" i="17"/>
  <c r="R56" i="17" s="1"/>
  <c r="Y56" i="17"/>
  <c r="Z56" i="17" s="1"/>
  <c r="U56" i="17"/>
  <c r="V56" i="17" s="1"/>
  <c r="V57" i="5"/>
  <c r="W57" i="5" s="1"/>
  <c r="Z57" i="5"/>
  <c r="AA57" i="5" s="1"/>
  <c r="AD57" i="5"/>
  <c r="AE57" i="5" s="1"/>
  <c r="Y72" i="17"/>
  <c r="Z72" i="17" s="1"/>
  <c r="Q72" i="17"/>
  <c r="R72" i="17" s="1"/>
  <c r="U72" i="17"/>
  <c r="V72" i="17" s="1"/>
  <c r="U41" i="17"/>
  <c r="V41" i="17" s="1"/>
  <c r="Q41" i="17"/>
  <c r="R41" i="17" s="1"/>
  <c r="Y41" i="17"/>
  <c r="Z41" i="17" s="1"/>
  <c r="AD11" i="5"/>
  <c r="AE11" i="5" s="1"/>
  <c r="V11" i="5"/>
  <c r="W11" i="5" s="1"/>
  <c r="Z11" i="5"/>
  <c r="AA11" i="5" s="1"/>
  <c r="Y15" i="17"/>
  <c r="Z15" i="17" s="1"/>
  <c r="U15" i="17"/>
  <c r="V15" i="17" s="1"/>
  <c r="Q15" i="17"/>
  <c r="R15" i="17" s="1"/>
  <c r="AD27" i="5"/>
  <c r="AE27" i="5" s="1"/>
  <c r="V27" i="5"/>
  <c r="W27" i="5" s="1"/>
  <c r="Z27" i="5"/>
  <c r="AA27" i="5" s="1"/>
  <c r="Y77" i="17"/>
  <c r="Z77" i="17" s="1"/>
  <c r="Q77" i="17"/>
  <c r="R77" i="17" s="1"/>
  <c r="U77" i="17"/>
  <c r="V77" i="17" s="1"/>
  <c r="V29" i="5"/>
  <c r="W29" i="5" s="1"/>
  <c r="AD29" i="5"/>
  <c r="AE29" i="5" s="1"/>
  <c r="Z29" i="5"/>
  <c r="AA29" i="5" s="1"/>
  <c r="U76" i="17"/>
  <c r="V76" i="17" s="1"/>
  <c r="Y76" i="17"/>
  <c r="Z76" i="17" s="1"/>
  <c r="Q76" i="17"/>
  <c r="R76" i="17" s="1"/>
  <c r="V43" i="5"/>
  <c r="W43" i="5" s="1"/>
  <c r="AD43" i="5"/>
  <c r="AE43" i="5" s="1"/>
  <c r="Z43" i="5"/>
  <c r="AA43" i="5" s="1"/>
  <c r="Q52" i="17"/>
  <c r="R52" i="17" s="1"/>
  <c r="Y52" i="17"/>
  <c r="Z52" i="17" s="1"/>
  <c r="U52" i="17"/>
  <c r="V52" i="17" s="1"/>
  <c r="V55" i="5"/>
  <c r="W55" i="5" s="1"/>
  <c r="AD55" i="5"/>
  <c r="AE55" i="5" s="1"/>
  <c r="Z55" i="5"/>
  <c r="AA55" i="5" s="1"/>
  <c r="Y25" i="17"/>
  <c r="Z25" i="17" s="1"/>
  <c r="U25" i="17"/>
  <c r="V25" i="17" s="1"/>
  <c r="R25" i="17"/>
  <c r="AD56" i="5"/>
  <c r="AE56" i="5" s="1"/>
  <c r="Z56" i="5"/>
  <c r="AA56" i="5" s="1"/>
  <c r="V56" i="5"/>
  <c r="W56" i="5" s="1"/>
  <c r="U43" i="17"/>
  <c r="V43" i="17" s="1"/>
  <c r="Q43" i="17"/>
  <c r="R43" i="17" s="1"/>
  <c r="Q84" i="17"/>
  <c r="R84" i="17" s="1"/>
  <c r="U84" i="17"/>
  <c r="V84" i="17" s="1"/>
  <c r="L126" i="17"/>
  <c r="Q126" i="17" s="1"/>
  <c r="R126" i="17" s="1"/>
  <c r="G1301" i="11"/>
  <c r="M56" i="17" s="1"/>
  <c r="K120" i="10"/>
  <c r="AN83" i="8"/>
  <c r="Z83" i="8"/>
  <c r="Y96" i="17"/>
  <c r="Z96" i="17" s="1"/>
  <c r="Q96" i="17"/>
  <c r="R96" i="17" s="1"/>
  <c r="U96" i="17"/>
  <c r="V96" i="17" s="1"/>
  <c r="U83" i="8"/>
  <c r="O123" i="5" s="1"/>
  <c r="Q123" i="5" s="1"/>
  <c r="V123" i="5" s="1"/>
  <c r="W123" i="5" s="1"/>
  <c r="G243" i="14"/>
  <c r="G173" i="14"/>
  <c r="O97" i="5"/>
  <c r="Q97" i="5" s="1"/>
  <c r="G137" i="11"/>
  <c r="R18" i="5"/>
  <c r="R48" i="5"/>
  <c r="G1031" i="11"/>
  <c r="R55" i="5"/>
  <c r="G116" i="8"/>
  <c r="G119" i="8" s="1"/>
  <c r="F119" i="8"/>
  <c r="G831" i="11"/>
  <c r="R51" i="5"/>
  <c r="R50" i="5"/>
  <c r="R39" i="5"/>
  <c r="R82" i="5"/>
  <c r="G1721" i="11"/>
  <c r="R88" i="5"/>
  <c r="R93" i="5"/>
  <c r="R78" i="5"/>
  <c r="R75" i="5"/>
  <c r="G1788" i="11"/>
  <c r="R79" i="5"/>
  <c r="R19" i="5"/>
  <c r="G370" i="11"/>
  <c r="R36" i="5"/>
  <c r="R34" i="5"/>
  <c r="G705" i="11"/>
  <c r="R83" i="5"/>
  <c r="R68" i="5"/>
  <c r="R22" i="5"/>
  <c r="G670" i="11"/>
  <c r="R27" i="5"/>
  <c r="R29" i="5"/>
  <c r="R59" i="5"/>
  <c r="R87" i="5"/>
  <c r="R69" i="5"/>
  <c r="G1619" i="11"/>
  <c r="R84" i="5"/>
  <c r="G1821" i="11"/>
  <c r="Q76" i="5"/>
  <c r="G2059" i="11"/>
  <c r="R48" i="12"/>
  <c r="G101" i="12"/>
  <c r="G102" i="12" s="1"/>
  <c r="R47" i="5"/>
  <c r="G1000" i="11"/>
  <c r="R60" i="5"/>
  <c r="G1363" i="11"/>
  <c r="R66" i="5"/>
  <c r="R73" i="5"/>
  <c r="G1757" i="11"/>
  <c r="R117" i="5"/>
  <c r="G142" i="14"/>
  <c r="G370" i="14"/>
  <c r="G371" i="14" s="1"/>
  <c r="M127" i="17" s="1"/>
  <c r="R20" i="5"/>
  <c r="G402" i="11"/>
  <c r="R56" i="5"/>
  <c r="R43" i="5"/>
  <c r="G936" i="11"/>
  <c r="R45" i="5"/>
  <c r="G1162" i="11"/>
  <c r="R116" i="5"/>
  <c r="R70" i="5"/>
  <c r="R71" i="5"/>
  <c r="R95" i="5"/>
  <c r="G2270" i="11"/>
  <c r="R65" i="5"/>
  <c r="R94" i="5"/>
  <c r="G2237" i="11"/>
  <c r="L97" i="11"/>
  <c r="L556" i="11"/>
  <c r="G556" i="11"/>
  <c r="L95" i="11"/>
  <c r="G95" i="11"/>
  <c r="R8" i="5"/>
  <c r="G106" i="14"/>
  <c r="G107" i="14" s="1"/>
  <c r="M114" i="17" s="1"/>
  <c r="L425" i="11"/>
  <c r="G1536" i="11"/>
  <c r="G1547" i="11" s="1"/>
  <c r="L1536" i="11"/>
  <c r="L1547" i="11" s="1"/>
  <c r="G1180" i="11"/>
  <c r="G1196" i="11" s="1"/>
  <c r="O54" i="5" s="1"/>
  <c r="Q54" i="5" s="1"/>
  <c r="L1180" i="11"/>
  <c r="L1194" i="11"/>
  <c r="G765" i="11"/>
  <c r="G766" i="11" s="1"/>
  <c r="M36" i="17" s="1"/>
  <c r="L750" i="11"/>
  <c r="G551" i="11"/>
  <c r="L551" i="11"/>
  <c r="K559" i="11"/>
  <c r="L559" i="11" s="1"/>
  <c r="G270" i="11"/>
  <c r="O15" i="17" s="1"/>
  <c r="R11" i="5"/>
  <c r="G204" i="11"/>
  <c r="G301" i="11"/>
  <c r="R16" i="5"/>
  <c r="G238" i="11"/>
  <c r="R14" i="5"/>
  <c r="AI83" i="8"/>
  <c r="AH88" i="8"/>
  <c r="T88" i="8"/>
  <c r="G339" i="14"/>
  <c r="X263" i="14"/>
  <c r="X262" i="14"/>
  <c r="T264" i="14"/>
  <c r="G308" i="14"/>
  <c r="M125" i="17" s="1"/>
  <c r="R259" i="14"/>
  <c r="T259" i="14" s="1"/>
  <c r="R258" i="14"/>
  <c r="X258" i="14" s="1"/>
  <c r="X260" i="14"/>
  <c r="P267" i="14"/>
  <c r="R257" i="14"/>
  <c r="G267" i="14"/>
  <c r="L267" i="14"/>
  <c r="F102" i="11"/>
  <c r="G90" i="11"/>
  <c r="L90" i="11"/>
  <c r="F1200" i="11"/>
  <c r="F1551" i="11"/>
  <c r="F765" i="11"/>
  <c r="F566" i="11"/>
  <c r="G70" i="12"/>
  <c r="M113" i="17"/>
  <c r="K249" i="10" l="1"/>
  <c r="T44" i="5" s="1"/>
  <c r="AB44" i="5" s="1"/>
  <c r="K188" i="10"/>
  <c r="T25" i="5" s="1"/>
  <c r="AB25" i="5" s="1"/>
  <c r="R57" i="5"/>
  <c r="O23" i="5"/>
  <c r="Q23" i="5" s="1"/>
  <c r="V23" i="5" s="1"/>
  <c r="W23" i="5" s="1"/>
  <c r="K219" i="10"/>
  <c r="T85" i="5" s="1"/>
  <c r="K155" i="10"/>
  <c r="M79" i="17"/>
  <c r="R80" i="5"/>
  <c r="G271" i="14"/>
  <c r="G272" i="14" s="1"/>
  <c r="J124" i="17"/>
  <c r="L124" i="17" s="1"/>
  <c r="Q124" i="17" s="1"/>
  <c r="R124" i="17" s="1"/>
  <c r="O125" i="5"/>
  <c r="Q125" i="5" s="1"/>
  <c r="V125" i="5" s="1"/>
  <c r="W125" i="5" s="1"/>
  <c r="AC22" i="12"/>
  <c r="G1302" i="11"/>
  <c r="O56" i="17" s="1"/>
  <c r="U88" i="8"/>
  <c r="U89" i="8" s="1"/>
  <c r="R123" i="5" s="1"/>
  <c r="J122" i="17"/>
  <c r="L122" i="17" s="1"/>
  <c r="Q122" i="17" s="1"/>
  <c r="R122" i="17" s="1"/>
  <c r="V54" i="5"/>
  <c r="W54" i="5" s="1"/>
  <c r="Z54" i="5"/>
  <c r="AA54" i="5" s="1"/>
  <c r="AD54" i="5"/>
  <c r="AE54" i="5" s="1"/>
  <c r="AD97" i="5"/>
  <c r="AE97" i="5" s="1"/>
  <c r="Z97" i="5"/>
  <c r="AA97" i="5" s="1"/>
  <c r="V97" i="5"/>
  <c r="W97" i="5" s="1"/>
  <c r="T52" i="5"/>
  <c r="AB52" i="5" s="1"/>
  <c r="O51" i="17"/>
  <c r="J66" i="17"/>
  <c r="L66" i="17" s="1"/>
  <c r="O67" i="5"/>
  <c r="Q67" i="5" s="1"/>
  <c r="T95" i="5"/>
  <c r="AB95" i="5" s="1"/>
  <c r="O94" i="17"/>
  <c r="R30" i="5"/>
  <c r="M29" i="17"/>
  <c r="T117" i="5"/>
  <c r="X117" i="5" s="1"/>
  <c r="O116" i="17"/>
  <c r="S116" i="17" s="1"/>
  <c r="R31" i="5"/>
  <c r="M30" i="17"/>
  <c r="R76" i="5"/>
  <c r="M75" i="17"/>
  <c r="G2304" i="11"/>
  <c r="M95" i="17"/>
  <c r="T33" i="5"/>
  <c r="X33" i="5" s="1"/>
  <c r="O32" i="17"/>
  <c r="T19" i="5"/>
  <c r="X19" i="5" s="1"/>
  <c r="O19" i="17"/>
  <c r="T72" i="5"/>
  <c r="X72" i="5" s="1"/>
  <c r="O71" i="17"/>
  <c r="R42" i="5"/>
  <c r="M41" i="17"/>
  <c r="R26" i="5"/>
  <c r="M25" i="17"/>
  <c r="M119" i="17"/>
  <c r="R120" i="5"/>
  <c r="T14" i="5"/>
  <c r="X14" i="5" s="1"/>
  <c r="O14" i="17"/>
  <c r="T94" i="5"/>
  <c r="X94" i="5" s="1"/>
  <c r="O93" i="17"/>
  <c r="M61" i="17"/>
  <c r="T20" i="5"/>
  <c r="X20" i="5" s="1"/>
  <c r="O20" i="17"/>
  <c r="S20" i="17" s="1"/>
  <c r="T60" i="5"/>
  <c r="X60" i="5" s="1"/>
  <c r="O59" i="17"/>
  <c r="S59" i="17" s="1"/>
  <c r="T86" i="5"/>
  <c r="AB86" i="5" s="1"/>
  <c r="O85" i="17"/>
  <c r="R33" i="5"/>
  <c r="M32" i="17"/>
  <c r="T34" i="5"/>
  <c r="X34" i="5" s="1"/>
  <c r="O33" i="17"/>
  <c r="R72" i="5"/>
  <c r="M71" i="17"/>
  <c r="R40" i="5"/>
  <c r="M39" i="17"/>
  <c r="R77" i="5"/>
  <c r="M76" i="17"/>
  <c r="G244" i="14"/>
  <c r="W15" i="17"/>
  <c r="S15" i="17"/>
  <c r="R53" i="5"/>
  <c r="M52" i="17"/>
  <c r="T43" i="5"/>
  <c r="AB43" i="5" s="1"/>
  <c r="O42" i="17"/>
  <c r="T73" i="5"/>
  <c r="X73" i="5" s="1"/>
  <c r="O72" i="17"/>
  <c r="R86" i="5"/>
  <c r="M85" i="17"/>
  <c r="T69" i="5"/>
  <c r="X69" i="5" s="1"/>
  <c r="O68" i="17"/>
  <c r="R52" i="5"/>
  <c r="M51" i="17"/>
  <c r="M117" i="17"/>
  <c r="R118" i="5"/>
  <c r="G74" i="12"/>
  <c r="G75" i="12" s="1"/>
  <c r="J48" i="17"/>
  <c r="L48" i="17" s="1"/>
  <c r="Q48" i="17" s="1"/>
  <c r="R48" i="17" s="1"/>
  <c r="O49" i="5"/>
  <c r="Q49" i="5" s="1"/>
  <c r="V49" i="5" s="1"/>
  <c r="W49" i="5" s="1"/>
  <c r="AI88" i="8"/>
  <c r="AI89" i="8" s="1"/>
  <c r="AI90" i="8" s="1"/>
  <c r="J123" i="17"/>
  <c r="L123" i="17" s="1"/>
  <c r="Q123" i="17" s="1"/>
  <c r="R123" i="17" s="1"/>
  <c r="O124" i="5"/>
  <c r="Q124" i="5" s="1"/>
  <c r="V124" i="5" s="1"/>
  <c r="W124" i="5" s="1"/>
  <c r="T16" i="5"/>
  <c r="X16" i="5" s="1"/>
  <c r="O16" i="17"/>
  <c r="G635" i="11"/>
  <c r="T47" i="5"/>
  <c r="X47" i="5" s="1"/>
  <c r="O46" i="17"/>
  <c r="S46" i="17" s="1"/>
  <c r="R49" i="12"/>
  <c r="R41" i="5"/>
  <c r="M40" i="17"/>
  <c r="T75" i="5"/>
  <c r="AB75" i="5" s="1"/>
  <c r="O74" i="17"/>
  <c r="T48" i="5"/>
  <c r="AB48" i="5" s="1"/>
  <c r="O47" i="17"/>
  <c r="G138" i="11"/>
  <c r="O10" i="17" s="1"/>
  <c r="S10" i="17" s="1"/>
  <c r="M10" i="17"/>
  <c r="G174" i="14"/>
  <c r="V76" i="5"/>
  <c r="W76" i="5" s="1"/>
  <c r="AD76" i="5"/>
  <c r="AE76" i="5" s="1"/>
  <c r="Z76" i="5"/>
  <c r="AA76" i="5" s="1"/>
  <c r="G98" i="11"/>
  <c r="J9" i="17" s="1"/>
  <c r="L9" i="17" s="1"/>
  <c r="Q9" i="17" s="1"/>
  <c r="R9" i="17" s="1"/>
  <c r="G205" i="11"/>
  <c r="M13" i="17" s="1"/>
  <c r="G1395" i="11"/>
  <c r="G1519" i="11"/>
  <c r="G1822" i="11"/>
  <c r="G1650" i="11"/>
  <c r="G867" i="11"/>
  <c r="G1061" i="11"/>
  <c r="G1858" i="11"/>
  <c r="G1486" i="11"/>
  <c r="G1686" i="11"/>
  <c r="G70" i="14"/>
  <c r="G1163" i="11"/>
  <c r="G970" i="11"/>
  <c r="G1270" i="11"/>
  <c r="G2093" i="11"/>
  <c r="G1585" i="11"/>
  <c r="G2159" i="11"/>
  <c r="G902" i="11"/>
  <c r="G372" i="14"/>
  <c r="O127" i="17" s="1"/>
  <c r="S127" i="17" s="1"/>
  <c r="G120" i="8"/>
  <c r="Q128" i="5"/>
  <c r="V128" i="5" s="1"/>
  <c r="W128" i="5" s="1"/>
  <c r="G2022" i="11"/>
  <c r="G1334" i="11"/>
  <c r="G601" i="11"/>
  <c r="G535" i="11"/>
  <c r="G466" i="11"/>
  <c r="G1986" i="11"/>
  <c r="G736" i="11"/>
  <c r="G1928" i="11"/>
  <c r="G1893" i="11"/>
  <c r="G2126" i="11"/>
  <c r="G1959" i="11"/>
  <c r="G800" i="11"/>
  <c r="G1094" i="11"/>
  <c r="G832" i="11"/>
  <c r="G501" i="11"/>
  <c r="G1234" i="11"/>
  <c r="G333" i="11"/>
  <c r="R96" i="5"/>
  <c r="G108" i="14"/>
  <c r="O114" i="17" s="1"/>
  <c r="S114" i="17" s="1"/>
  <c r="R115" i="5"/>
  <c r="G34" i="14"/>
  <c r="O113" i="17" s="1"/>
  <c r="S113" i="17" s="1"/>
  <c r="R114" i="5"/>
  <c r="L98" i="11"/>
  <c r="G1200" i="11"/>
  <c r="G1201" i="11" s="1"/>
  <c r="R10" i="5"/>
  <c r="G74" i="11"/>
  <c r="G309" i="14"/>
  <c r="R126" i="5"/>
  <c r="G340" i="14"/>
  <c r="Q127" i="5"/>
  <c r="V127" i="5" s="1"/>
  <c r="W127" i="5" s="1"/>
  <c r="T128" i="5"/>
  <c r="R128" i="5"/>
  <c r="G1551" i="11"/>
  <c r="G1552" i="11" s="1"/>
  <c r="M66" i="17" s="1"/>
  <c r="G562" i="11"/>
  <c r="J27" i="17" s="1"/>
  <c r="L27" i="17" s="1"/>
  <c r="L1195" i="11"/>
  <c r="G767" i="11"/>
  <c r="R37" i="5"/>
  <c r="L760" i="11"/>
  <c r="L761" i="11" s="1"/>
  <c r="K561" i="11"/>
  <c r="L561" i="11" s="1"/>
  <c r="K560" i="11"/>
  <c r="L560" i="11" s="1"/>
  <c r="T15" i="5"/>
  <c r="R15" i="5"/>
  <c r="G173" i="11"/>
  <c r="X259" i="14"/>
  <c r="T258" i="14"/>
  <c r="X257" i="14"/>
  <c r="T257" i="14"/>
  <c r="K94" i="10"/>
  <c r="K91" i="10"/>
  <c r="G91" i="10"/>
  <c r="K90" i="10"/>
  <c r="G90" i="10"/>
  <c r="K89" i="10"/>
  <c r="G89" i="10"/>
  <c r="G88" i="10"/>
  <c r="K87" i="10"/>
  <c r="G87" i="10"/>
  <c r="L86" i="10"/>
  <c r="G86" i="10"/>
  <c r="L85" i="10"/>
  <c r="G85" i="10"/>
  <c r="L84" i="10"/>
  <c r="F84" i="10"/>
  <c r="G84" i="10" s="1"/>
  <c r="L83" i="10"/>
  <c r="F83" i="10"/>
  <c r="G83" i="10" s="1"/>
  <c r="L82" i="10"/>
  <c r="F82" i="10"/>
  <c r="G82" i="10" s="1"/>
  <c r="L81" i="10"/>
  <c r="F81" i="10"/>
  <c r="G81" i="10" s="1"/>
  <c r="L80" i="10"/>
  <c r="F80" i="10"/>
  <c r="G80" i="10" s="1"/>
  <c r="D75" i="10"/>
  <c r="D72" i="10"/>
  <c r="AZ59" i="10"/>
  <c r="BD59" i="10" s="1"/>
  <c r="BD56" i="10"/>
  <c r="AZ56" i="10"/>
  <c r="BD55" i="10"/>
  <c r="AZ55" i="10"/>
  <c r="BD54" i="10"/>
  <c r="AZ54" i="10"/>
  <c r="AZ53" i="10"/>
  <c r="BD52" i="10"/>
  <c r="AZ52" i="10"/>
  <c r="BE51" i="10"/>
  <c r="AZ51" i="10"/>
  <c r="BE50" i="10"/>
  <c r="AZ50" i="10"/>
  <c r="BE49" i="10"/>
  <c r="BD49" i="10" s="1"/>
  <c r="BE48" i="10"/>
  <c r="BD48" i="10" s="1"/>
  <c r="BE47" i="10"/>
  <c r="BD47" i="10" s="1"/>
  <c r="BE46" i="10"/>
  <c r="BD46" i="10" s="1"/>
  <c r="BE45" i="10"/>
  <c r="AY45" i="10"/>
  <c r="AZ45" i="10" s="1"/>
  <c r="AW40" i="10"/>
  <c r="AW37" i="10"/>
  <c r="AO59" i="10"/>
  <c r="AO56" i="10"/>
  <c r="AK56" i="10"/>
  <c r="AO55" i="10"/>
  <c r="AK55" i="10"/>
  <c r="AO54" i="10"/>
  <c r="AK54" i="10"/>
  <c r="AK53" i="10"/>
  <c r="AO52" i="10"/>
  <c r="AK52" i="10"/>
  <c r="AP51" i="10"/>
  <c r="AK51" i="10"/>
  <c r="AP50" i="10"/>
  <c r="AK50" i="10"/>
  <c r="AP49" i="10"/>
  <c r="AO49" i="10" s="1"/>
  <c r="AP48" i="10"/>
  <c r="AO48" i="10" s="1"/>
  <c r="AP47" i="10"/>
  <c r="AO47" i="10" s="1"/>
  <c r="AP46" i="10"/>
  <c r="AO46" i="10" s="1"/>
  <c r="AP45" i="10"/>
  <c r="AJ45" i="10"/>
  <c r="AK45" i="10" s="1"/>
  <c r="AH40" i="10"/>
  <c r="AH37" i="10"/>
  <c r="Z59" i="10"/>
  <c r="Z56" i="10"/>
  <c r="V56" i="10"/>
  <c r="Z55" i="10"/>
  <c r="V55" i="10"/>
  <c r="Z54" i="10"/>
  <c r="V54" i="10"/>
  <c r="V53" i="10"/>
  <c r="Z52" i="10"/>
  <c r="V52" i="10"/>
  <c r="AA51" i="10"/>
  <c r="V51" i="10"/>
  <c r="AA50" i="10"/>
  <c r="V50" i="10"/>
  <c r="AA49" i="10"/>
  <c r="AA48" i="10"/>
  <c r="Z48" i="10" s="1"/>
  <c r="AA47" i="10"/>
  <c r="AA46" i="10"/>
  <c r="AA45" i="10"/>
  <c r="U45" i="10"/>
  <c r="V45" i="10" s="1"/>
  <c r="S40" i="10"/>
  <c r="S37" i="10"/>
  <c r="K56" i="10"/>
  <c r="G56" i="10"/>
  <c r="K55" i="10"/>
  <c r="G55" i="10"/>
  <c r="K54" i="10"/>
  <c r="G54" i="10"/>
  <c r="G53" i="10"/>
  <c r="K52" i="10"/>
  <c r="G52" i="10"/>
  <c r="G51" i="10"/>
  <c r="L50" i="10"/>
  <c r="G50" i="10"/>
  <c r="L49" i="10"/>
  <c r="F49" i="10"/>
  <c r="G49" i="10" s="1"/>
  <c r="L48" i="10"/>
  <c r="F48" i="10"/>
  <c r="G48" i="10" s="1"/>
  <c r="L47" i="10"/>
  <c r="F47" i="10"/>
  <c r="G47" i="10" s="1"/>
  <c r="L46" i="10"/>
  <c r="F46" i="10"/>
  <c r="G46" i="10" s="1"/>
  <c r="L45" i="10"/>
  <c r="F45" i="10"/>
  <c r="G45" i="10" s="1"/>
  <c r="D40" i="10"/>
  <c r="L51" i="10" s="1"/>
  <c r="D37" i="10"/>
  <c r="X43" i="5" l="1"/>
  <c r="K46" i="10"/>
  <c r="K48" i="10"/>
  <c r="K50" i="10"/>
  <c r="Z50" i="10"/>
  <c r="AO51" i="10"/>
  <c r="K82" i="10"/>
  <c r="K86" i="10"/>
  <c r="M122" i="17"/>
  <c r="T80" i="5"/>
  <c r="O79" i="17"/>
  <c r="BD50" i="10"/>
  <c r="K84" i="10"/>
  <c r="T57" i="5"/>
  <c r="X57" i="5" s="1"/>
  <c r="R125" i="5"/>
  <c r="M124" i="17"/>
  <c r="R127" i="5"/>
  <c r="M126" i="17"/>
  <c r="T126" i="5"/>
  <c r="X126" i="5" s="1"/>
  <c r="O125" i="17"/>
  <c r="S125" i="17" s="1"/>
  <c r="U90" i="8"/>
  <c r="O122" i="17" s="1"/>
  <c r="AB19" i="5"/>
  <c r="AB14" i="5"/>
  <c r="G206" i="11"/>
  <c r="T13" i="5" s="1"/>
  <c r="X13" i="5" s="1"/>
  <c r="T10" i="5"/>
  <c r="X10" i="5" s="1"/>
  <c r="X75" i="5"/>
  <c r="X95" i="5"/>
  <c r="AB34" i="5"/>
  <c r="AB72" i="5"/>
  <c r="AB94" i="5"/>
  <c r="X52" i="5"/>
  <c r="AB33" i="5"/>
  <c r="X86" i="5"/>
  <c r="H80" i="10"/>
  <c r="K80" i="10"/>
  <c r="H45" i="10"/>
  <c r="K45" i="10"/>
  <c r="K47" i="10"/>
  <c r="K49" i="10"/>
  <c r="K51" i="10"/>
  <c r="AL45" i="10"/>
  <c r="AO45" i="10"/>
  <c r="W45" i="10"/>
  <c r="Z45" i="10"/>
  <c r="Z51" i="10"/>
  <c r="AO50" i="10"/>
  <c r="BA45" i="10"/>
  <c r="BD45" i="10"/>
  <c r="BD51" i="10"/>
  <c r="K81" i="10"/>
  <c r="K83" i="10"/>
  <c r="K85" i="10"/>
  <c r="AB69" i="5"/>
  <c r="AB73" i="5"/>
  <c r="AB16" i="5"/>
  <c r="X48" i="5"/>
  <c r="R13" i="5"/>
  <c r="T11" i="5"/>
  <c r="AB11" i="5" s="1"/>
  <c r="O11" i="17"/>
  <c r="T18" i="5"/>
  <c r="AB18" i="5" s="1"/>
  <c r="O18" i="17"/>
  <c r="T51" i="5"/>
  <c r="X51" i="5" s="1"/>
  <c r="O50" i="17"/>
  <c r="T78" i="5"/>
  <c r="AB78" i="5" s="1"/>
  <c r="O77" i="17"/>
  <c r="T22" i="5"/>
  <c r="X22" i="5" s="1"/>
  <c r="O22" i="17"/>
  <c r="T84" i="5"/>
  <c r="X84" i="5" s="1"/>
  <c r="O83" i="17"/>
  <c r="T42" i="5"/>
  <c r="AB42" i="5" s="1"/>
  <c r="O41" i="17"/>
  <c r="T56" i="5"/>
  <c r="X56" i="5" s="1"/>
  <c r="O55" i="17"/>
  <c r="T71" i="5"/>
  <c r="X71" i="5" s="1"/>
  <c r="O70" i="17"/>
  <c r="T41" i="5"/>
  <c r="AB41" i="5" s="1"/>
  <c r="O40" i="17"/>
  <c r="T62" i="5"/>
  <c r="X62" i="5" s="1"/>
  <c r="O61" i="17"/>
  <c r="O117" i="17"/>
  <c r="S117" i="17" s="1"/>
  <c r="T118" i="5"/>
  <c r="X118" i="5" s="1"/>
  <c r="S14" i="17"/>
  <c r="W14" i="17"/>
  <c r="W19" i="17"/>
  <c r="S19" i="17"/>
  <c r="V67" i="5"/>
  <c r="W67" i="5" s="1"/>
  <c r="Z67" i="5"/>
  <c r="AA67" i="5" s="1"/>
  <c r="AD67" i="5"/>
  <c r="AE67" i="5" s="1"/>
  <c r="Q27" i="17"/>
  <c r="R27" i="17" s="1"/>
  <c r="Y27" i="17"/>
  <c r="Z27" i="17" s="1"/>
  <c r="U27" i="17"/>
  <c r="V27" i="17" s="1"/>
  <c r="T55" i="5"/>
  <c r="AB55" i="5" s="1"/>
  <c r="O54" i="17"/>
  <c r="T39" i="5"/>
  <c r="X39" i="5" s="1"/>
  <c r="O38" i="17"/>
  <c r="S38" i="17" s="1"/>
  <c r="T79" i="5"/>
  <c r="AB79" i="5" s="1"/>
  <c r="O78" i="17"/>
  <c r="T27" i="5"/>
  <c r="AB27" i="5" s="1"/>
  <c r="O26" i="17"/>
  <c r="O92" i="17"/>
  <c r="W92" i="17" s="1"/>
  <c r="T93" i="5"/>
  <c r="AB93" i="5" s="1"/>
  <c r="T45" i="5"/>
  <c r="X45" i="5" s="1"/>
  <c r="O44" i="17"/>
  <c r="S44" i="17" s="1"/>
  <c r="T65" i="5"/>
  <c r="X65" i="5" s="1"/>
  <c r="O64" i="17"/>
  <c r="S64" i="17" s="1"/>
  <c r="T70" i="5"/>
  <c r="X70" i="5" s="1"/>
  <c r="O69" i="17"/>
  <c r="S69" i="17" s="1"/>
  <c r="T76" i="5"/>
  <c r="X76" i="5" s="1"/>
  <c r="O75" i="17"/>
  <c r="S56" i="17"/>
  <c r="W56" i="17"/>
  <c r="S42" i="17"/>
  <c r="W42" i="17"/>
  <c r="T96" i="5"/>
  <c r="O95" i="17"/>
  <c r="Q66" i="17"/>
  <c r="R66" i="17" s="1"/>
  <c r="U66" i="17"/>
  <c r="V66" i="17" s="1"/>
  <c r="Y66" i="17"/>
  <c r="Z66" i="17" s="1"/>
  <c r="O123" i="17"/>
  <c r="M123" i="17"/>
  <c r="T8" i="5"/>
  <c r="X8" i="5" s="1"/>
  <c r="O8" i="17"/>
  <c r="S8" i="17" s="1"/>
  <c r="T26" i="5"/>
  <c r="X26" i="5" s="1"/>
  <c r="O25" i="17"/>
  <c r="T82" i="5"/>
  <c r="X82" i="5" s="1"/>
  <c r="O81" i="17"/>
  <c r="S81" i="17" s="1"/>
  <c r="T36" i="5"/>
  <c r="X36" i="5" s="1"/>
  <c r="O35" i="17"/>
  <c r="T29" i="5"/>
  <c r="AB29" i="5" s="1"/>
  <c r="O28" i="17"/>
  <c r="R113" i="5"/>
  <c r="M112" i="17"/>
  <c r="T68" i="5"/>
  <c r="X68" i="5" s="1"/>
  <c r="O67" i="17"/>
  <c r="S67" i="17" s="1"/>
  <c r="T53" i="5"/>
  <c r="AB53" i="5" s="1"/>
  <c r="O52" i="17"/>
  <c r="T77" i="5"/>
  <c r="AB77" i="5" s="1"/>
  <c r="O76" i="17"/>
  <c r="T30" i="5"/>
  <c r="O29" i="17"/>
  <c r="R49" i="5"/>
  <c r="M48" i="17"/>
  <c r="W33" i="17"/>
  <c r="S33" i="17"/>
  <c r="W85" i="17"/>
  <c r="S85" i="17"/>
  <c r="S93" i="17"/>
  <c r="W93" i="17"/>
  <c r="W71" i="17"/>
  <c r="S71" i="17"/>
  <c r="S32" i="17"/>
  <c r="W32" i="17"/>
  <c r="W94" i="17"/>
  <c r="S94" i="17"/>
  <c r="S51" i="17"/>
  <c r="W51" i="17"/>
  <c r="T37" i="5"/>
  <c r="X37" i="5" s="1"/>
  <c r="O36" i="17"/>
  <c r="S36" i="17" s="1"/>
  <c r="T40" i="5"/>
  <c r="X40" i="5" s="1"/>
  <c r="O39" i="17"/>
  <c r="S39" i="17" s="1"/>
  <c r="T88" i="5"/>
  <c r="X88" i="5" s="1"/>
  <c r="O87" i="17"/>
  <c r="T83" i="5"/>
  <c r="X83" i="5" s="1"/>
  <c r="O82" i="17"/>
  <c r="S82" i="17" s="1"/>
  <c r="T59" i="5"/>
  <c r="X59" i="5" s="1"/>
  <c r="O58" i="17"/>
  <c r="S58" i="17" s="1"/>
  <c r="T87" i="5"/>
  <c r="X87" i="5" s="1"/>
  <c r="O86" i="17"/>
  <c r="T116" i="5"/>
  <c r="X116" i="5" s="1"/>
  <c r="O115" i="17"/>
  <c r="S115" i="17" s="1"/>
  <c r="T50" i="5"/>
  <c r="X50" i="5" s="1"/>
  <c r="O49" i="17"/>
  <c r="S49" i="17" s="1"/>
  <c r="T66" i="5"/>
  <c r="X66" i="5" s="1"/>
  <c r="O65" i="17"/>
  <c r="S47" i="17"/>
  <c r="W47" i="17"/>
  <c r="W74" i="17"/>
  <c r="S74" i="17"/>
  <c r="T31" i="5"/>
  <c r="O30" i="17"/>
  <c r="S16" i="17"/>
  <c r="W16" i="17"/>
  <c r="W68" i="17"/>
  <c r="S68" i="17"/>
  <c r="S72" i="17"/>
  <c r="W72" i="17"/>
  <c r="T120" i="5"/>
  <c r="X120" i="5" s="1"/>
  <c r="O119" i="17"/>
  <c r="S119" i="17" s="1"/>
  <c r="X128" i="5"/>
  <c r="T115" i="5"/>
  <c r="G566" i="11"/>
  <c r="G567" i="11" s="1"/>
  <c r="M27" i="17" s="1"/>
  <c r="O28" i="5"/>
  <c r="Q28" i="5" s="1"/>
  <c r="G102" i="11"/>
  <c r="G103" i="11" s="1"/>
  <c r="M9" i="17" s="1"/>
  <c r="O9" i="5"/>
  <c r="Q9" i="5" s="1"/>
  <c r="V9" i="5" s="1"/>
  <c r="W9" i="5" s="1"/>
  <c r="X15" i="5"/>
  <c r="AB15" i="5"/>
  <c r="G121" i="8"/>
  <c r="T114" i="5"/>
  <c r="G341" i="14"/>
  <c r="R67" i="5"/>
  <c r="G273" i="14"/>
  <c r="L562" i="11"/>
  <c r="L1196" i="11"/>
  <c r="G76" i="12"/>
  <c r="T124" i="5"/>
  <c r="R124" i="5"/>
  <c r="X267" i="14"/>
  <c r="T267" i="14"/>
  <c r="H48" i="10"/>
  <c r="H84" i="10"/>
  <c r="H81" i="10"/>
  <c r="H82" i="10"/>
  <c r="H83" i="10"/>
  <c r="H85" i="10"/>
  <c r="H86" i="10"/>
  <c r="BA50" i="10"/>
  <c r="BA51" i="10"/>
  <c r="AL50" i="10"/>
  <c r="AL51" i="10"/>
  <c r="Z47" i="10"/>
  <c r="Z49" i="10"/>
  <c r="Z46" i="10"/>
  <c r="W50" i="10"/>
  <c r="W51" i="10"/>
  <c r="H47" i="10"/>
  <c r="H46" i="10"/>
  <c r="H49" i="10"/>
  <c r="H50" i="10"/>
  <c r="H51" i="10"/>
  <c r="CH23" i="10"/>
  <c r="CD23" i="10"/>
  <c r="CH22" i="10"/>
  <c r="CD22" i="10"/>
  <c r="CH21" i="10"/>
  <c r="CD21" i="10"/>
  <c r="CD20" i="10"/>
  <c r="CH19" i="10"/>
  <c r="CD19" i="10"/>
  <c r="CI18" i="10"/>
  <c r="CD18" i="10"/>
  <c r="CI17" i="10"/>
  <c r="CD17" i="10"/>
  <c r="CI12" i="10"/>
  <c r="CC12" i="10"/>
  <c r="CD12" i="10" s="1"/>
  <c r="CA7" i="10"/>
  <c r="BS23" i="10"/>
  <c r="BO23" i="10"/>
  <c r="BS22" i="10"/>
  <c r="BO22" i="10"/>
  <c r="BS21" i="10"/>
  <c r="BO21" i="10"/>
  <c r="BO20" i="10"/>
  <c r="BS19" i="10"/>
  <c r="BO19" i="10"/>
  <c r="BT18" i="10"/>
  <c r="BO18" i="10"/>
  <c r="BT17" i="10"/>
  <c r="BO17" i="10"/>
  <c r="BT15" i="10"/>
  <c r="BN15" i="10"/>
  <c r="BO15" i="10" s="1"/>
  <c r="BT14" i="10"/>
  <c r="BN14" i="10"/>
  <c r="BO14" i="10" s="1"/>
  <c r="BT13" i="10"/>
  <c r="BN13" i="10"/>
  <c r="BO13" i="10" s="1"/>
  <c r="BT12" i="10"/>
  <c r="BN12" i="10"/>
  <c r="BO12" i="10" s="1"/>
  <c r="BL7" i="10"/>
  <c r="BL4" i="10"/>
  <c r="BE17" i="10"/>
  <c r="BE16" i="10"/>
  <c r="BE14" i="10"/>
  <c r="BE15" i="10"/>
  <c r="AZ17" i="10"/>
  <c r="AZ16" i="10"/>
  <c r="BD23" i="10"/>
  <c r="AZ23" i="10"/>
  <c r="BD22" i="10"/>
  <c r="AZ22" i="10"/>
  <c r="BD21" i="10"/>
  <c r="AZ21" i="10"/>
  <c r="AZ20" i="10"/>
  <c r="BD19" i="10"/>
  <c r="AZ19" i="10"/>
  <c r="AY15" i="10"/>
  <c r="AZ15" i="10" s="1"/>
  <c r="AY14" i="10"/>
  <c r="AZ14" i="10" s="1"/>
  <c r="BD14" i="10" s="1"/>
  <c r="BE13" i="10"/>
  <c r="AY13" i="10"/>
  <c r="AZ13" i="10" s="1"/>
  <c r="BE12" i="10"/>
  <c r="AY12" i="10"/>
  <c r="AZ12" i="10" s="1"/>
  <c r="AW7" i="10"/>
  <c r="AW4" i="10"/>
  <c r="AO23" i="10"/>
  <c r="AK23" i="10"/>
  <c r="AO22" i="10"/>
  <c r="AK22" i="10"/>
  <c r="AO21" i="10"/>
  <c r="AK21" i="10"/>
  <c r="AK20" i="10"/>
  <c r="AO19" i="10"/>
  <c r="AK19" i="10"/>
  <c r="AP18" i="10"/>
  <c r="AK18" i="10"/>
  <c r="AP17" i="10"/>
  <c r="AK17" i="10"/>
  <c r="AP16" i="10"/>
  <c r="AJ16" i="10"/>
  <c r="AK16" i="10" s="1"/>
  <c r="AP15" i="10"/>
  <c r="AJ15" i="10"/>
  <c r="AK15" i="10" s="1"/>
  <c r="AP14" i="10"/>
  <c r="AJ14" i="10"/>
  <c r="AK14" i="10" s="1"/>
  <c r="AP13" i="10"/>
  <c r="AJ13" i="10"/>
  <c r="AK13" i="10" s="1"/>
  <c r="AP12" i="10"/>
  <c r="AJ12" i="10"/>
  <c r="AK12" i="10" s="1"/>
  <c r="AH7" i="10"/>
  <c r="AH4" i="10"/>
  <c r="BS17" i="10" l="1"/>
  <c r="T123" i="5"/>
  <c r="BS15" i="10"/>
  <c r="AB57" i="5"/>
  <c r="T125" i="5"/>
  <c r="X125" i="5" s="1"/>
  <c r="O124" i="17"/>
  <c r="S124" i="17" s="1"/>
  <c r="BS13" i="10"/>
  <c r="BS18" i="10"/>
  <c r="T127" i="5"/>
  <c r="X127" i="5" s="1"/>
  <c r="O126" i="17"/>
  <c r="S126" i="17" s="1"/>
  <c r="BS14" i="10"/>
  <c r="X55" i="5"/>
  <c r="O13" i="17"/>
  <c r="S13" i="17" s="1"/>
  <c r="X78" i="5"/>
  <c r="X53" i="5"/>
  <c r="AB66" i="5"/>
  <c r="AB56" i="5"/>
  <c r="X29" i="5"/>
  <c r="X79" i="5"/>
  <c r="R28" i="5"/>
  <c r="X18" i="5"/>
  <c r="X27" i="5"/>
  <c r="AB22" i="5"/>
  <c r="X11" i="5"/>
  <c r="AB62" i="5"/>
  <c r="AB51" i="5"/>
  <c r="AB76" i="5"/>
  <c r="AB71" i="5"/>
  <c r="X42" i="5"/>
  <c r="AB36" i="5"/>
  <c r="AB88" i="5"/>
  <c r="AB84" i="5"/>
  <c r="X77" i="5"/>
  <c r="AB26" i="5"/>
  <c r="AL18" i="10"/>
  <c r="AO18" i="10"/>
  <c r="BP12" i="10"/>
  <c r="BS12" i="10"/>
  <c r="AL12" i="10"/>
  <c r="AO12" i="10"/>
  <c r="AL14" i="10"/>
  <c r="AO14" i="10"/>
  <c r="AL16" i="10"/>
  <c r="AO16" i="10"/>
  <c r="BA16" i="10"/>
  <c r="BD16" i="10"/>
  <c r="CE17" i="10"/>
  <c r="CH17" i="10"/>
  <c r="BA12" i="10"/>
  <c r="BD12" i="10"/>
  <c r="BA17" i="10"/>
  <c r="BD17" i="10"/>
  <c r="AL13" i="10"/>
  <c r="AO13" i="10"/>
  <c r="AL15" i="10"/>
  <c r="AO15" i="10"/>
  <c r="AL17" i="10"/>
  <c r="AO17" i="10"/>
  <c r="BA15" i="10"/>
  <c r="BD15" i="10"/>
  <c r="CE12" i="10"/>
  <c r="CH12" i="10"/>
  <c r="CE18" i="10"/>
  <c r="CH18" i="10"/>
  <c r="BA13" i="10"/>
  <c r="BD13" i="10"/>
  <c r="X41" i="5"/>
  <c r="AB87" i="5"/>
  <c r="T49" i="5"/>
  <c r="O48" i="17"/>
  <c r="R54" i="5"/>
  <c r="M53" i="17"/>
  <c r="X30" i="5"/>
  <c r="AB30" i="5"/>
  <c r="W95" i="17"/>
  <c r="S95" i="17"/>
  <c r="S26" i="17"/>
  <c r="W26" i="17"/>
  <c r="W40" i="17"/>
  <c r="S40" i="17"/>
  <c r="S55" i="17"/>
  <c r="W55" i="17"/>
  <c r="W83" i="17"/>
  <c r="S83" i="17"/>
  <c r="W77" i="17"/>
  <c r="S77" i="17"/>
  <c r="S18" i="17"/>
  <c r="W18" i="17"/>
  <c r="T113" i="5"/>
  <c r="X113" i="5" s="1"/>
  <c r="O112" i="17"/>
  <c r="W86" i="17"/>
  <c r="S86" i="17"/>
  <c r="S76" i="17"/>
  <c r="W76" i="17"/>
  <c r="W28" i="17"/>
  <c r="S28" i="17"/>
  <c r="AB96" i="5"/>
  <c r="X96" i="5"/>
  <c r="S75" i="17"/>
  <c r="W75" i="17"/>
  <c r="S78" i="17"/>
  <c r="W78" i="17"/>
  <c r="S54" i="17"/>
  <c r="W54" i="17"/>
  <c r="S61" i="17"/>
  <c r="W61" i="17"/>
  <c r="W70" i="17"/>
  <c r="S70" i="17"/>
  <c r="S41" i="17"/>
  <c r="W41" i="17"/>
  <c r="W22" i="17"/>
  <c r="S22" i="17"/>
  <c r="W50" i="17"/>
  <c r="S50" i="17"/>
  <c r="W11" i="17"/>
  <c r="S11" i="17"/>
  <c r="W65" i="17"/>
  <c r="S65" i="17"/>
  <c r="S87" i="17"/>
  <c r="W87" i="17"/>
  <c r="W29" i="17"/>
  <c r="S29" i="17"/>
  <c r="W52" i="17"/>
  <c r="S52" i="17"/>
  <c r="W35" i="17"/>
  <c r="S35" i="17"/>
  <c r="S25" i="17"/>
  <c r="W25" i="17"/>
  <c r="V28" i="5"/>
  <c r="W28" i="5" s="1"/>
  <c r="AD28" i="5"/>
  <c r="AE28" i="5" s="1"/>
  <c r="Z28" i="5"/>
  <c r="AA28" i="5" s="1"/>
  <c r="X114" i="5"/>
  <c r="X115" i="5"/>
  <c r="G1553" i="11"/>
  <c r="G1202" i="11"/>
  <c r="G568" i="11"/>
  <c r="G104" i="11"/>
  <c r="R9" i="5"/>
  <c r="BA14" i="10"/>
  <c r="BP14" i="10"/>
  <c r="BP13" i="10"/>
  <c r="BP15" i="10"/>
  <c r="BP17" i="10"/>
  <c r="BP18" i="10"/>
  <c r="V23" i="10"/>
  <c r="Z22" i="10"/>
  <c r="V22" i="10"/>
  <c r="Z21" i="10"/>
  <c r="V21" i="10"/>
  <c r="V20" i="10"/>
  <c r="Z19" i="10"/>
  <c r="V19" i="10"/>
  <c r="V18" i="10"/>
  <c r="AA17" i="10"/>
  <c r="V17" i="10"/>
  <c r="AA16" i="10"/>
  <c r="U16" i="10"/>
  <c r="V16" i="10" s="1"/>
  <c r="AA15" i="10"/>
  <c r="U15" i="10"/>
  <c r="V15" i="10" s="1"/>
  <c r="AA14" i="10"/>
  <c r="U14" i="10"/>
  <c r="V14" i="10" s="1"/>
  <c r="AA13" i="10"/>
  <c r="U13" i="10"/>
  <c r="V13" i="10" s="1"/>
  <c r="AA12" i="10"/>
  <c r="U12" i="10"/>
  <c r="V12" i="10" s="1"/>
  <c r="S7" i="10"/>
  <c r="AA18" i="10" s="1"/>
  <c r="S4" i="10"/>
  <c r="K23" i="10"/>
  <c r="K22" i="10"/>
  <c r="F82" i="8"/>
  <c r="F81" i="8"/>
  <c r="E80" i="8"/>
  <c r="F80" i="8" s="1"/>
  <c r="E79" i="8"/>
  <c r="F79" i="8" s="1"/>
  <c r="F78" i="8"/>
  <c r="E77" i="8"/>
  <c r="F77" i="8" s="1"/>
  <c r="H76" i="8"/>
  <c r="K76" i="8" s="1"/>
  <c r="E76" i="8"/>
  <c r="F76" i="8" s="1"/>
  <c r="D73" i="8"/>
  <c r="C68" i="8"/>
  <c r="BX50" i="8"/>
  <c r="BY50" i="8" s="1"/>
  <c r="BX49" i="8"/>
  <c r="BY49" i="8" s="1"/>
  <c r="BW48" i="8"/>
  <c r="BX48" i="8" s="1"/>
  <c r="BY48" i="8" s="1"/>
  <c r="BW47" i="8"/>
  <c r="BX47" i="8" s="1"/>
  <c r="BY47" i="8" s="1"/>
  <c r="BX46" i="8"/>
  <c r="BY46" i="8" s="1"/>
  <c r="BW45" i="8"/>
  <c r="BX45" i="8" s="1"/>
  <c r="BY45" i="8" s="1"/>
  <c r="BZ44" i="8"/>
  <c r="BW44" i="8"/>
  <c r="BX44" i="8" s="1"/>
  <c r="BV41" i="8"/>
  <c r="BU36" i="8"/>
  <c r="BJ50" i="8"/>
  <c r="BJ49" i="8"/>
  <c r="BI48" i="8"/>
  <c r="BJ48" i="8" s="1"/>
  <c r="BI47" i="8"/>
  <c r="BJ47" i="8" s="1"/>
  <c r="BJ46" i="8"/>
  <c r="BI45" i="8"/>
  <c r="BJ45" i="8" s="1"/>
  <c r="BL44" i="8"/>
  <c r="BO44" i="8" s="1"/>
  <c r="BI44" i="8"/>
  <c r="BJ44" i="8" s="1"/>
  <c r="BP44" i="8" s="1"/>
  <c r="BH41" i="8"/>
  <c r="BG36" i="8"/>
  <c r="AV50" i="8"/>
  <c r="AV49" i="8"/>
  <c r="AU48" i="8"/>
  <c r="AV48" i="8" s="1"/>
  <c r="AU47" i="8"/>
  <c r="AV47" i="8" s="1"/>
  <c r="AV46" i="8"/>
  <c r="AU45" i="8"/>
  <c r="AV45" i="8" s="1"/>
  <c r="AX44" i="8"/>
  <c r="BA44" i="8" s="1"/>
  <c r="AU44" i="8"/>
  <c r="AV44" i="8" s="1"/>
  <c r="BB44" i="8" s="1"/>
  <c r="AT41" i="8"/>
  <c r="AS36" i="8"/>
  <c r="AH50" i="8"/>
  <c r="AH49" i="8"/>
  <c r="AG48" i="8"/>
  <c r="AH48" i="8" s="1"/>
  <c r="AG47" i="8"/>
  <c r="AH47" i="8" s="1"/>
  <c r="AH46" i="8"/>
  <c r="AG45" i="8"/>
  <c r="AH45" i="8" s="1"/>
  <c r="AJ44" i="8"/>
  <c r="AM44" i="8" s="1"/>
  <c r="AG44" i="8"/>
  <c r="AH44" i="8" s="1"/>
  <c r="AN44" i="8" s="1"/>
  <c r="AF41" i="8"/>
  <c r="AE36" i="8"/>
  <c r="T50" i="8"/>
  <c r="T49" i="8"/>
  <c r="S48" i="8"/>
  <c r="T48" i="8" s="1"/>
  <c r="S47" i="8"/>
  <c r="T47" i="8" s="1"/>
  <c r="T46" i="8"/>
  <c r="S45" i="8"/>
  <c r="T45" i="8" s="1"/>
  <c r="V44" i="8"/>
  <c r="Y44" i="8" s="1"/>
  <c r="S44" i="8"/>
  <c r="T44" i="8" s="1"/>
  <c r="R41" i="8"/>
  <c r="Q36" i="8"/>
  <c r="F50" i="8"/>
  <c r="F49" i="8"/>
  <c r="E48" i="8"/>
  <c r="F48" i="8" s="1"/>
  <c r="E47" i="8"/>
  <c r="F47" i="8" s="1"/>
  <c r="F46" i="8"/>
  <c r="E45" i="8"/>
  <c r="F45" i="8" s="1"/>
  <c r="H44" i="8"/>
  <c r="K44" i="8" s="1"/>
  <c r="E44" i="8"/>
  <c r="F44" i="8" s="1"/>
  <c r="L44" i="8" s="1"/>
  <c r="D41" i="8"/>
  <c r="C36" i="8"/>
  <c r="BX18" i="8"/>
  <c r="BX17" i="8"/>
  <c r="BW16" i="8"/>
  <c r="BX16" i="8" s="1"/>
  <c r="BW15" i="8"/>
  <c r="BX15" i="8" s="1"/>
  <c r="BX14" i="8"/>
  <c r="BW13" i="8"/>
  <c r="BX13" i="8" s="1"/>
  <c r="BZ12" i="8"/>
  <c r="CC12" i="8" s="1"/>
  <c r="BW12" i="8"/>
  <c r="BX12" i="8" s="1"/>
  <c r="BV9" i="8"/>
  <c r="BU4" i="8"/>
  <c r="BJ18" i="8"/>
  <c r="BJ17" i="8"/>
  <c r="BI16" i="8"/>
  <c r="BJ16" i="8" s="1"/>
  <c r="BI15" i="8"/>
  <c r="BJ15" i="8" s="1"/>
  <c r="BJ14" i="8"/>
  <c r="BI13" i="8"/>
  <c r="BJ13" i="8" s="1"/>
  <c r="BL12" i="8"/>
  <c r="BO12" i="8" s="1"/>
  <c r="BI12" i="8"/>
  <c r="BJ12" i="8" s="1"/>
  <c r="BH9" i="8"/>
  <c r="BG4" i="8"/>
  <c r="AX12" i="8"/>
  <c r="BA12" i="8" s="1"/>
  <c r="AJ12" i="8"/>
  <c r="AM12" i="8" s="1"/>
  <c r="AV18" i="8"/>
  <c r="AV17" i="8"/>
  <c r="AU16" i="8"/>
  <c r="AV16" i="8" s="1"/>
  <c r="AU15" i="8"/>
  <c r="AV15" i="8" s="1"/>
  <c r="AV14" i="8"/>
  <c r="AU13" i="8"/>
  <c r="AV13" i="8" s="1"/>
  <c r="AU12" i="8"/>
  <c r="AV12" i="8" s="1"/>
  <c r="AT9" i="8"/>
  <c r="AS4" i="8"/>
  <c r="AH18" i="8"/>
  <c r="AH17" i="8"/>
  <c r="AG16" i="8"/>
  <c r="AH16" i="8" s="1"/>
  <c r="AG15" i="8"/>
  <c r="AH15" i="8" s="1"/>
  <c r="AH14" i="8"/>
  <c r="AG13" i="8"/>
  <c r="AH13" i="8" s="1"/>
  <c r="AG12" i="8"/>
  <c r="AH12" i="8" s="1"/>
  <c r="AN12" i="8" s="1"/>
  <c r="AF9" i="8"/>
  <c r="AE4" i="8"/>
  <c r="R9" i="8"/>
  <c r="Z44" i="8" l="1"/>
  <c r="W13" i="10"/>
  <c r="Z13" i="10"/>
  <c r="W15" i="10"/>
  <c r="Z15" i="10"/>
  <c r="W17" i="10"/>
  <c r="Z17" i="10"/>
  <c r="W12" i="10"/>
  <c r="Z12" i="10"/>
  <c r="W14" i="10"/>
  <c r="Z14" i="10"/>
  <c r="Z16" i="10"/>
  <c r="W18" i="10"/>
  <c r="Z18" i="10"/>
  <c r="BK13" i="8"/>
  <c r="BP13" i="8"/>
  <c r="BK17" i="8"/>
  <c r="BP17" i="8"/>
  <c r="BK12" i="8"/>
  <c r="BP12" i="8"/>
  <c r="BK15" i="8"/>
  <c r="BP15" i="8"/>
  <c r="BY13" i="8"/>
  <c r="CD13" i="8"/>
  <c r="BY17" i="8"/>
  <c r="CD17" i="8"/>
  <c r="G47" i="8"/>
  <c r="L47" i="8"/>
  <c r="AW45" i="8"/>
  <c r="BB45" i="8"/>
  <c r="AW49" i="8"/>
  <c r="BB49" i="8"/>
  <c r="BK47" i="8"/>
  <c r="BP47" i="8"/>
  <c r="G76" i="8"/>
  <c r="L76" i="8"/>
  <c r="G79" i="8"/>
  <c r="L79" i="8"/>
  <c r="T28" i="5"/>
  <c r="AB28" i="5" s="1"/>
  <c r="O27" i="17"/>
  <c r="U45" i="8"/>
  <c r="Z45" i="8"/>
  <c r="U49" i="8"/>
  <c r="Z49" i="8"/>
  <c r="AI47" i="8"/>
  <c r="AN47" i="8"/>
  <c r="BK16" i="8"/>
  <c r="BP16" i="8"/>
  <c r="BY14" i="8"/>
  <c r="CD14" i="8"/>
  <c r="BY18" i="8"/>
  <c r="CD18" i="8"/>
  <c r="G48" i="8"/>
  <c r="L48" i="8"/>
  <c r="U46" i="8"/>
  <c r="Z46" i="8"/>
  <c r="U50" i="8"/>
  <c r="Z50" i="8"/>
  <c r="AI48" i="8"/>
  <c r="AN48" i="8"/>
  <c r="AW46" i="8"/>
  <c r="BB46" i="8"/>
  <c r="AW50" i="8"/>
  <c r="BB50" i="8"/>
  <c r="BK48" i="8"/>
  <c r="BP48" i="8"/>
  <c r="G80" i="8"/>
  <c r="L80" i="8"/>
  <c r="T54" i="5"/>
  <c r="X54" i="5" s="1"/>
  <c r="O53" i="17"/>
  <c r="G45" i="8"/>
  <c r="L45" i="8"/>
  <c r="G49" i="8"/>
  <c r="L49" i="8"/>
  <c r="U47" i="8"/>
  <c r="Z47" i="8"/>
  <c r="BK45" i="8"/>
  <c r="BP45" i="8"/>
  <c r="BK49" i="8"/>
  <c r="BP49" i="8"/>
  <c r="G77" i="8"/>
  <c r="L77" i="8"/>
  <c r="G81" i="8"/>
  <c r="L81" i="8"/>
  <c r="T67" i="5"/>
  <c r="AB67" i="5" s="1"/>
  <c r="O66" i="17"/>
  <c r="BY12" i="8"/>
  <c r="CD12" i="8"/>
  <c r="BY15" i="8"/>
  <c r="CD15" i="8"/>
  <c r="AI45" i="8"/>
  <c r="AN45" i="8"/>
  <c r="AI49" i="8"/>
  <c r="AN49" i="8"/>
  <c r="AW47" i="8"/>
  <c r="BB47" i="8"/>
  <c r="BK14" i="8"/>
  <c r="BP14" i="8"/>
  <c r="BK18" i="8"/>
  <c r="BP18" i="8"/>
  <c r="BY16" i="8"/>
  <c r="CD16" i="8"/>
  <c r="G46" i="8"/>
  <c r="L46" i="8"/>
  <c r="G50" i="8"/>
  <c r="L50" i="8"/>
  <c r="U48" i="8"/>
  <c r="Z48" i="8"/>
  <c r="AI46" i="8"/>
  <c r="AN46" i="8"/>
  <c r="AI50" i="8"/>
  <c r="AN50" i="8"/>
  <c r="AW48" i="8"/>
  <c r="BB48" i="8"/>
  <c r="BK46" i="8"/>
  <c r="BP46" i="8"/>
  <c r="BK50" i="8"/>
  <c r="BP50" i="8"/>
  <c r="G78" i="8"/>
  <c r="L78" i="8"/>
  <c r="G82" i="8"/>
  <c r="L82" i="8"/>
  <c r="T9" i="5"/>
  <c r="X9" i="5" s="1"/>
  <c r="O9" i="17"/>
  <c r="S9" i="17" s="1"/>
  <c r="AW17" i="8"/>
  <c r="BB17" i="8"/>
  <c r="AW18" i="8"/>
  <c r="BB18" i="8"/>
  <c r="AW13" i="8"/>
  <c r="BB13" i="8"/>
  <c r="AW14" i="8"/>
  <c r="BB14" i="8"/>
  <c r="AW15" i="8"/>
  <c r="BB15" i="8"/>
  <c r="AW12" i="8"/>
  <c r="BB12" i="8"/>
  <c r="AW16" i="8"/>
  <c r="BB16" i="8"/>
  <c r="AI14" i="8"/>
  <c r="AN14" i="8"/>
  <c r="AI18" i="8"/>
  <c r="AN18" i="8"/>
  <c r="AI15" i="8"/>
  <c r="AN15" i="8"/>
  <c r="AI16" i="8"/>
  <c r="AN16" i="8"/>
  <c r="AI13" i="8"/>
  <c r="AN13" i="8"/>
  <c r="AI17" i="8"/>
  <c r="AN17" i="8"/>
  <c r="X28" i="5"/>
  <c r="BK44" i="8"/>
  <c r="BJ56" i="8"/>
  <c r="AI44" i="8"/>
  <c r="AH56" i="8"/>
  <c r="BX56" i="8"/>
  <c r="F56" i="8"/>
  <c r="U44" i="8"/>
  <c r="T56" i="8"/>
  <c r="AW44" i="8"/>
  <c r="AV56" i="8"/>
  <c r="W16" i="10"/>
  <c r="BY44" i="8"/>
  <c r="BY51" i="8" s="1"/>
  <c r="G44" i="8"/>
  <c r="AI12" i="8"/>
  <c r="BP51" i="8" l="1"/>
  <c r="BY19" i="8"/>
  <c r="J88" i="17" s="1"/>
  <c r="L88" i="17" s="1"/>
  <c r="G83" i="8"/>
  <c r="J111" i="17" s="1"/>
  <c r="L111" i="17" s="1"/>
  <c r="Q111" i="17" s="1"/>
  <c r="R111" i="17" s="1"/>
  <c r="BB51" i="8"/>
  <c r="L51" i="8"/>
  <c r="AN51" i="8"/>
  <c r="CD19" i="8"/>
  <c r="Z51" i="8"/>
  <c r="AN19" i="8"/>
  <c r="BB19" i="8"/>
  <c r="AW19" i="8"/>
  <c r="J60" i="17" s="1"/>
  <c r="L60" i="17" s="1"/>
  <c r="Q60" i="17" s="1"/>
  <c r="R60" i="17" s="1"/>
  <c r="BK19" i="8"/>
  <c r="O74" i="5" s="1"/>
  <c r="Q74" i="5" s="1"/>
  <c r="V74" i="5" s="1"/>
  <c r="W74" i="5" s="1"/>
  <c r="AB54" i="5"/>
  <c r="O89" i="5"/>
  <c r="Q89" i="5" s="1"/>
  <c r="G88" i="8"/>
  <c r="J107" i="17"/>
  <c r="L107" i="17" s="1"/>
  <c r="O108" i="5"/>
  <c r="Q108" i="5" s="1"/>
  <c r="X67" i="5"/>
  <c r="S66" i="17"/>
  <c r="W66" i="17"/>
  <c r="S53" i="17"/>
  <c r="W53" i="17"/>
  <c r="S27" i="17"/>
  <c r="W27" i="17"/>
  <c r="L83" i="8"/>
  <c r="BP19" i="8"/>
  <c r="AI19" i="8"/>
  <c r="G51" i="8"/>
  <c r="BK51" i="8"/>
  <c r="AW51" i="8"/>
  <c r="U51" i="8"/>
  <c r="BY56" i="8"/>
  <c r="AI51" i="8"/>
  <c r="T18" i="8"/>
  <c r="T17" i="8"/>
  <c r="S16" i="8"/>
  <c r="T16" i="8" s="1"/>
  <c r="S15" i="8"/>
  <c r="T15" i="8" s="1"/>
  <c r="T14" i="8"/>
  <c r="S13" i="8"/>
  <c r="T13" i="8" s="1"/>
  <c r="S12" i="8"/>
  <c r="T12" i="8" s="1"/>
  <c r="Q4" i="8"/>
  <c r="J73" i="17" l="1"/>
  <c r="L73" i="17" s="1"/>
  <c r="Q73" i="17" s="1"/>
  <c r="R73" i="17" s="1"/>
  <c r="O61" i="5"/>
  <c r="Q61" i="5" s="1"/>
  <c r="V61" i="5" s="1"/>
  <c r="W61" i="5" s="1"/>
  <c r="O112" i="5"/>
  <c r="Q112" i="5" s="1"/>
  <c r="V112" i="5" s="1"/>
  <c r="W112" i="5" s="1"/>
  <c r="AI56" i="8"/>
  <c r="AI57" i="8" s="1"/>
  <c r="O100" i="5"/>
  <c r="Q100" i="5" s="1"/>
  <c r="J99" i="17"/>
  <c r="L99" i="17" s="1"/>
  <c r="G56" i="8"/>
  <c r="G57" i="8" s="1"/>
  <c r="O90" i="5"/>
  <c r="Q90" i="5" s="1"/>
  <c r="J89" i="17"/>
  <c r="L89" i="17" s="1"/>
  <c r="Y107" i="17"/>
  <c r="Z107" i="17" s="1"/>
  <c r="Q107" i="17"/>
  <c r="R107" i="17" s="1"/>
  <c r="U107" i="17"/>
  <c r="V107" i="17" s="1"/>
  <c r="Q88" i="17"/>
  <c r="R88" i="17" s="1"/>
  <c r="U88" i="17"/>
  <c r="V88" i="17" s="1"/>
  <c r="Y88" i="17"/>
  <c r="Z88" i="17" s="1"/>
  <c r="AW56" i="8"/>
  <c r="AW57" i="8" s="1"/>
  <c r="J100" i="17"/>
  <c r="L100" i="17" s="1"/>
  <c r="O101" i="5"/>
  <c r="Q101" i="5" s="1"/>
  <c r="BK56" i="8"/>
  <c r="BK57" i="8" s="1"/>
  <c r="O107" i="5"/>
  <c r="Q107" i="5" s="1"/>
  <c r="J106" i="17"/>
  <c r="L106" i="17" s="1"/>
  <c r="V108" i="5"/>
  <c r="W108" i="5" s="1"/>
  <c r="AD108" i="5"/>
  <c r="AE108" i="5" s="1"/>
  <c r="Z108" i="5"/>
  <c r="AA108" i="5" s="1"/>
  <c r="U56" i="8"/>
  <c r="U57" i="8" s="1"/>
  <c r="O91" i="5"/>
  <c r="Q91" i="5" s="1"/>
  <c r="J90" i="17"/>
  <c r="L90" i="17" s="1"/>
  <c r="J34" i="17"/>
  <c r="L34" i="17" s="1"/>
  <c r="Q34" i="17" s="1"/>
  <c r="R34" i="17" s="1"/>
  <c r="O35" i="5"/>
  <c r="Q35" i="5" s="1"/>
  <c r="V35" i="5" s="1"/>
  <c r="W35" i="5" s="1"/>
  <c r="Z89" i="5"/>
  <c r="AA89" i="5" s="1"/>
  <c r="V89" i="5"/>
  <c r="W89" i="5" s="1"/>
  <c r="AD89" i="5"/>
  <c r="AE89" i="5" s="1"/>
  <c r="U18" i="8"/>
  <c r="Z18" i="8"/>
  <c r="U13" i="8"/>
  <c r="Z13" i="8"/>
  <c r="U17" i="8"/>
  <c r="Z17" i="8"/>
  <c r="U14" i="8"/>
  <c r="Z14" i="8"/>
  <c r="U15" i="8"/>
  <c r="Z15" i="8"/>
  <c r="U12" i="8"/>
  <c r="Z12" i="8"/>
  <c r="U16" i="8"/>
  <c r="Z16" i="8"/>
  <c r="BY57" i="8"/>
  <c r="E13" i="8"/>
  <c r="F13" i="8" s="1"/>
  <c r="U19" i="8" l="1"/>
  <c r="J17" i="17" s="1"/>
  <c r="L17" i="17" s="1"/>
  <c r="Q17" i="17" s="1"/>
  <c r="R17" i="17" s="1"/>
  <c r="R107" i="5"/>
  <c r="M106" i="17"/>
  <c r="R90" i="5"/>
  <c r="M89" i="17"/>
  <c r="Z91" i="5"/>
  <c r="AA91" i="5" s="1"/>
  <c r="AD91" i="5"/>
  <c r="AE91" i="5" s="1"/>
  <c r="V91" i="5"/>
  <c r="W91" i="5" s="1"/>
  <c r="Z101" i="5"/>
  <c r="AA101" i="5" s="1"/>
  <c r="AD101" i="5"/>
  <c r="AE101" i="5" s="1"/>
  <c r="V101" i="5"/>
  <c r="W101" i="5" s="1"/>
  <c r="U99" i="17"/>
  <c r="V99" i="17" s="1"/>
  <c r="Q99" i="17"/>
  <c r="R99" i="17" s="1"/>
  <c r="Y99" i="17"/>
  <c r="Z99" i="17" s="1"/>
  <c r="Y106" i="17"/>
  <c r="Z106" i="17" s="1"/>
  <c r="U106" i="17"/>
  <c r="V106" i="17" s="1"/>
  <c r="Q106" i="17"/>
  <c r="R106" i="17" s="1"/>
  <c r="Q89" i="17"/>
  <c r="R89" i="17" s="1"/>
  <c r="U89" i="17"/>
  <c r="V89" i="17" s="1"/>
  <c r="Y89" i="17"/>
  <c r="Z89" i="17" s="1"/>
  <c r="Z100" i="5"/>
  <c r="AA100" i="5" s="1"/>
  <c r="V100" i="5"/>
  <c r="W100" i="5" s="1"/>
  <c r="AD100" i="5"/>
  <c r="AE100" i="5" s="1"/>
  <c r="R108" i="5"/>
  <c r="M107" i="17"/>
  <c r="R91" i="5"/>
  <c r="M90" i="17"/>
  <c r="Q90" i="17"/>
  <c r="R90" i="17" s="1"/>
  <c r="Y90" i="17"/>
  <c r="Z90" i="17" s="1"/>
  <c r="U90" i="17"/>
  <c r="V90" i="17" s="1"/>
  <c r="R100" i="5"/>
  <c r="M99" i="17"/>
  <c r="Q100" i="17"/>
  <c r="R100" i="17" s="1"/>
  <c r="Y100" i="17"/>
  <c r="Z100" i="17" s="1"/>
  <c r="U100" i="17"/>
  <c r="V100" i="17" s="1"/>
  <c r="R101" i="5"/>
  <c r="M100" i="17"/>
  <c r="Z19" i="8"/>
  <c r="V107" i="5"/>
  <c r="W107" i="5" s="1"/>
  <c r="Z107" i="5"/>
  <c r="AA107" i="5" s="1"/>
  <c r="AD107" i="5"/>
  <c r="AE107" i="5" s="1"/>
  <c r="V90" i="5"/>
  <c r="W90" i="5" s="1"/>
  <c r="Z90" i="5"/>
  <c r="AA90" i="5" s="1"/>
  <c r="AD90" i="5"/>
  <c r="AE90" i="5" s="1"/>
  <c r="G13" i="8"/>
  <c r="L13" i="8"/>
  <c r="P27" i="6"/>
  <c r="P26" i="6"/>
  <c r="O17" i="5" l="1"/>
  <c r="Q17" i="5" s="1"/>
  <c r="V17" i="5" s="1"/>
  <c r="W17" i="5" s="1"/>
  <c r="CD26" i="10"/>
  <c r="CH26" i="10" s="1"/>
  <c r="BO26" i="10"/>
  <c r="BS26" i="10" s="1"/>
  <c r="AZ26" i="10"/>
  <c r="BD26" i="10" s="1"/>
  <c r="AK26" i="10"/>
  <c r="AO26" i="10" s="1"/>
  <c r="Z26" i="10"/>
  <c r="AI21" i="8"/>
  <c r="AI24" i="8" s="1"/>
  <c r="AW21" i="8"/>
  <c r="AW24" i="8" s="1"/>
  <c r="BK24" i="8"/>
  <c r="G21" i="8"/>
  <c r="P35" i="6"/>
  <c r="P34" i="6"/>
  <c r="P37" i="6"/>
  <c r="P36" i="6"/>
  <c r="P25" i="6"/>
  <c r="P23" i="6"/>
  <c r="P24" i="6"/>
  <c r="P21" i="6"/>
  <c r="P20" i="6"/>
  <c r="F43" i="12"/>
  <c r="G43" i="12" s="1"/>
  <c r="P19" i="6"/>
  <c r="P18" i="6"/>
  <c r="F41" i="12"/>
  <c r="G41" i="12" s="1"/>
  <c r="F40" i="12"/>
  <c r="G40" i="12" s="1"/>
  <c r="H46" i="12"/>
  <c r="D32" i="12"/>
  <c r="F20" i="13"/>
  <c r="G20" i="13" s="1"/>
  <c r="F19" i="13"/>
  <c r="G19" i="13" s="1"/>
  <c r="P17" i="6"/>
  <c r="P16" i="6"/>
  <c r="E17" i="13"/>
  <c r="F17" i="13" s="1"/>
  <c r="G17" i="13" s="1"/>
  <c r="N15" i="6"/>
  <c r="O15" i="6" s="1"/>
  <c r="P15" i="6" s="1"/>
  <c r="E14" i="13"/>
  <c r="F14" i="13" s="1"/>
  <c r="G14" i="13" s="1"/>
  <c r="E16" i="13"/>
  <c r="F16" i="13" s="1"/>
  <c r="G16" i="13" s="1"/>
  <c r="F15" i="13"/>
  <c r="G15" i="13" s="1"/>
  <c r="F13" i="13"/>
  <c r="G13" i="13" s="1"/>
  <c r="H23" i="13"/>
  <c r="D5" i="13"/>
  <c r="P13" i="6"/>
  <c r="O14" i="6"/>
  <c r="P14" i="6" s="1"/>
  <c r="Q15" i="12"/>
  <c r="R15" i="12" s="1"/>
  <c r="Q14" i="12"/>
  <c r="R14" i="12" s="1"/>
  <c r="Q13" i="12"/>
  <c r="R13" i="12" s="1"/>
  <c r="S17" i="12"/>
  <c r="F14" i="12"/>
  <c r="G14" i="12" s="1"/>
  <c r="F13" i="12"/>
  <c r="G13" i="12" s="1"/>
  <c r="H17" i="12"/>
  <c r="G15" i="12"/>
  <c r="F15" i="12"/>
  <c r="D5" i="12"/>
  <c r="H34" i="11"/>
  <c r="F32" i="11"/>
  <c r="F31" i="11"/>
  <c r="F30" i="11"/>
  <c r="F29" i="11"/>
  <c r="F28" i="11"/>
  <c r="P12" i="6"/>
  <c r="P8" i="6"/>
  <c r="P11" i="6"/>
  <c r="P10" i="6"/>
  <c r="E18" i="11"/>
  <c r="F18" i="11" s="1"/>
  <c r="E19" i="11"/>
  <c r="F19" i="11" s="1"/>
  <c r="E24" i="11"/>
  <c r="F24" i="11" s="1"/>
  <c r="E23" i="11"/>
  <c r="F23" i="11" s="1"/>
  <c r="E21" i="11"/>
  <c r="F21" i="11" s="1"/>
  <c r="E20" i="11"/>
  <c r="F20" i="11" s="1"/>
  <c r="E22" i="11"/>
  <c r="F22" i="11" s="1"/>
  <c r="E26" i="11"/>
  <c r="F26" i="11" s="1"/>
  <c r="C10" i="11"/>
  <c r="F14" i="6"/>
  <c r="G14" i="6" s="1"/>
  <c r="G18" i="11" l="1"/>
  <c r="L18" i="11"/>
  <c r="BY24" i="8"/>
  <c r="R16" i="12"/>
  <c r="L30" i="11"/>
  <c r="G30" i="11"/>
  <c r="L31" i="11"/>
  <c r="G31" i="11"/>
  <c r="L28" i="11"/>
  <c r="G28" i="11"/>
  <c r="L32" i="11"/>
  <c r="G32" i="11"/>
  <c r="L29" i="11"/>
  <c r="G29" i="11"/>
  <c r="G26" i="11"/>
  <c r="L26" i="11"/>
  <c r="G23" i="11"/>
  <c r="L23" i="11"/>
  <c r="G22" i="11"/>
  <c r="L22" i="11"/>
  <c r="G24" i="11"/>
  <c r="L24" i="11"/>
  <c r="G20" i="11"/>
  <c r="L20" i="11"/>
  <c r="G19" i="11"/>
  <c r="L19" i="11"/>
  <c r="G21" i="11"/>
  <c r="L21" i="11"/>
  <c r="F42" i="12"/>
  <c r="O18" i="13"/>
  <c r="P18" i="13" s="1"/>
  <c r="Q18" i="13" s="1"/>
  <c r="R18" i="13" s="1"/>
  <c r="R22" i="13" s="1"/>
  <c r="E18" i="13"/>
  <c r="F18" i="13" s="1"/>
  <c r="G18" i="13" s="1"/>
  <c r="G22" i="13" s="1"/>
  <c r="O46" i="5" s="1"/>
  <c r="Q46" i="5" s="1"/>
  <c r="F26" i="13"/>
  <c r="U24" i="8"/>
  <c r="T24" i="8"/>
  <c r="BX24" i="8"/>
  <c r="AW25" i="8"/>
  <c r="AV24" i="8"/>
  <c r="AI25" i="8"/>
  <c r="AH24" i="8"/>
  <c r="BK25" i="8"/>
  <c r="BK26" i="8" s="1"/>
  <c r="BJ24" i="8"/>
  <c r="G89" i="8"/>
  <c r="F88" i="8"/>
  <c r="G16" i="12"/>
  <c r="Q20" i="12"/>
  <c r="F20" i="12"/>
  <c r="G19" i="10"/>
  <c r="G20" i="10"/>
  <c r="G21" i="10"/>
  <c r="G22" i="10"/>
  <c r="G23" i="10"/>
  <c r="F14" i="10"/>
  <c r="G14" i="10" s="1"/>
  <c r="D7" i="10"/>
  <c r="I18" i="10" s="1"/>
  <c r="L18" i="10" s="1"/>
  <c r="G18" i="10"/>
  <c r="K18" i="10" s="1"/>
  <c r="G17" i="10"/>
  <c r="F16" i="10"/>
  <c r="G16" i="10" s="1"/>
  <c r="F15" i="10"/>
  <c r="G15" i="10" s="1"/>
  <c r="F13" i="10"/>
  <c r="G13" i="10" s="1"/>
  <c r="F12" i="10"/>
  <c r="G12" i="10" s="1"/>
  <c r="K12" i="10" s="1"/>
  <c r="D4" i="10"/>
  <c r="V46" i="5" l="1"/>
  <c r="W46" i="5" s="1"/>
  <c r="Z46" i="5"/>
  <c r="AA46" i="5" s="1"/>
  <c r="H238" i="10"/>
  <c r="H267" i="10"/>
  <c r="H242" i="10"/>
  <c r="H271" i="10"/>
  <c r="H241" i="10"/>
  <c r="H270" i="10"/>
  <c r="H269" i="10"/>
  <c r="H240" i="10"/>
  <c r="H177" i="10"/>
  <c r="H208" i="10"/>
  <c r="H180" i="10"/>
  <c r="H211" i="10"/>
  <c r="H181" i="10"/>
  <c r="H212" i="10"/>
  <c r="H210" i="10"/>
  <c r="H179" i="10"/>
  <c r="R26" i="13"/>
  <c r="O81" i="5"/>
  <c r="Q81" i="5" s="1"/>
  <c r="H14" i="10"/>
  <c r="H17" i="10"/>
  <c r="H13" i="10"/>
  <c r="H16" i="10"/>
  <c r="H15" i="10"/>
  <c r="R74" i="5"/>
  <c r="M73" i="17"/>
  <c r="O92" i="5"/>
  <c r="Q92" i="5" s="1"/>
  <c r="J91" i="17"/>
  <c r="L91" i="17" s="1"/>
  <c r="J30" i="17"/>
  <c r="L30" i="17" s="1"/>
  <c r="Q30" i="17" s="1"/>
  <c r="R30" i="17" s="1"/>
  <c r="O31" i="5"/>
  <c r="Q31" i="5" s="1"/>
  <c r="V31" i="5" s="1"/>
  <c r="W31" i="5" s="1"/>
  <c r="R112" i="5"/>
  <c r="M111" i="17"/>
  <c r="J12" i="17"/>
  <c r="L12" i="17" s="1"/>
  <c r="O12" i="5"/>
  <c r="Q12" i="5" s="1"/>
  <c r="F24" i="12"/>
  <c r="R61" i="5"/>
  <c r="M60" i="17"/>
  <c r="R35" i="5"/>
  <c r="M34" i="17"/>
  <c r="L33" i="11"/>
  <c r="H148" i="10"/>
  <c r="H21" i="10"/>
  <c r="H150" i="10"/>
  <c r="H23" i="10"/>
  <c r="H146" i="10"/>
  <c r="H19" i="10"/>
  <c r="BA52" i="10"/>
  <c r="H149" i="10"/>
  <c r="H22" i="10"/>
  <c r="U25" i="8"/>
  <c r="H12" i="10"/>
  <c r="F423" i="11"/>
  <c r="G423" i="11" s="1"/>
  <c r="G42" i="12"/>
  <c r="G45" i="12" s="1"/>
  <c r="F49" i="12"/>
  <c r="H18" i="10"/>
  <c r="H118" i="10"/>
  <c r="BA55" i="10"/>
  <c r="AL55" i="10"/>
  <c r="H90" i="10"/>
  <c r="W55" i="10"/>
  <c r="H55" i="10"/>
  <c r="CE22" i="10"/>
  <c r="BP22" i="10"/>
  <c r="BA22" i="10"/>
  <c r="AL22" i="10"/>
  <c r="W22" i="10"/>
  <c r="H117" i="10"/>
  <c r="H89" i="10"/>
  <c r="W54" i="10"/>
  <c r="H54" i="10"/>
  <c r="BA54" i="10"/>
  <c r="AL54" i="10"/>
  <c r="AL21" i="10"/>
  <c r="CE21" i="10"/>
  <c r="BP21" i="10"/>
  <c r="BA21" i="10"/>
  <c r="W21" i="10"/>
  <c r="H119" i="10"/>
  <c r="BA56" i="10"/>
  <c r="AL56" i="10"/>
  <c r="W56" i="10"/>
  <c r="H91" i="10"/>
  <c r="H56" i="10"/>
  <c r="CE23" i="10"/>
  <c r="BP23" i="10"/>
  <c r="BA23" i="10"/>
  <c r="AL23" i="10"/>
  <c r="W23" i="10"/>
  <c r="H115" i="10"/>
  <c r="H87" i="10"/>
  <c r="W52" i="10"/>
  <c r="H52" i="10"/>
  <c r="AL52" i="10"/>
  <c r="AL19" i="10"/>
  <c r="CE19" i="10"/>
  <c r="BP19" i="10"/>
  <c r="BA19" i="10"/>
  <c r="W19" i="10"/>
  <c r="AW58" i="8"/>
  <c r="BK58" i="8"/>
  <c r="AW26" i="8"/>
  <c r="BY25" i="8"/>
  <c r="M88" i="17" s="1"/>
  <c r="BY58" i="8"/>
  <c r="G90" i="8"/>
  <c r="G58" i="8"/>
  <c r="AI26" i="8"/>
  <c r="U58" i="8"/>
  <c r="AI58" i="8"/>
  <c r="F46" i="12"/>
  <c r="G46" i="12" s="1"/>
  <c r="Q17" i="12"/>
  <c r="F17" i="12"/>
  <c r="G17" i="12" s="1"/>
  <c r="G20" i="12" s="1"/>
  <c r="F34" i="11"/>
  <c r="G34" i="11" s="1"/>
  <c r="F37" i="11"/>
  <c r="L14" i="10"/>
  <c r="K14" i="10" s="1"/>
  <c r="L13" i="10"/>
  <c r="K13" i="10" s="1"/>
  <c r="L15" i="10"/>
  <c r="K15" i="10" s="1"/>
  <c r="L17" i="10"/>
  <c r="K17" i="10" s="1"/>
  <c r="L16" i="10"/>
  <c r="K16" i="10" s="1"/>
  <c r="G37" i="11" l="1"/>
  <c r="H276" i="10"/>
  <c r="H247" i="10"/>
  <c r="V81" i="5"/>
  <c r="W81" i="5" s="1"/>
  <c r="Z81" i="5"/>
  <c r="AA81" i="5" s="1"/>
  <c r="AD81" i="5"/>
  <c r="AE81" i="5" s="1"/>
  <c r="H217" i="10"/>
  <c r="R27" i="13"/>
  <c r="R81" i="5" s="1"/>
  <c r="H186" i="10"/>
  <c r="T90" i="5"/>
  <c r="AB90" i="5" s="1"/>
  <c r="O89" i="17"/>
  <c r="W89" i="17" s="1"/>
  <c r="Y91" i="17"/>
  <c r="Z91" i="17" s="1"/>
  <c r="U91" i="17"/>
  <c r="V91" i="17" s="1"/>
  <c r="T100" i="5"/>
  <c r="O99" i="17"/>
  <c r="W99" i="17" s="1"/>
  <c r="T112" i="5"/>
  <c r="X112" i="5" s="1"/>
  <c r="O111" i="17"/>
  <c r="T107" i="5"/>
  <c r="O106" i="17"/>
  <c r="W106" i="17" s="1"/>
  <c r="G49" i="12"/>
  <c r="G50" i="12" s="1"/>
  <c r="J37" i="17"/>
  <c r="L37" i="17" s="1"/>
  <c r="O38" i="5"/>
  <c r="Q38" i="5" s="1"/>
  <c r="J63" i="17"/>
  <c r="L63" i="17" s="1"/>
  <c r="Q63" i="17" s="1"/>
  <c r="R63" i="17" s="1"/>
  <c r="O64" i="5"/>
  <c r="Z92" i="5"/>
  <c r="AA92" i="5" s="1"/>
  <c r="AD92" i="5"/>
  <c r="AE92" i="5" s="1"/>
  <c r="Z12" i="5"/>
  <c r="AA12" i="5" s="1"/>
  <c r="V12" i="5"/>
  <c r="W12" i="5" s="1"/>
  <c r="AD12" i="5"/>
  <c r="AE12" i="5" s="1"/>
  <c r="T61" i="5"/>
  <c r="O60" i="17"/>
  <c r="T91" i="5"/>
  <c r="AB91" i="5" s="1"/>
  <c r="O90" i="17"/>
  <c r="W90" i="17" s="1"/>
  <c r="T108" i="5"/>
  <c r="O107" i="17"/>
  <c r="W107" i="17" s="1"/>
  <c r="T74" i="5"/>
  <c r="O73" i="17"/>
  <c r="T35" i="5"/>
  <c r="O34" i="17"/>
  <c r="T101" i="5"/>
  <c r="O100" i="17"/>
  <c r="W100" i="17" s="1"/>
  <c r="R17" i="5"/>
  <c r="M17" i="17"/>
  <c r="Y12" i="17"/>
  <c r="Z12" i="17" s="1"/>
  <c r="Q12" i="17"/>
  <c r="R12" i="17" s="1"/>
  <c r="U12" i="17"/>
  <c r="V12" i="17" s="1"/>
  <c r="K24" i="10"/>
  <c r="K28" i="10" s="1"/>
  <c r="K29" i="10" s="1"/>
  <c r="G21" i="12"/>
  <c r="R17" i="12"/>
  <c r="R20" i="12" s="1"/>
  <c r="R21" i="12" s="1"/>
  <c r="L423" i="11"/>
  <c r="L426" i="11" s="1"/>
  <c r="G426" i="11"/>
  <c r="J21" i="17" s="1"/>
  <c r="L21" i="17" s="1"/>
  <c r="Q21" i="17" s="1"/>
  <c r="R21" i="17" s="1"/>
  <c r="U26" i="8"/>
  <c r="W28" i="10"/>
  <c r="K156" i="10"/>
  <c r="R23" i="5" s="1"/>
  <c r="BA61" i="10"/>
  <c r="H124" i="10"/>
  <c r="H155" i="10"/>
  <c r="BY26" i="8"/>
  <c r="R89" i="5"/>
  <c r="F430" i="11"/>
  <c r="G26" i="13"/>
  <c r="G27" i="13" s="1"/>
  <c r="R46" i="5" s="1"/>
  <c r="AL28" i="10"/>
  <c r="W61" i="10"/>
  <c r="BA28" i="10"/>
  <c r="H96" i="10"/>
  <c r="BP28" i="10"/>
  <c r="AL61" i="10"/>
  <c r="CE28" i="10"/>
  <c r="H61" i="10"/>
  <c r="H28" i="10"/>
  <c r="B29" i="9"/>
  <c r="C29" i="9" s="1"/>
  <c r="AB108" i="5" l="1"/>
  <c r="X108" i="5"/>
  <c r="AB107" i="5"/>
  <c r="X107" i="5"/>
  <c r="AB100" i="5"/>
  <c r="X100" i="5"/>
  <c r="AB101" i="5"/>
  <c r="X101" i="5"/>
  <c r="R28" i="13"/>
  <c r="T81" i="5" s="1"/>
  <c r="AB81" i="5" s="1"/>
  <c r="M91" i="17"/>
  <c r="R92" i="5"/>
  <c r="Y37" i="17"/>
  <c r="Z37" i="17" s="1"/>
  <c r="Q37" i="17"/>
  <c r="R37" i="17" s="1"/>
  <c r="U37" i="17"/>
  <c r="V37" i="17" s="1"/>
  <c r="T17" i="5"/>
  <c r="O17" i="17"/>
  <c r="T89" i="5"/>
  <c r="AB89" i="5" s="1"/>
  <c r="O88" i="17"/>
  <c r="W88" i="17" s="1"/>
  <c r="M23" i="17"/>
  <c r="K30" i="10"/>
  <c r="O96" i="17" s="1"/>
  <c r="W96" i="17" s="1"/>
  <c r="M96" i="17"/>
  <c r="G22" i="12"/>
  <c r="M12" i="17"/>
  <c r="R12" i="5"/>
  <c r="M37" i="17"/>
  <c r="R38" i="5"/>
  <c r="Z38" i="5"/>
  <c r="AA38" i="5" s="1"/>
  <c r="AD38" i="5"/>
  <c r="AE38" i="5" s="1"/>
  <c r="V38" i="5"/>
  <c r="W38" i="5" s="1"/>
  <c r="G430" i="11"/>
  <c r="G431" i="11" s="1"/>
  <c r="M21" i="17" s="1"/>
  <c r="O21" i="5"/>
  <c r="Q21" i="5" s="1"/>
  <c r="V21" i="5" s="1"/>
  <c r="W21" i="5" s="1"/>
  <c r="R22" i="12"/>
  <c r="Q64" i="5"/>
  <c r="V64" i="5" s="1"/>
  <c r="W64" i="5" s="1"/>
  <c r="G38" i="11"/>
  <c r="K157" i="10"/>
  <c r="G51" i="12"/>
  <c r="G28" i="13"/>
  <c r="K124" i="10"/>
  <c r="K125" i="10" s="1"/>
  <c r="Z57" i="10"/>
  <c r="BD24" i="10"/>
  <c r="BS24" i="10"/>
  <c r="K92" i="10"/>
  <c r="K57" i="10"/>
  <c r="AO24" i="10"/>
  <c r="BD57" i="10"/>
  <c r="CH24" i="10"/>
  <c r="AO57" i="10"/>
  <c r="Z24" i="10"/>
  <c r="F18" i="8"/>
  <c r="L18" i="8" s="1"/>
  <c r="F17" i="8"/>
  <c r="L17" i="8" s="1"/>
  <c r="E16" i="8"/>
  <c r="F16" i="8" s="1"/>
  <c r="L16" i="8" s="1"/>
  <c r="E15" i="8"/>
  <c r="F15" i="8" s="1"/>
  <c r="L15" i="8" s="1"/>
  <c r="F14" i="8"/>
  <c r="L14" i="8" s="1"/>
  <c r="E12" i="8"/>
  <c r="F12" i="8" s="1"/>
  <c r="L12" i="8" s="1"/>
  <c r="C4" i="8"/>
  <c r="R10" i="7"/>
  <c r="Q6" i="7"/>
  <c r="Q5" i="7"/>
  <c r="K10" i="7"/>
  <c r="T20" i="7"/>
  <c r="M14" i="7"/>
  <c r="M15" i="7"/>
  <c r="M16" i="7"/>
  <c r="M17" i="7"/>
  <c r="M18" i="7"/>
  <c r="M19" i="7"/>
  <c r="M13" i="7"/>
  <c r="S15" i="7"/>
  <c r="T15" i="7" s="1"/>
  <c r="S18" i="7"/>
  <c r="T18" i="7" s="1"/>
  <c r="S19" i="7"/>
  <c r="T19" i="7" s="1"/>
  <c r="R14" i="7"/>
  <c r="S14" i="7" s="1"/>
  <c r="T14" i="7" s="1"/>
  <c r="R16" i="7"/>
  <c r="S16" i="7" s="1"/>
  <c r="T16" i="7" s="1"/>
  <c r="R17" i="7"/>
  <c r="S17" i="7" s="1"/>
  <c r="T17" i="7" s="1"/>
  <c r="R13" i="7"/>
  <c r="S13" i="7" s="1"/>
  <c r="T13" i="7" s="1"/>
  <c r="BI21" i="4"/>
  <c r="BI20" i="4"/>
  <c r="BI19" i="4"/>
  <c r="BI18" i="4"/>
  <c r="BI17" i="4"/>
  <c r="BI16" i="4"/>
  <c r="BI15" i="4"/>
  <c r="BG10" i="4"/>
  <c r="BG9" i="4"/>
  <c r="AV197" i="4"/>
  <c r="AV198" i="4"/>
  <c r="AV199" i="4"/>
  <c r="AV200" i="4"/>
  <c r="AV201" i="4"/>
  <c r="AV202" i="4"/>
  <c r="AV196" i="4"/>
  <c r="J6" i="7"/>
  <c r="J5" i="7"/>
  <c r="R24" i="5" l="1"/>
  <c r="T23" i="5"/>
  <c r="R21" i="5"/>
  <c r="AO61" i="10"/>
  <c r="AO62" i="10" s="1"/>
  <c r="R109" i="5" s="1"/>
  <c r="O109" i="5"/>
  <c r="Q109" i="5" s="1"/>
  <c r="V109" i="5" s="1"/>
  <c r="W109" i="5" s="1"/>
  <c r="J108" i="17"/>
  <c r="L108" i="17" s="1"/>
  <c r="Q108" i="17" s="1"/>
  <c r="R108" i="17" s="1"/>
  <c r="T92" i="5"/>
  <c r="O91" i="17"/>
  <c r="CH28" i="10"/>
  <c r="CH29" i="10" s="1"/>
  <c r="CH30" i="10" s="1"/>
  <c r="O103" i="17" s="1"/>
  <c r="W103" i="17" s="1"/>
  <c r="J103" i="17"/>
  <c r="L103" i="17" s="1"/>
  <c r="O104" i="5"/>
  <c r="Q104" i="5" s="1"/>
  <c r="K96" i="10"/>
  <c r="K97" i="10" s="1"/>
  <c r="J31" i="17"/>
  <c r="L31" i="17" s="1"/>
  <c r="O32" i="5"/>
  <c r="Q32" i="5" s="1"/>
  <c r="K126" i="10"/>
  <c r="O84" i="17" s="1"/>
  <c r="W84" i="17" s="1"/>
  <c r="M84" i="17"/>
  <c r="Z61" i="10"/>
  <c r="J105" i="17"/>
  <c r="L105" i="17" s="1"/>
  <c r="O106" i="5"/>
  <c r="Q106" i="5" s="1"/>
  <c r="BD61" i="10"/>
  <c r="BD62" i="10" s="1"/>
  <c r="R110" i="5" s="1"/>
  <c r="J109" i="17"/>
  <c r="L109" i="17" s="1"/>
  <c r="Q109" i="17" s="1"/>
  <c r="R109" i="17" s="1"/>
  <c r="O110" i="5"/>
  <c r="Q110" i="5" s="1"/>
  <c r="V110" i="5" s="1"/>
  <c r="W110" i="5" s="1"/>
  <c r="BS28" i="10"/>
  <c r="BS29" i="10" s="1"/>
  <c r="O103" i="5"/>
  <c r="Q103" i="5" s="1"/>
  <c r="J102" i="17"/>
  <c r="L102" i="17" s="1"/>
  <c r="T46" i="5"/>
  <c r="AB46" i="5" s="1"/>
  <c r="O45" i="17"/>
  <c r="W45" i="17" s="1"/>
  <c r="R64" i="5"/>
  <c r="M63" i="17"/>
  <c r="T12" i="5"/>
  <c r="O12" i="17"/>
  <c r="K61" i="10"/>
  <c r="K62" i="10" s="1"/>
  <c r="J104" i="17"/>
  <c r="L104" i="17" s="1"/>
  <c r="O105" i="5"/>
  <c r="Q105" i="5" s="1"/>
  <c r="O23" i="17"/>
  <c r="W23" i="17" s="1"/>
  <c r="Z28" i="10"/>
  <c r="Z29" i="10" s="1"/>
  <c r="J97" i="17"/>
  <c r="L97" i="17" s="1"/>
  <c r="O98" i="5"/>
  <c r="Q98" i="5" s="1"/>
  <c r="AO28" i="10"/>
  <c r="AO29" i="10" s="1"/>
  <c r="M98" i="17" s="1"/>
  <c r="J98" i="17"/>
  <c r="L98" i="17" s="1"/>
  <c r="O99" i="5"/>
  <c r="Q99" i="5" s="1"/>
  <c r="BD28" i="10"/>
  <c r="BD29" i="10" s="1"/>
  <c r="O102" i="5"/>
  <c r="Q102" i="5" s="1"/>
  <c r="J101" i="17"/>
  <c r="L101" i="17" s="1"/>
  <c r="T38" i="5"/>
  <c r="O37" i="17"/>
  <c r="Z62" i="10"/>
  <c r="G12" i="8"/>
  <c r="L19" i="8"/>
  <c r="G15" i="8"/>
  <c r="G16" i="8"/>
  <c r="G17" i="8"/>
  <c r="G14" i="8"/>
  <c r="G18" i="8"/>
  <c r="G432" i="11"/>
  <c r="G39" i="11"/>
  <c r="F24" i="8"/>
  <c r="T25" i="7"/>
  <c r="T26" i="7"/>
  <c r="T27" i="7" s="1"/>
  <c r="S25" i="7"/>
  <c r="K98" i="10" l="1"/>
  <c r="O31" i="17" s="1"/>
  <c r="W31" i="17" s="1"/>
  <c r="AO30" i="10"/>
  <c r="O98" i="17" s="1"/>
  <c r="W98" i="17" s="1"/>
  <c r="BS30" i="10"/>
  <c r="O102" i="17" s="1"/>
  <c r="W102" i="17" s="1"/>
  <c r="M102" i="17"/>
  <c r="BD30" i="10"/>
  <c r="O101" i="17" s="1"/>
  <c r="W101" i="17" s="1"/>
  <c r="M101" i="17"/>
  <c r="T21" i="5"/>
  <c r="X21" i="5" s="1"/>
  <c r="O21" i="17"/>
  <c r="S21" i="17" s="1"/>
  <c r="Y97" i="17"/>
  <c r="Z97" i="17" s="1"/>
  <c r="U97" i="17"/>
  <c r="V97" i="17" s="1"/>
  <c r="Q97" i="17"/>
  <c r="R97" i="17" s="1"/>
  <c r="Q105" i="17"/>
  <c r="R105" i="17" s="1"/>
  <c r="U105" i="17"/>
  <c r="V105" i="17" s="1"/>
  <c r="Y105" i="17"/>
  <c r="Z105" i="17" s="1"/>
  <c r="V32" i="5"/>
  <c r="W32" i="5" s="1"/>
  <c r="U103" i="17"/>
  <c r="V103" i="17" s="1"/>
  <c r="Q103" i="17"/>
  <c r="R103" i="17" s="1"/>
  <c r="Y103" i="17"/>
  <c r="Z103" i="17" s="1"/>
  <c r="Z98" i="5"/>
  <c r="AA98" i="5" s="1"/>
  <c r="V98" i="5"/>
  <c r="W98" i="5" s="1"/>
  <c r="AD98" i="5"/>
  <c r="AE98" i="5" s="1"/>
  <c r="V106" i="5"/>
  <c r="W106" i="5" s="1"/>
  <c r="Z106" i="5"/>
  <c r="AA106" i="5" s="1"/>
  <c r="AD106" i="5"/>
  <c r="AE106" i="5" s="1"/>
  <c r="Z104" i="5"/>
  <c r="AA104" i="5" s="1"/>
  <c r="V104" i="5"/>
  <c r="W104" i="5" s="1"/>
  <c r="AD104" i="5"/>
  <c r="AE104" i="5" s="1"/>
  <c r="Z99" i="5"/>
  <c r="AA99" i="5" s="1"/>
  <c r="AD99" i="5"/>
  <c r="AE99" i="5" s="1"/>
  <c r="V99" i="5"/>
  <c r="W99" i="5" s="1"/>
  <c r="Y101" i="17"/>
  <c r="Z101" i="17" s="1"/>
  <c r="Q101" i="17"/>
  <c r="R101" i="17" s="1"/>
  <c r="U101" i="17"/>
  <c r="V101" i="17" s="1"/>
  <c r="Y98" i="17"/>
  <c r="Z98" i="17" s="1"/>
  <c r="U98" i="17"/>
  <c r="V98" i="17" s="1"/>
  <c r="Q98" i="17"/>
  <c r="R98" i="17" s="1"/>
  <c r="Y104" i="17"/>
  <c r="Z104" i="17" s="1"/>
  <c r="U104" i="17"/>
  <c r="V104" i="17" s="1"/>
  <c r="Q104" i="17"/>
  <c r="R104" i="17" s="1"/>
  <c r="Q102" i="17"/>
  <c r="R102" i="17" s="1"/>
  <c r="Y102" i="17"/>
  <c r="Z102" i="17" s="1"/>
  <c r="U102" i="17"/>
  <c r="V102" i="17" s="1"/>
  <c r="Q31" i="17"/>
  <c r="R31" i="17" s="1"/>
  <c r="U31" i="17"/>
  <c r="V31" i="17" s="1"/>
  <c r="T64" i="5"/>
  <c r="X64" i="5" s="1"/>
  <c r="O63" i="17"/>
  <c r="S63" i="17" s="1"/>
  <c r="R105" i="5"/>
  <c r="M104" i="17"/>
  <c r="R102" i="5"/>
  <c r="Z63" i="10"/>
  <c r="O105" i="17" s="1"/>
  <c r="W105" i="17" s="1"/>
  <c r="M105" i="17"/>
  <c r="Z105" i="5"/>
  <c r="AA105" i="5" s="1"/>
  <c r="V105" i="5"/>
  <c r="W105" i="5" s="1"/>
  <c r="AD105" i="5"/>
  <c r="AE105" i="5" s="1"/>
  <c r="R106" i="5"/>
  <c r="R104" i="5"/>
  <c r="M103" i="17"/>
  <c r="Z30" i="10"/>
  <c r="O97" i="17" s="1"/>
  <c r="W97" i="17" s="1"/>
  <c r="M97" i="17"/>
  <c r="M31" i="17"/>
  <c r="R32" i="5"/>
  <c r="V102" i="5"/>
  <c r="W102" i="5" s="1"/>
  <c r="AD102" i="5"/>
  <c r="AE102" i="5" s="1"/>
  <c r="Z102" i="5"/>
  <c r="AA102" i="5" s="1"/>
  <c r="AD103" i="5"/>
  <c r="AE103" i="5" s="1"/>
  <c r="Z103" i="5"/>
  <c r="AA103" i="5" s="1"/>
  <c r="V103" i="5"/>
  <c r="W103" i="5" s="1"/>
  <c r="BD63" i="10"/>
  <c r="O109" i="17" s="1"/>
  <c r="M109" i="17"/>
  <c r="AO63" i="10"/>
  <c r="O108" i="17" s="1"/>
  <c r="M108" i="17"/>
  <c r="K63" i="10"/>
  <c r="O104" i="17" s="1"/>
  <c r="W104" i="17" s="1"/>
  <c r="R103" i="5"/>
  <c r="G19" i="8"/>
  <c r="G24" i="8" s="1"/>
  <c r="R99" i="5"/>
  <c r="T104" i="5"/>
  <c r="T32" i="5"/>
  <c r="R98" i="5"/>
  <c r="R97" i="5"/>
  <c r="N25" i="7"/>
  <c r="T103" i="5" l="1"/>
  <c r="AB103" i="5" s="1"/>
  <c r="T98" i="5"/>
  <c r="AB98" i="5" s="1"/>
  <c r="AB104" i="5"/>
  <c r="X104" i="5"/>
  <c r="T109" i="5"/>
  <c r="X109" i="5" s="1"/>
  <c r="T106" i="5"/>
  <c r="T102" i="5"/>
  <c r="T105" i="5"/>
  <c r="T110" i="5"/>
  <c r="X110" i="5" s="1"/>
  <c r="O111" i="5"/>
  <c r="Q111" i="5" s="1"/>
  <c r="V111" i="5" s="1"/>
  <c r="W111" i="5" s="1"/>
  <c r="J110" i="17"/>
  <c r="L110" i="17" s="1"/>
  <c r="Q110" i="17" s="1"/>
  <c r="R110" i="17" s="1"/>
  <c r="G25" i="8"/>
  <c r="T99" i="5"/>
  <c r="T97" i="5"/>
  <c r="C6" i="7"/>
  <c r="C5" i="7"/>
  <c r="AV16" i="4"/>
  <c r="AV17" i="4"/>
  <c r="AV18" i="4"/>
  <c r="AV19" i="4"/>
  <c r="AV20" i="4"/>
  <c r="AV21" i="4"/>
  <c r="AV15" i="4"/>
  <c r="X103" i="5" l="1"/>
  <c r="X98" i="5"/>
  <c r="AB97" i="5"/>
  <c r="X97" i="5"/>
  <c r="AB106" i="5"/>
  <c r="X106" i="5"/>
  <c r="AB99" i="5"/>
  <c r="X99" i="5"/>
  <c r="AB105" i="5"/>
  <c r="X105" i="5"/>
  <c r="AB102" i="5"/>
  <c r="X102" i="5"/>
  <c r="G26" i="8"/>
  <c r="M110" i="17"/>
  <c r="R111" i="5"/>
  <c r="BA191" i="4"/>
  <c r="AT191" i="4"/>
  <c r="BA190" i="4"/>
  <c r="AT190" i="4"/>
  <c r="BA165" i="4"/>
  <c r="AT165" i="4"/>
  <c r="BA164" i="4"/>
  <c r="AT164" i="4"/>
  <c r="BA137" i="4"/>
  <c r="AT137" i="4"/>
  <c r="BA136" i="4"/>
  <c r="AT136" i="4"/>
  <c r="BA113" i="4"/>
  <c r="AT113" i="4"/>
  <c r="BA112" i="4"/>
  <c r="AT112" i="4"/>
  <c r="T111" i="5" l="1"/>
  <c r="X111" i="5" s="1"/>
  <c r="O110" i="17"/>
  <c r="BA89" i="4"/>
  <c r="AT89" i="4"/>
  <c r="BA88" i="4"/>
  <c r="AT88" i="4"/>
  <c r="BA64" i="4"/>
  <c r="AT64" i="4"/>
  <c r="BA63" i="4"/>
  <c r="AT63" i="4"/>
  <c r="BA35" i="4"/>
  <c r="AT35" i="4"/>
  <c r="BA34" i="4"/>
  <c r="AT34" i="4"/>
  <c r="BA10" i="4"/>
  <c r="BA9" i="4"/>
  <c r="AT10" i="4"/>
  <c r="AT9" i="4"/>
  <c r="AM290" i="4"/>
  <c r="AM289" i="4"/>
  <c r="AM272" i="4"/>
  <c r="AM271" i="4"/>
  <c r="AM247" i="4"/>
  <c r="AM246" i="4"/>
  <c r="AM221" i="4"/>
  <c r="AM220" i="4"/>
  <c r="AM191" i="4"/>
  <c r="AM190" i="4"/>
  <c r="AM165" i="4"/>
  <c r="AM164" i="4"/>
  <c r="AM137" i="4"/>
  <c r="AM136" i="4"/>
  <c r="AM113" i="4"/>
  <c r="AM112" i="4"/>
  <c r="AM89" i="4"/>
  <c r="AM88" i="4"/>
  <c r="AM64" i="4"/>
  <c r="AM63" i="4"/>
  <c r="AM35" i="4"/>
  <c r="AM34" i="4"/>
  <c r="AM10" i="4"/>
  <c r="AM9" i="4"/>
  <c r="AA306" i="4"/>
  <c r="AA305" i="4"/>
  <c r="AI290" i="4"/>
  <c r="AI289" i="4"/>
  <c r="AE290" i="4"/>
  <c r="AE289" i="4"/>
  <c r="AA289" i="4"/>
  <c r="AA288" i="4"/>
  <c r="AI272" i="4"/>
  <c r="AI271" i="4"/>
  <c r="AE272" i="4"/>
  <c r="AE271" i="4"/>
  <c r="AA271" i="4"/>
  <c r="AA270" i="4"/>
  <c r="AI247" i="4"/>
  <c r="AI246" i="4"/>
  <c r="AE247" i="4"/>
  <c r="AE246" i="4"/>
  <c r="AA246" i="4"/>
  <c r="AA245" i="4"/>
  <c r="AI221" i="4"/>
  <c r="AI220" i="4"/>
  <c r="AE221" i="4"/>
  <c r="AE220" i="4"/>
  <c r="AA220" i="4"/>
  <c r="AA219" i="4"/>
  <c r="AI191" i="4"/>
  <c r="AI190" i="4"/>
  <c r="AE191" i="4"/>
  <c r="AE190" i="4"/>
  <c r="AA190" i="4"/>
  <c r="AA189" i="4"/>
  <c r="AI165" i="4"/>
  <c r="AI164" i="4"/>
  <c r="AE165" i="4"/>
  <c r="AE164" i="4"/>
  <c r="AA164" i="4"/>
  <c r="AA163" i="4"/>
  <c r="AA136" i="4"/>
  <c r="AA135" i="4"/>
  <c r="AE137" i="4"/>
  <c r="AE136" i="4"/>
  <c r="AI137" i="4"/>
  <c r="AI136" i="4"/>
  <c r="AI113" i="4"/>
  <c r="AI112" i="4"/>
  <c r="AE113" i="4"/>
  <c r="AE112" i="4"/>
  <c r="AA112" i="4"/>
  <c r="AA111" i="4"/>
  <c r="AA87" i="4"/>
  <c r="AA83" i="4"/>
  <c r="AE89" i="4"/>
  <c r="AE88" i="4"/>
  <c r="AI89" i="4"/>
  <c r="AI88" i="4"/>
  <c r="AI64" i="4"/>
  <c r="AI63" i="4"/>
  <c r="AE64" i="4"/>
  <c r="AE63" i="4"/>
  <c r="AI35" i="4"/>
  <c r="AI34" i="4"/>
  <c r="AE35" i="4"/>
  <c r="AE34" i="4"/>
  <c r="AA35" i="4"/>
  <c r="AA34" i="4"/>
  <c r="AI10" i="4"/>
  <c r="AI9" i="4"/>
  <c r="AE10" i="4"/>
  <c r="AE9" i="4"/>
  <c r="AA10" i="4"/>
  <c r="AA9" i="4"/>
  <c r="W290" i="4"/>
  <c r="W289" i="4"/>
  <c r="S290" i="4"/>
  <c r="S289" i="4"/>
  <c r="W272" i="4"/>
  <c r="W271" i="4"/>
  <c r="S272" i="4"/>
  <c r="S271" i="4"/>
  <c r="W247" i="4"/>
  <c r="W246" i="4"/>
  <c r="S247" i="4"/>
  <c r="S246" i="4"/>
  <c r="W221" i="4"/>
  <c r="W220" i="4"/>
  <c r="S221" i="4"/>
  <c r="S220" i="4"/>
  <c r="W191" i="4"/>
  <c r="W190" i="4"/>
  <c r="S191" i="4"/>
  <c r="S190" i="4"/>
  <c r="W165" i="4"/>
  <c r="W164" i="4"/>
  <c r="S165" i="4"/>
  <c r="S164" i="4"/>
  <c r="S137" i="4"/>
  <c r="S136" i="4"/>
  <c r="W137" i="4"/>
  <c r="W136" i="4"/>
  <c r="W113" i="4"/>
  <c r="W112" i="4"/>
  <c r="S113" i="4"/>
  <c r="S112" i="4"/>
  <c r="W89" i="4"/>
  <c r="W88" i="4"/>
  <c r="S89" i="4"/>
  <c r="S88" i="4"/>
  <c r="W64" i="4"/>
  <c r="W63" i="4"/>
  <c r="S64" i="4"/>
  <c r="S63" i="4"/>
  <c r="S35" i="4"/>
  <c r="S34" i="4"/>
  <c r="W35" i="4"/>
  <c r="W34" i="4"/>
  <c r="W10" i="4"/>
  <c r="W9" i="4"/>
  <c r="S10" i="4"/>
  <c r="S9" i="4"/>
  <c r="M290" i="4"/>
  <c r="M289" i="4"/>
  <c r="H290" i="4"/>
  <c r="H289" i="4"/>
  <c r="H272" i="4"/>
  <c r="H271" i="4"/>
  <c r="M272" i="4"/>
  <c r="M271" i="4"/>
  <c r="H247" i="4"/>
  <c r="H246" i="4"/>
  <c r="M247" i="4"/>
  <c r="M246" i="4"/>
  <c r="M221" i="4"/>
  <c r="M220" i="4"/>
  <c r="H221" i="4"/>
  <c r="H220" i="4"/>
  <c r="H191" i="4"/>
  <c r="H190" i="4"/>
  <c r="M191" i="4"/>
  <c r="M190" i="4"/>
  <c r="M165" i="4"/>
  <c r="M164" i="4"/>
  <c r="H165" i="4"/>
  <c r="H164" i="4"/>
  <c r="B165" i="4"/>
  <c r="B164" i="4"/>
  <c r="B137" i="4"/>
  <c r="B136" i="4"/>
  <c r="H137" i="4"/>
  <c r="H136" i="4"/>
  <c r="M137" i="4"/>
  <c r="M136" i="4"/>
  <c r="M113" i="4"/>
  <c r="M112" i="4"/>
  <c r="H113" i="4"/>
  <c r="H112" i="4"/>
  <c r="B113" i="4"/>
  <c r="B112" i="4"/>
  <c r="B89" i="4"/>
  <c r="B88" i="4"/>
  <c r="H89" i="4"/>
  <c r="H88" i="4"/>
  <c r="M89" i="4"/>
  <c r="M88" i="4"/>
  <c r="M64" i="4"/>
  <c r="M63" i="4"/>
  <c r="H64" i="4"/>
  <c r="H63" i="4"/>
  <c r="B64" i="4"/>
  <c r="B63" i="4"/>
  <c r="B35" i="4"/>
  <c r="B34" i="4"/>
  <c r="H35" i="4"/>
  <c r="H34" i="4"/>
  <c r="M35" i="4"/>
  <c r="M34" i="4"/>
  <c r="M10" i="4"/>
  <c r="M9" i="4"/>
  <c r="H10" i="4"/>
  <c r="H9" i="4"/>
  <c r="B9" i="4"/>
  <c r="B10" i="4"/>
  <c r="AT290" i="4" l="1"/>
  <c r="AT289" i="4"/>
  <c r="AT272" i="4"/>
  <c r="AT271" i="4"/>
  <c r="AT247" i="4"/>
  <c r="AT246" i="4"/>
  <c r="AT221" i="4"/>
  <c r="AT22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MISTICO</author>
  </authors>
  <commentList>
    <comment ref="B38" authorId="0" shapeId="0" xr:uid="{67997653-7E5B-4923-810F-7AF79D9AA17D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ES EL MISMO DE ERECTOX</t>
        </r>
      </text>
    </comment>
    <comment ref="AC79" authorId="0" shapeId="0" xr:uid="{AF036C28-98E7-43F8-97D0-6BC70EB8F775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NO SE LE VENDE A ELAINE</t>
        </r>
      </text>
    </comment>
    <comment ref="AC91" authorId="0" shapeId="0" xr:uid="{9D96F887-8D9C-47AF-8D17-F5BFF3FCD2E5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NO SE LE VENDE A ELAINE</t>
        </r>
      </text>
    </comment>
    <comment ref="AC92" authorId="0" shapeId="0" xr:uid="{673B4335-F8AA-4A1C-8460-F8F6ADCA9AEF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NO SE LE VENDE A ELAINE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MISTICO</author>
  </authors>
  <commentList>
    <comment ref="E13" authorId="0" shapeId="0" xr:uid="{003657DA-9A98-484D-9BD4-E1409F455C10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PRECIO DE FAC 09/04/2025 </t>
        </r>
      </text>
    </comment>
    <comment ref="N19" authorId="0" shapeId="0" xr:uid="{91D538F9-E371-4537-A957-1FF830FDEBF9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2 BOTELLAS</t>
        </r>
      </text>
    </comment>
    <comment ref="E35" authorId="0" shapeId="0" xr:uid="{2C5A1B7A-C4D4-43D5-8014-20B7C4866F8B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EN LA FAC DEL 09/04/2025 EL PRECIO ES DE $15.900 + IVA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MISTICO</author>
  </authors>
  <commentList>
    <comment ref="B39" authorId="0" shapeId="0" xr:uid="{C5848C11-1933-40D4-92F9-3431C145E55B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ES EL MISMO DE ERECTOX</t>
        </r>
      </text>
    </comment>
    <comment ref="C39" authorId="0" shapeId="0" xr:uid="{A8C0B408-1C31-433E-8442-4897EF32A4B0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ES EL MISMO DE ERECTOX</t>
        </r>
      </text>
    </comment>
    <comment ref="AH80" authorId="0" shapeId="0" xr:uid="{DC9ADCC2-12FD-4E22-BA78-DE8935CC26BA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NO SE LE VENDE A ELAINE</t>
        </r>
      </text>
    </comment>
    <comment ref="AH92" authorId="0" shapeId="0" xr:uid="{79867486-9E2C-4A1C-8788-C2A01A4794DC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NO SE LE VENDE A ELAINE</t>
        </r>
      </text>
    </comment>
    <comment ref="AH93" authorId="0" shapeId="0" xr:uid="{A6D7EBC4-D1F3-4D57-BE19-D328D4055420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NO SE LE VENDE A ELAINE</t>
        </r>
      </text>
    </comment>
    <comment ref="B130" authorId="0" shapeId="0" xr:uid="{38DB9382-1FB8-405C-8003-BFE35E2855CB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CAMBIO RECETA EL 24/6/2025
</t>
        </r>
      </text>
    </comment>
    <comment ref="AH130" authorId="0" shapeId="0" xr:uid="{AB20BAAC-8C4B-4357-805B-AFD2D2A96564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NO SE LE VENDE A ELAINE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MISTICO</author>
  </authors>
  <commentList>
    <comment ref="H12" authorId="0" shapeId="0" xr:uid="{5A2A607D-A5D7-424A-9571-2D294EAAE797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PRECIO DE FAC 09/04/2025 </t>
        </r>
      </text>
    </comment>
    <comment ref="H18" authorId="0" shapeId="0" xr:uid="{09ED819A-7F2F-4936-A859-41F92C4B6477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TIENE UN GALON SE CONVIERTE A 3785GR</t>
        </r>
      </text>
    </comment>
    <comment ref="H21" authorId="0" shapeId="0" xr:uid="{7D2D75F8-3EBD-408A-910E-6BDB918C1C05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EN LA FAC DEL 09/04/2025 EL PRECIO ES DE $15.900 + IVA</t>
        </r>
      </text>
    </comment>
    <comment ref="H30" authorId="0" shapeId="0" xr:uid="{2E32FA25-3F27-4024-AF15-AEDE715A610A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TIENE UN GALON SE CONVIERTE A 3785GR</t>
        </r>
      </text>
    </comment>
    <comment ref="H137" authorId="0" shapeId="0" xr:uid="{9A1409E4-1167-48C3-AB47-CF42E2CD9736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2 BOTELLAS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MISTICO</author>
  </authors>
  <commentList>
    <comment ref="B266" authorId="0" shapeId="0" xr:uid="{0B73A3AD-47DC-4CB5-8E02-E62FF4D3B24D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LA COLOCA ELAINE</t>
        </r>
      </text>
    </comment>
    <comment ref="B301" authorId="0" shapeId="0" xr:uid="{12F5F885-E729-4131-B08C-E9EC7C85A163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LA COLOCA ELAINE</t>
        </r>
      </text>
    </comment>
    <comment ref="B302" authorId="0" shapeId="0" xr:uid="{15BB26D4-AF5A-4DEE-AAFA-D83F91F3F031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LA COLOCA ELAINE</t>
        </r>
      </text>
    </comment>
    <comment ref="B334" authorId="0" shapeId="0" xr:uid="{F03E0000-A935-41E2-9314-AEBE0451ECE7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LO COLOCA ELAINE</t>
        </r>
      </text>
    </comment>
    <comment ref="B364" authorId="0" shapeId="0" xr:uid="{3D430DB1-3854-489C-990A-82C75F323B8C}">
      <text>
        <r>
          <rPr>
            <b/>
            <sz val="9"/>
            <color indexed="81"/>
            <rFont val="Tahoma"/>
            <family val="2"/>
          </rPr>
          <t>MISTICO:</t>
        </r>
        <r>
          <rPr>
            <sz val="9"/>
            <color indexed="81"/>
            <rFont val="Tahoma"/>
            <family val="2"/>
          </rPr>
          <t xml:space="preserve">
LO COLOCA ELAINE</t>
        </r>
      </text>
    </comment>
  </commentList>
</comments>
</file>

<file path=xl/sharedStrings.xml><?xml version="1.0" encoding="utf-8"?>
<sst xmlns="http://schemas.openxmlformats.org/spreadsheetml/2006/main" count="13978" uniqueCount="1245">
  <si>
    <t>NOMBRE</t>
  </si>
  <si>
    <t>INGREDIENTES</t>
  </si>
  <si>
    <t>GRAMOs/mL</t>
  </si>
  <si>
    <t xml:space="preserve">goma xanthan </t>
  </si>
  <si>
    <t>benzohato de sodio</t>
  </si>
  <si>
    <t>acido citrico</t>
  </si>
  <si>
    <t>endulzante</t>
  </si>
  <si>
    <t>enturbiante</t>
  </si>
  <si>
    <t>sabor tropical</t>
  </si>
  <si>
    <t>emulcion tropical</t>
  </si>
  <si>
    <t>emperador</t>
  </si>
  <si>
    <t>componente x</t>
  </si>
  <si>
    <t>papa liquida</t>
  </si>
  <si>
    <t>sabor avena</t>
  </si>
  <si>
    <t>citrato de sodio</t>
  </si>
  <si>
    <t>plantas</t>
  </si>
  <si>
    <t>wiltron</t>
  </si>
  <si>
    <t>sabor naranja</t>
  </si>
  <si>
    <t>color pardo</t>
  </si>
  <si>
    <t>sabor fresa</t>
  </si>
  <si>
    <t>sulfato ferroso</t>
  </si>
  <si>
    <t>limpiador arterio venoso</t>
  </si>
  <si>
    <t>factor d7</t>
  </si>
  <si>
    <t>rompe quistes</t>
  </si>
  <si>
    <t>sabor frssa</t>
  </si>
  <si>
    <t>sabor a naranja</t>
  </si>
  <si>
    <t>color rojo</t>
  </si>
  <si>
    <t>enfermedades de la mujer</t>
  </si>
  <si>
    <t>vitacerebrina</t>
  </si>
  <si>
    <t>gran tamakura</t>
  </si>
  <si>
    <t>salto del tigre</t>
  </si>
  <si>
    <t>sabor durazno</t>
  </si>
  <si>
    <t>copa del indio</t>
  </si>
  <si>
    <t>ortiga</t>
  </si>
  <si>
    <t>cloruro de magnecio</t>
  </si>
  <si>
    <t>sabor uva</t>
  </si>
  <si>
    <t>color blanco</t>
  </si>
  <si>
    <t>moringa</t>
  </si>
  <si>
    <t>sabor mango</t>
  </si>
  <si>
    <t>colon clenser</t>
  </si>
  <si>
    <t>7 toros</t>
  </si>
  <si>
    <t>color caramelo</t>
  </si>
  <si>
    <t>arbron</t>
  </si>
  <si>
    <t>totumo y pulmonaria</t>
  </si>
  <si>
    <t>sabor menta</t>
  </si>
  <si>
    <t>color amarillo</t>
  </si>
  <si>
    <t>limpieza china</t>
  </si>
  <si>
    <t>cir-land</t>
  </si>
  <si>
    <t>sabor limon</t>
  </si>
  <si>
    <t>oxtmax</t>
  </si>
  <si>
    <t>gastrobell</t>
  </si>
  <si>
    <t>meromacho</t>
  </si>
  <si>
    <t>alcohol</t>
  </si>
  <si>
    <t xml:space="preserve">COMPRA </t>
  </si>
  <si>
    <t>GR</t>
  </si>
  <si>
    <t>KILO</t>
  </si>
  <si>
    <t>ML</t>
  </si>
  <si>
    <t>LITROS</t>
  </si>
  <si>
    <t>A-0001</t>
  </si>
  <si>
    <t>B-0001</t>
  </si>
  <si>
    <t>C-0001</t>
  </si>
  <si>
    <t>CODIGO</t>
  </si>
  <si>
    <t>PRODUCTO</t>
  </si>
  <si>
    <t>LUGAR DE ALMACENAMIENTO</t>
  </si>
  <si>
    <t xml:space="preserve">ELAINE GARZON </t>
  </si>
  <si>
    <t>CALICHE-MANZ</t>
  </si>
  <si>
    <t>VICTOR-CALI</t>
  </si>
  <si>
    <t>VARIOS</t>
  </si>
  <si>
    <t>7T01</t>
  </si>
  <si>
    <t>7 TOROS</t>
  </si>
  <si>
    <t>MARIA-IMPERIO NATURAL</t>
  </si>
  <si>
    <t>AM01</t>
  </si>
  <si>
    <t>ALICITRIM LITRO</t>
  </si>
  <si>
    <t>ANGIE-LHC</t>
  </si>
  <si>
    <t>LUIS-FARMACIA NATIVA</t>
  </si>
  <si>
    <t>CLIENTES</t>
  </si>
  <si>
    <t>AN01</t>
  </si>
  <si>
    <t>ARBRON</t>
  </si>
  <si>
    <t>PRECIO 1</t>
  </si>
  <si>
    <t>AV01</t>
  </si>
  <si>
    <t>ARTERIO VENOSO</t>
  </si>
  <si>
    <t>PRECIO 2-MANZ</t>
  </si>
  <si>
    <t>A01</t>
  </si>
  <si>
    <t>ARTRIN</t>
  </si>
  <si>
    <t>PRECIO 3-Victor</t>
  </si>
  <si>
    <t>BP01</t>
  </si>
  <si>
    <t>BIL  PRO</t>
  </si>
  <si>
    <t>B01</t>
  </si>
  <si>
    <t>BIO 44</t>
  </si>
  <si>
    <t>BO01</t>
  </si>
  <si>
    <t>BOTANPROS</t>
  </si>
  <si>
    <t>CO01</t>
  </si>
  <si>
    <t>CALCUBANO LITRO</t>
  </si>
  <si>
    <t>CM01</t>
  </si>
  <si>
    <t>CT01</t>
  </si>
  <si>
    <t>CARTILAGO DE TIBURON</t>
  </si>
  <si>
    <t>CA01</t>
  </si>
  <si>
    <t>CHP01</t>
  </si>
  <si>
    <t>CHANCA PIEDRA</t>
  </si>
  <si>
    <t>CL01</t>
  </si>
  <si>
    <t>CV01</t>
  </si>
  <si>
    <t>CIRCULAV LITRO</t>
  </si>
  <si>
    <t>CG01</t>
  </si>
  <si>
    <t>COLAGENO</t>
  </si>
  <si>
    <t>CC01</t>
  </si>
  <si>
    <t>CSZ01</t>
  </si>
  <si>
    <t>CCN01</t>
  </si>
  <si>
    <t>COLON CLEARSEN</t>
  </si>
  <si>
    <t>CB01</t>
  </si>
  <si>
    <t>COMPLEJO B</t>
  </si>
  <si>
    <t>CPC01</t>
  </si>
  <si>
    <t>CONCENTRADO DE PLANTAS CUBANA</t>
  </si>
  <si>
    <t>CI01</t>
  </si>
  <si>
    <t>COPA DE INDIO</t>
  </si>
  <si>
    <t>DZ01</t>
  </si>
  <si>
    <t>DIABETIZAN</t>
  </si>
  <si>
    <t>E01</t>
  </si>
  <si>
    <t>EDM01</t>
  </si>
  <si>
    <t>ENFERMEDADES DE LA MUJER</t>
  </si>
  <si>
    <t>EMX01</t>
  </si>
  <si>
    <t>ERECMAX</t>
  </si>
  <si>
    <t>FO01</t>
  </si>
  <si>
    <t>FT01</t>
  </si>
  <si>
    <t>FERROVIT LT</t>
  </si>
  <si>
    <t>FM01</t>
  </si>
  <si>
    <t>FERRUM LITRO</t>
  </si>
  <si>
    <t>FL01</t>
  </si>
  <si>
    <t>FLEXDOL</t>
  </si>
  <si>
    <t>FC01</t>
  </si>
  <si>
    <t>FLOR DE CENTELLA</t>
  </si>
  <si>
    <t>FCN01</t>
  </si>
  <si>
    <t>FLOR DE CENTELLA NUEVA</t>
  </si>
  <si>
    <t>GT01</t>
  </si>
  <si>
    <t>GASTRIUL</t>
  </si>
  <si>
    <t>GL01</t>
  </si>
  <si>
    <t>GASTROBELL</t>
  </si>
  <si>
    <t>GP01</t>
  </si>
  <si>
    <t>GOLDEN PLUS</t>
  </si>
  <si>
    <t>GMI</t>
  </si>
  <si>
    <t>GOTAS MILAGROSAS</t>
  </si>
  <si>
    <t>GA01</t>
  </si>
  <si>
    <t>GRAN TAMAKURA</t>
  </si>
  <si>
    <t>GM01</t>
  </si>
  <si>
    <t>HX01</t>
  </si>
  <si>
    <t>HEPATOX LITRO</t>
  </si>
  <si>
    <t>IM01</t>
  </si>
  <si>
    <t>INFAMOL-JARABE 500 ML</t>
  </si>
  <si>
    <t>IP01</t>
  </si>
  <si>
    <t>KN01</t>
  </si>
  <si>
    <t>KOLOSAN</t>
  </si>
  <si>
    <t>LC01</t>
  </si>
  <si>
    <t>LIMPIEZA CHINA</t>
  </si>
  <si>
    <t>MS01</t>
  </si>
  <si>
    <t>MATRI SEX</t>
  </si>
  <si>
    <t>MR01</t>
  </si>
  <si>
    <t>MEMOREX</t>
  </si>
  <si>
    <t>MM01</t>
  </si>
  <si>
    <t>MERO MACHO</t>
  </si>
  <si>
    <t>MO01</t>
  </si>
  <si>
    <t>MORINGA OLIFERA</t>
  </si>
  <si>
    <t>NS01</t>
  </si>
  <si>
    <t>NERVIO Y SUSTO</t>
  </si>
  <si>
    <t>NP01</t>
  </si>
  <si>
    <t>NEURO PLUS LITRO</t>
  </si>
  <si>
    <t>NO01</t>
  </si>
  <si>
    <t>NUTRI OCULAR GOTAS Y PASTAS</t>
  </si>
  <si>
    <t>OM01</t>
  </si>
  <si>
    <t>OXTEOMAX</t>
  </si>
  <si>
    <t>PJL01</t>
  </si>
  <si>
    <t>PJ01</t>
  </si>
  <si>
    <t>PAPA JARABE</t>
  </si>
  <si>
    <t>PS01</t>
  </si>
  <si>
    <t>PF01</t>
  </si>
  <si>
    <t>POTENFULL</t>
  </si>
  <si>
    <t>PG01</t>
  </si>
  <si>
    <t>PPG</t>
  </si>
  <si>
    <t>PP01</t>
  </si>
  <si>
    <t>PROSTA PHARMA</t>
  </si>
  <si>
    <t>PB01</t>
  </si>
  <si>
    <t>PROSTABELL</t>
  </si>
  <si>
    <t>PT01</t>
  </si>
  <si>
    <t>PROX TAP LITRO</t>
  </si>
  <si>
    <t>RP01</t>
  </si>
  <si>
    <t>RENAL PLUS</t>
  </si>
  <si>
    <t>RO01</t>
  </si>
  <si>
    <t>REUMAT OFF LITRO</t>
  </si>
  <si>
    <t>RC01</t>
  </si>
  <si>
    <t>ROMPE CALCULOS</t>
  </si>
  <si>
    <t>RQ01</t>
  </si>
  <si>
    <t>ROMPE QUISTES</t>
  </si>
  <si>
    <t>ST01</t>
  </si>
  <si>
    <t>SALTO DEL TIGRE</t>
  </si>
  <si>
    <t>SP01</t>
  </si>
  <si>
    <t>SC01</t>
  </si>
  <si>
    <t>SUPER CALCIO</t>
  </si>
  <si>
    <t>TC01</t>
  </si>
  <si>
    <t>TONICO CEREBRAL</t>
  </si>
  <si>
    <t>TV01</t>
  </si>
  <si>
    <t>TORO VITAL</t>
  </si>
  <si>
    <t>TB01</t>
  </si>
  <si>
    <t>TOS BRONQUIOS</t>
  </si>
  <si>
    <t>TP01</t>
  </si>
  <si>
    <t>TOTUMO PULMONARIA</t>
  </si>
  <si>
    <t>UL01</t>
  </si>
  <si>
    <t>ULTRADOLL</t>
  </si>
  <si>
    <t>UC01</t>
  </si>
  <si>
    <t>UNGÜENTO CUBANO</t>
  </si>
  <si>
    <t>UO01</t>
  </si>
  <si>
    <t>URODATIVO LITRO</t>
  </si>
  <si>
    <t>VX01</t>
  </si>
  <si>
    <t>VENOFLEX LITRO</t>
  </si>
  <si>
    <t>VC01</t>
  </si>
  <si>
    <t>VINO CEREBRAL</t>
  </si>
  <si>
    <t>VP01</t>
  </si>
  <si>
    <t>VCF01</t>
  </si>
  <si>
    <t>VITA CEREBRINA FRANCESA</t>
  </si>
  <si>
    <t>WN01</t>
  </si>
  <si>
    <t>WILTRON</t>
  </si>
  <si>
    <t>FN01</t>
  </si>
  <si>
    <t>ZARZAPARILLA</t>
  </si>
  <si>
    <t>CDM01</t>
  </si>
  <si>
    <t>AE01</t>
  </si>
  <si>
    <t>GSA01</t>
  </si>
  <si>
    <t>ULD01</t>
  </si>
  <si>
    <t>ULTRA DOLOR</t>
  </si>
  <si>
    <t>INFAMOL SPRAY</t>
  </si>
  <si>
    <t>EM01</t>
  </si>
  <si>
    <t>EMPERADOR</t>
  </si>
  <si>
    <t>FD7</t>
  </si>
  <si>
    <t>FACTOR D7</t>
  </si>
  <si>
    <t>OP01</t>
  </si>
  <si>
    <t xml:space="preserve">ORTIGA PHARMA </t>
  </si>
  <si>
    <t xml:space="preserve">potenfull </t>
  </si>
  <si>
    <t>OJO RECETA AJUSTADA PARA UNA SOLA UNIDAD</t>
  </si>
  <si>
    <t>ALMACEN</t>
  </si>
  <si>
    <t>OJO SE DESPACHAN JUNTOS PARA NEIVA</t>
  </si>
  <si>
    <t>MMT01</t>
  </si>
  <si>
    <t>MEMOTRON</t>
  </si>
  <si>
    <t>Presentación</t>
  </si>
  <si>
    <t>Total Cantidad Envasada</t>
  </si>
  <si>
    <t>Cantidad Unitaria</t>
  </si>
  <si>
    <t>DU01</t>
  </si>
  <si>
    <t xml:space="preserve">BENZODATO </t>
  </si>
  <si>
    <t xml:space="preserve">ACIDO CITRICO </t>
  </si>
  <si>
    <t xml:space="preserve">CITRATO DE SODIO </t>
  </si>
  <si>
    <t>SABOR-DURAZNO</t>
  </si>
  <si>
    <t>COLOR-PARDO</t>
  </si>
  <si>
    <t>KIT DE PLANTAS</t>
  </si>
  <si>
    <t>GOMA XANTAN</t>
  </si>
  <si>
    <t>SABOR-TROPICAL</t>
  </si>
  <si>
    <t xml:space="preserve">EMULSION TROPICAL </t>
  </si>
  <si>
    <t>ENDULZANTE</t>
  </si>
  <si>
    <t>BENZODATO</t>
  </si>
  <si>
    <t>ACIDO CITRICO</t>
  </si>
  <si>
    <t xml:space="preserve">GOMA XANTAN </t>
  </si>
  <si>
    <t>ENDULZANTES</t>
  </si>
  <si>
    <t>SABOR-MENTA</t>
  </si>
  <si>
    <t>SABOR-MANGO</t>
  </si>
  <si>
    <t>ALCOHOL</t>
  </si>
  <si>
    <t>COLOR-ROJO</t>
  </si>
  <si>
    <t>SALICITLATO</t>
  </si>
  <si>
    <t>CITRATO DE SODIO</t>
  </si>
  <si>
    <t>SABOR-NARANJA</t>
  </si>
  <si>
    <t>SABOR-ORIENTAL</t>
  </si>
  <si>
    <t>COLOR-AMARILLO</t>
  </si>
  <si>
    <t>CLORURO DE SODIO</t>
  </si>
  <si>
    <t>CLOR-ROJO</t>
  </si>
  <si>
    <t>AGUA DESTILADA</t>
  </si>
  <si>
    <t>SULFATO FERROSO</t>
  </si>
  <si>
    <t>SABOR-FRESA</t>
  </si>
  <si>
    <t>SABOR-LIMON</t>
  </si>
  <si>
    <t>KIT PLANTAS</t>
  </si>
  <si>
    <t>CLORURO DE MAGNESIO</t>
  </si>
  <si>
    <t>TARRO DE ALCOHOL</t>
  </si>
  <si>
    <t>COMPONENTE</t>
  </si>
  <si>
    <t>SABOR-UVA</t>
  </si>
  <si>
    <t>SABOR-RON</t>
  </si>
  <si>
    <t>SORBITOL</t>
  </si>
  <si>
    <t>ENHUEBRANTE</t>
  </si>
  <si>
    <t xml:space="preserve">QUE ES </t>
  </si>
  <si>
    <t>CANTIDAD DEL TARRO ?</t>
  </si>
  <si>
    <t xml:space="preserve">COLOR-CARAMELO </t>
  </si>
  <si>
    <t>SABOR-VAINILLA</t>
  </si>
  <si>
    <t xml:space="preserve">CLORURO DE MAGNESIO </t>
  </si>
  <si>
    <t>SABOR DURAZNO</t>
  </si>
  <si>
    <t>VASELINA</t>
  </si>
  <si>
    <t>SALICILATO</t>
  </si>
  <si>
    <t>MENTIL</t>
  </si>
  <si>
    <t>COLOR-ROOJO</t>
  </si>
  <si>
    <t>SABOR-NARNAJA</t>
  </si>
  <si>
    <t>SABOR-CARAMELO</t>
  </si>
  <si>
    <t>PARAFINA</t>
  </si>
  <si>
    <t>MENTOL</t>
  </si>
  <si>
    <t>COLOR-VERDE GRASA</t>
  </si>
  <si>
    <t>SABOR-AVENA</t>
  </si>
  <si>
    <t xml:space="preserve">SULFATO FERROSO </t>
  </si>
  <si>
    <t>SABOR-GUANABANA</t>
  </si>
  <si>
    <t>COLOR-BLANCO</t>
  </si>
  <si>
    <t>CITATO DE SODIO</t>
  </si>
  <si>
    <t>SABOR-MAGO</t>
  </si>
  <si>
    <t>EMULSION TROPICAL</t>
  </si>
  <si>
    <t>ENTURBIANTE</t>
  </si>
  <si>
    <t>COMPONENTE T</t>
  </si>
  <si>
    <t>ESTADO DE RECETAS</t>
  </si>
  <si>
    <t>OK</t>
  </si>
  <si>
    <t>FALTA</t>
  </si>
  <si>
    <t>500 ml</t>
  </si>
  <si>
    <t>1000 ml</t>
  </si>
  <si>
    <t>NOTA:TODO LO QUE SEA LITRO SE MANEJA EL PROMEDIO DE LA PAPA</t>
  </si>
  <si>
    <t>CAJAS</t>
  </si>
  <si>
    <t>ETIQUETAS</t>
  </si>
  <si>
    <t xml:space="preserve">PASTA BLANCA </t>
  </si>
  <si>
    <t>1100 (TABLETA)</t>
  </si>
  <si>
    <t xml:space="preserve">CAJA ARTRIN </t>
  </si>
  <si>
    <t>550 UND</t>
  </si>
  <si>
    <t>OK-26/3/2025</t>
  </si>
  <si>
    <t>Dilución Floral de Nogal</t>
  </si>
  <si>
    <t>Dilución Floral de Agrimonia</t>
  </si>
  <si>
    <t>Dilución Floral de Centaura</t>
  </si>
  <si>
    <t>Dilución Floral de Impaciencia</t>
  </si>
  <si>
    <t>Alcohol al 96 %</t>
  </si>
  <si>
    <t>Agua purificada</t>
  </si>
  <si>
    <t>CANT</t>
  </si>
  <si>
    <t>CARDO MARIANO (Capsulas)</t>
  </si>
  <si>
    <t>du01</t>
  </si>
  <si>
    <t>FENOGRECO (Capsulas)</t>
  </si>
  <si>
    <t>Se ajusto precio el 17/03/2025 con Elaine</t>
  </si>
  <si>
    <t>Se ajusto precio el 11/03/2025 con Elaine</t>
  </si>
  <si>
    <t>SAW PALMETO (Capsulas)</t>
  </si>
  <si>
    <t xml:space="preserve">Se ajusto precio el 28/03/2025 con Luis </t>
  </si>
  <si>
    <t>AGUAJE (Capsulas)</t>
  </si>
  <si>
    <t>GLUCOSAMINA (Capsulas)</t>
  </si>
  <si>
    <t>VALIDAR PRECIO CON LUIS</t>
  </si>
  <si>
    <t>nuevos productos 07/03/2025</t>
  </si>
  <si>
    <t>RE01</t>
  </si>
  <si>
    <t>RESCATE (Gotas)</t>
  </si>
  <si>
    <t>nuevos productos 28/03/2025</t>
  </si>
  <si>
    <t>SS01</t>
  </si>
  <si>
    <t>STRESS (Gotas)</t>
  </si>
  <si>
    <t>VS01</t>
  </si>
  <si>
    <t>VICIOS (Gotas)</t>
  </si>
  <si>
    <t>AA01</t>
  </si>
  <si>
    <t>ALCACHOFA (Capsulas)</t>
  </si>
  <si>
    <t>GG01</t>
  </si>
  <si>
    <t>GINGOBILOBA  (Capsulas)</t>
  </si>
  <si>
    <t>IN01</t>
  </si>
  <si>
    <t>INSOMNIO (Gotas)</t>
  </si>
  <si>
    <t>EB01</t>
  </si>
  <si>
    <t>ESTRELLA DE BELEN (Gotas)</t>
  </si>
  <si>
    <t>PA01</t>
  </si>
  <si>
    <t>PASSIFLORA (Gotas)</t>
  </si>
  <si>
    <t>FA01</t>
  </si>
  <si>
    <t>FUMARIA (Gotas)</t>
  </si>
  <si>
    <t>MN01</t>
  </si>
  <si>
    <t>MELENA DE LEON (Gotas)</t>
  </si>
  <si>
    <t>MA01</t>
  </si>
  <si>
    <t>MORINGA (Capsulas)</t>
  </si>
  <si>
    <t>CDP01</t>
  </si>
  <si>
    <t>CITRATO DE POTASIO (Capsulas)</t>
  </si>
  <si>
    <t>OBSERVACION</t>
  </si>
  <si>
    <t>Dilución Floral de Oimo</t>
  </si>
  <si>
    <t>Dilución Floral de Estrella de belén</t>
  </si>
  <si>
    <t>Dilución Floral de Castaño blanco</t>
  </si>
  <si>
    <t>Dilución Floral de Ceratostigma</t>
  </si>
  <si>
    <t>Dilución Floral de Cerasifera</t>
  </si>
  <si>
    <t>Dilución Floral de Clemátide</t>
  </si>
  <si>
    <t xml:space="preserve">Dilución Floral de Heliantemo </t>
  </si>
  <si>
    <t>QB01</t>
  </si>
  <si>
    <t>EMPAQUE</t>
  </si>
  <si>
    <t>PRECIO</t>
  </si>
  <si>
    <t>UNIDA MEDIDA COMPRA</t>
  </si>
  <si>
    <t>TAPA 38 PD ENSAMBLADA PE VERDE</t>
  </si>
  <si>
    <t>LINER DE TROQUEL 38 MM PS</t>
  </si>
  <si>
    <t>ETIQUETA</t>
  </si>
  <si>
    <t xml:space="preserve">TERMOENCOGIBLE </t>
  </si>
  <si>
    <t>Frasco Ámbar 25 mL Boca 18 mm</t>
  </si>
  <si>
    <t>Perilla gotero Negra  -Tapa negra con Pipeta dosificadora en vidrio . Boca 18 mm</t>
  </si>
  <si>
    <t xml:space="preserve">Etiqueta </t>
  </si>
  <si>
    <t>Plegadiza</t>
  </si>
  <si>
    <t>Banda de seguridad</t>
  </si>
  <si>
    <t>Caja 25ml</t>
  </si>
  <si>
    <t>GALON</t>
  </si>
  <si>
    <t>ANTIESPUMANTE</t>
  </si>
  <si>
    <t>QUIEBRA BARRIGA (Gotas)</t>
  </si>
  <si>
    <t>VA01</t>
  </si>
  <si>
    <t>VALERIANA (Gotas)</t>
  </si>
  <si>
    <t>CA02</t>
  </si>
  <si>
    <t>CALENDULA (Capsulas)</t>
  </si>
  <si>
    <t>CO02</t>
  </si>
  <si>
    <t>COLAGENO(Capsulas)</t>
  </si>
  <si>
    <t>nuevos productos 28/03/2025-Se maneja el precio de gotas</t>
  </si>
  <si>
    <t>CLASIFICACION</t>
  </si>
  <si>
    <t>INSUMO</t>
  </si>
  <si>
    <t>UND</t>
  </si>
  <si>
    <t>Cant x UNID</t>
  </si>
  <si>
    <t>PASTILLERO 180(38) PE BLANCO</t>
  </si>
  <si>
    <t xml:space="preserve">CAPSULAS </t>
  </si>
  <si>
    <t>CALENDULA</t>
  </si>
  <si>
    <t>CANT COMPRA</t>
  </si>
  <si>
    <t>PRECIO COMPRA</t>
  </si>
  <si>
    <t>KG</t>
  </si>
  <si>
    <t>ETIQUETA METALIZADA</t>
  </si>
  <si>
    <t>IVA</t>
  </si>
  <si>
    <t>PRODUCCION</t>
  </si>
  <si>
    <t>VALOR COMPRA</t>
  </si>
  <si>
    <t>CADA ENVASE TIENE 60 CAPSULAR</t>
  </si>
  <si>
    <t>1KG</t>
  </si>
  <si>
    <t>1.000 GR</t>
  </si>
  <si>
    <t>Cant x Und Envasadas</t>
  </si>
  <si>
    <t xml:space="preserve">GASTOS VARIOS </t>
  </si>
  <si>
    <t>PESO X UND</t>
  </si>
  <si>
    <t>CONVERSION 
COSTO x UNID/GR</t>
  </si>
  <si>
    <t>COSTO TOTAL UNIDAD</t>
  </si>
  <si>
    <t>UTILIDAD 51%</t>
  </si>
  <si>
    <t>PRECIO DE VENTA</t>
  </si>
  <si>
    <t>Und de Medida</t>
  </si>
  <si>
    <t>FORMULA</t>
  </si>
  <si>
    <t>GASTOS FIJOS</t>
  </si>
  <si>
    <t>COSTO MENSUAL</t>
  </si>
  <si>
    <t>UND PROMEDIO// FABRICADAS X MES</t>
  </si>
  <si>
    <t>CONTABILIDAD</t>
  </si>
  <si>
    <t>QUIMICO</t>
  </si>
  <si>
    <t>SALARIOS ACCIONES-ELAINE Y LUIS</t>
  </si>
  <si>
    <t>SERVICIOS PUBLICOS</t>
  </si>
  <si>
    <t>COMBUSTIBLE LAB</t>
  </si>
  <si>
    <t>GASTOS VARIOS</t>
  </si>
  <si>
    <t>SOAT Y TECNO CHANA</t>
  </si>
  <si>
    <t xml:space="preserve">IMPUESTOS EDIFICIO </t>
  </si>
  <si>
    <t>FUMIGACION</t>
  </si>
  <si>
    <t xml:space="preserve">ANALISIS </t>
  </si>
  <si>
    <t>BOMBERON</t>
  </si>
  <si>
    <t>CALIBRACION</t>
  </si>
  <si>
    <t>ALQUILER VALLADO</t>
  </si>
  <si>
    <t>COSTO MENSUAL-VARIOS</t>
  </si>
  <si>
    <t>costo por producto</t>
  </si>
  <si>
    <t>FORMULA 100 UND</t>
  </si>
  <si>
    <t>Cantidad a fabricar    (mL o g):</t>
  </si>
  <si>
    <t>Cantidad a envasar (Unidades):</t>
  </si>
  <si>
    <t>Gotas 25ml</t>
  </si>
  <si>
    <t>LT</t>
  </si>
  <si>
    <t>Banda de seguridad(Termoencogible)</t>
  </si>
  <si>
    <t>UNIDA COMPRA/ML</t>
  </si>
  <si>
    <t>TOTAL</t>
  </si>
  <si>
    <t>BENZODATO DE SODIO</t>
  </si>
  <si>
    <t>VASELINA BLANCO USP</t>
  </si>
  <si>
    <t xml:space="preserve">CITRATO DE MAGNESIO </t>
  </si>
  <si>
    <t>COMPONENTE S</t>
  </si>
  <si>
    <t>SALICILIATO DE METILO</t>
  </si>
  <si>
    <t>componente T</t>
  </si>
  <si>
    <t>JARABE</t>
  </si>
  <si>
    <t>gr</t>
  </si>
  <si>
    <t xml:space="preserve">BOTELLA MERO MACHO LARGO </t>
  </si>
  <si>
    <t>COPA</t>
  </si>
  <si>
    <t>Und</t>
  </si>
  <si>
    <t>PRECIO POR PRODUC</t>
  </si>
  <si>
    <t>DIVIDR EN LA CANT DE PRODUCT</t>
  </si>
  <si>
    <t>60 UNID</t>
  </si>
  <si>
    <t>PASTA NARANJA</t>
  </si>
  <si>
    <t>CAJA</t>
  </si>
  <si>
    <t>30 UNID</t>
  </si>
  <si>
    <t>Und Tableta</t>
  </si>
  <si>
    <t>UTILIDAD 24%</t>
  </si>
  <si>
    <t>OJO VALIDAR SI AUENTA EL PRECIO</t>
  </si>
  <si>
    <t>PRESENTACION</t>
  </si>
  <si>
    <t>500 ML-Jarabe</t>
  </si>
  <si>
    <t>1000 ML-Jarabe</t>
  </si>
  <si>
    <t>COLIRIO CUBANO (Gotas)</t>
  </si>
  <si>
    <t>COLIRIO SABILA Y ZANAHORIA (Gotas)</t>
  </si>
  <si>
    <t>ELIXIR (Gotas)</t>
  </si>
  <si>
    <t>ungüento</t>
  </si>
  <si>
    <t>550 ML-Jarabe</t>
  </si>
  <si>
    <t>pastillas y gotas</t>
  </si>
  <si>
    <t>PAP BRAZ JARABE LITRO</t>
  </si>
  <si>
    <t>POLVO</t>
  </si>
  <si>
    <t>PAPA SILVESTRE (500 gr)</t>
  </si>
  <si>
    <t>750 ML-Jarabe</t>
  </si>
  <si>
    <t>VISION PLUS (Gotas)</t>
  </si>
  <si>
    <t>POTE 180 Y TAPA 53</t>
  </si>
  <si>
    <t>180GR</t>
  </si>
  <si>
    <t>CAJA UNGÜENTO</t>
  </si>
  <si>
    <t>ETIQUETA UNGÜENTO</t>
  </si>
  <si>
    <t>CAJAY ETIQUETA FLEXDOL</t>
  </si>
  <si>
    <t>DOLORAN ULTRA (lleva Spray)</t>
  </si>
  <si>
    <t>INFAMOL PASTAS  (lleva Spray)</t>
  </si>
  <si>
    <t>BOTELLA FLEXDOL</t>
  </si>
  <si>
    <t>BOTELLA PHARMA</t>
  </si>
  <si>
    <t>MARCA</t>
  </si>
  <si>
    <t>PHARMA</t>
  </si>
  <si>
    <t xml:space="preserve">SE USA: PARA TODO PHARMA
</t>
  </si>
  <si>
    <t>SE USA: CUBANOS</t>
  </si>
  <si>
    <t>BOTELLA CUBANOS</t>
  </si>
  <si>
    <t>CUBANO</t>
  </si>
  <si>
    <t>SE USA: Parta todos los productos de Litro y PAP BRAZ</t>
  </si>
  <si>
    <t>BOTELLA LAMPARA</t>
  </si>
  <si>
    <t>BOTELLA DE LT (Con copa y Tapa)</t>
  </si>
  <si>
    <t>SE USA PARA TODOS LOS PRODUCTOS MENOS DE LITRO</t>
  </si>
  <si>
    <t xml:space="preserve">PROD DE MARIA JOSE </t>
  </si>
  <si>
    <t>CAJA DE EMPAQUE DE 60 UNIDADE DE 500ML</t>
  </si>
  <si>
    <t>CAJA DE EMPAQUE DE 30 UNIDADE DE 1000ML</t>
  </si>
  <si>
    <t>CUBANOS</t>
  </si>
  <si>
    <t>CAJA PRESENTACION 500ML</t>
  </si>
  <si>
    <t>CAJA PRESENTACION 1000ML</t>
  </si>
  <si>
    <t>Plegadiza (Caja)</t>
  </si>
  <si>
    <t>COPA PARA LAMPARA</t>
  </si>
  <si>
    <t xml:space="preserve">CAMARAS DE COMERCIO DE DISTRIBUIDORES </t>
  </si>
  <si>
    <t>TIENE CAMARA DE COMERCIO UN TERCERO COMO DISTRIBUIDOR</t>
  </si>
  <si>
    <t>Seguridad social Angie Jaramillo</t>
  </si>
  <si>
    <t>Seguridad social Maria palacio</t>
  </si>
  <si>
    <t>CAPSULAS</t>
  </si>
  <si>
    <t>TERMOENCOGIBLE</t>
  </si>
  <si>
    <t>INSUMOS</t>
  </si>
  <si>
    <t>UNIDAD DE MEDIDA</t>
  </si>
  <si>
    <t>CARDO MARIANO</t>
  </si>
  <si>
    <t>FENOGRECO</t>
  </si>
  <si>
    <t>CATUAMA</t>
  </si>
  <si>
    <t>ENVASE TIENE 30 CAPSULAS</t>
  </si>
  <si>
    <t>CATUAMA (Capsulas)</t>
  </si>
  <si>
    <t>ENVASE TIENE 60 CAPSULAS</t>
  </si>
  <si>
    <t>SAW PALMETO</t>
  </si>
  <si>
    <t>CADA ENVASE TIENE 30 CAPSULAS</t>
  </si>
  <si>
    <t>CADA ENVASE TIENE 60 CAPSULAS</t>
  </si>
  <si>
    <t>CITRATO DE MAGNESIO</t>
  </si>
  <si>
    <t>CITRATO DE MAGNESIO (Capsulas)</t>
  </si>
  <si>
    <t>AGUAJE</t>
  </si>
  <si>
    <t>GLUCOSAMINA</t>
  </si>
  <si>
    <t>ALCACHOFA</t>
  </si>
  <si>
    <t>GINGO BILOBA</t>
  </si>
  <si>
    <t>MORINGA</t>
  </si>
  <si>
    <t xml:space="preserve">CITRATO DE POTASIO </t>
  </si>
  <si>
    <t>FORMULA  1 UND</t>
  </si>
  <si>
    <t>Dilución Floral de Fumaria</t>
  </si>
  <si>
    <t>Dilución Floral de Passiflora</t>
  </si>
  <si>
    <t>SUELDOS PERSONAL (Yul, Mayerling, Yurani) + aseo 1/2 dia cada quince dias+Seguridad social Luis Palacio</t>
  </si>
  <si>
    <t>Dilución Floral Nogal</t>
  </si>
  <si>
    <t>Dilución Floral Melena de Leon</t>
  </si>
  <si>
    <t>Dilución Floral de Quiebra Barriga</t>
  </si>
  <si>
    <t>VALORES ACTUALES</t>
  </si>
  <si>
    <t>RESVERATROL (Capsulas)</t>
  </si>
  <si>
    <t>RL01</t>
  </si>
  <si>
    <t>UTILIDAD</t>
  </si>
  <si>
    <t>ASHWANDHA (Capsulas)</t>
  </si>
  <si>
    <t>AS01</t>
  </si>
  <si>
    <t>GREEN MARVIN (Ungüento)</t>
  </si>
  <si>
    <t>UTILIDAD 30%</t>
  </si>
  <si>
    <t>FALTA PRECIO INSUMOS</t>
  </si>
  <si>
    <t>RM01</t>
  </si>
  <si>
    <t>REGULADOR MESTRUAL</t>
  </si>
  <si>
    <t>HN01</t>
  </si>
  <si>
    <t>HIGAZAN</t>
  </si>
  <si>
    <t>OMG01</t>
  </si>
  <si>
    <t>OMEGA 3,6,9</t>
  </si>
  <si>
    <t>HB01</t>
  </si>
  <si>
    <t>HEPATO BILIAR</t>
  </si>
  <si>
    <t>HR01</t>
  </si>
  <si>
    <t>HIGADO RIÑON</t>
  </si>
  <si>
    <t>AZN01</t>
  </si>
  <si>
    <t>ARTRIZAN</t>
  </si>
  <si>
    <t>GB01</t>
  </si>
  <si>
    <t>GINGO BILOBA PHARMA</t>
  </si>
  <si>
    <t>GASTRI-PLUS</t>
  </si>
  <si>
    <t>PN01</t>
  </si>
  <si>
    <t>PULMOSAN</t>
  </si>
  <si>
    <t>COLOR PARDO</t>
  </si>
  <si>
    <t>SABOR LIMON</t>
  </si>
  <si>
    <t>CAJA ULTRADOLOR</t>
  </si>
  <si>
    <t>CAJA Y ETIQUETA FLEXDOL</t>
  </si>
  <si>
    <t>COMPONENTE X</t>
  </si>
  <si>
    <t>ANTI ENTURBIANTE</t>
  </si>
  <si>
    <t>PREGUNTAR A LUIS POR PRECIOS Y FORMULA</t>
  </si>
  <si>
    <t>1 GALON</t>
  </si>
  <si>
    <r>
      <rPr>
        <b/>
        <u/>
        <sz val="7"/>
        <color theme="1"/>
        <rFont val="Calibri"/>
        <family val="2"/>
        <scheme val="minor"/>
      </rPr>
      <t>SE USA EN:</t>
    </r>
    <r>
      <rPr>
        <sz val="7"/>
        <color theme="1"/>
        <rFont val="Calibri"/>
        <family val="2"/>
        <scheme val="minor"/>
      </rPr>
      <t xml:space="preserve">
 PONTEFULL
FLOR DE CENTELLA NUEVA
TAMAKURA
GLDEN PUL
FACTOR D7
EMPERADOR
IFAMOL JARABE</t>
    </r>
  </si>
  <si>
    <t>TAURINA</t>
  </si>
  <si>
    <t>SINDENAFIL</t>
  </si>
  <si>
    <t>GOTEROS</t>
  </si>
  <si>
    <t>CAJA ARTRIN  ULTRADOLOR</t>
  </si>
  <si>
    <t>CAJA ARTRIN</t>
  </si>
  <si>
    <t>CAJA INFAMOL</t>
  </si>
  <si>
    <t>ETIQUETA INFAMOL SPRAY</t>
  </si>
  <si>
    <t>Cepa Homeopática-Tintura en Glicerina (Manzanilla)</t>
  </si>
  <si>
    <t>Miel</t>
  </si>
  <si>
    <t>Solución Salina Esteríl 0,9%</t>
  </si>
  <si>
    <t>Cloruro de Benzalconio</t>
  </si>
  <si>
    <t>CLORURO DE POTASIO</t>
  </si>
  <si>
    <t>GLUCOSAMINA SULFATO</t>
  </si>
  <si>
    <t>PRECIOS ACTUALIZADOS ABRIL 2025</t>
  </si>
  <si>
    <t>CITRATO DE POTASIO</t>
  </si>
  <si>
    <t>CX01</t>
  </si>
  <si>
    <t>CX02</t>
  </si>
  <si>
    <t xml:space="preserve">CX-P DE LITRO </t>
  </si>
  <si>
    <t>240 ML-Jarabe</t>
  </si>
  <si>
    <t>BN01</t>
  </si>
  <si>
    <t>BN02</t>
  </si>
  <si>
    <t xml:space="preserve">BERELIN DE LITRO </t>
  </si>
  <si>
    <t xml:space="preserve">CLOR BLANCO </t>
  </si>
  <si>
    <t>1 KG</t>
  </si>
  <si>
    <t>1000GR</t>
  </si>
  <si>
    <t>SABOR UVA</t>
  </si>
  <si>
    <t>SABR EUCALIPTO</t>
  </si>
  <si>
    <t>SABOR-FRUTOS ROJOS</t>
  </si>
  <si>
    <t>SABOR-HONEY</t>
  </si>
  <si>
    <t>SABOR-LIMON G LHD1338</t>
  </si>
  <si>
    <t>SABOR-MANGO MADURO</t>
  </si>
  <si>
    <t>SABOR-VAINILLA LACTEA</t>
  </si>
  <si>
    <t>1 UND</t>
  </si>
  <si>
    <t>PRECIO UND</t>
  </si>
  <si>
    <t>CX-P 240ml</t>
  </si>
  <si>
    <t>BERELIN 240ml</t>
  </si>
  <si>
    <t>COLOR-CARAMELO</t>
  </si>
  <si>
    <t>TADAFILO</t>
  </si>
  <si>
    <t>TERMOENCOGIBLE 7 TOROS</t>
  </si>
  <si>
    <t>3785 GR</t>
  </si>
  <si>
    <t>PASTILLAS</t>
  </si>
  <si>
    <t>TERMOENCOGIBLE CX-P</t>
  </si>
  <si>
    <t>TERMOENCOGIBLE BERELIN</t>
  </si>
  <si>
    <t>TAPA #28 blanca</t>
  </si>
  <si>
    <t>TERMOENCOGIBLE CX-P (Etiqueta)</t>
  </si>
  <si>
    <t>No lleva Kit de plantas</t>
  </si>
  <si>
    <t xml:space="preserve">Filtros de agua mensual </t>
  </si>
  <si>
    <t>TOTLA UTILI</t>
  </si>
  <si>
    <t>LITRO</t>
  </si>
  <si>
    <t>240ML</t>
  </si>
  <si>
    <t>BOTELLA 240ml AMBAR</t>
  </si>
  <si>
    <t>$ COTO x ML</t>
  </si>
  <si>
    <t>GRAMOS</t>
  </si>
  <si>
    <t>SUMA</t>
  </si>
  <si>
    <t>GRA TOTAL x PROD</t>
  </si>
  <si>
    <t>TAPA #28 blanca blanca</t>
  </si>
  <si>
    <t>CHP02</t>
  </si>
  <si>
    <t>CHANCA PIEDRA(Capsulas)</t>
  </si>
  <si>
    <t>Producto nuevo 29/04/2025</t>
  </si>
  <si>
    <t>Producto nuevo marzo</t>
  </si>
  <si>
    <t>CIR LAN LITRO</t>
  </si>
  <si>
    <t>UNIDADES</t>
  </si>
  <si>
    <t>FORMULA COMPLETA</t>
  </si>
  <si>
    <t>$ LITRO</t>
  </si>
  <si>
    <t>COLOR-CAFÉ PARDO</t>
  </si>
  <si>
    <t>COLOR-CAFÉ</t>
  </si>
  <si>
    <t>Jarabe</t>
  </si>
  <si>
    <t>ITEM</t>
  </si>
  <si>
    <t xml:space="preserve">MATERIA PRIMA </t>
  </si>
  <si>
    <t>MATERIAL DE EMPAQUE</t>
  </si>
  <si>
    <t xml:space="preserve">USADO EN </t>
  </si>
  <si>
    <t>JARABES</t>
  </si>
  <si>
    <t>GOTA</t>
  </si>
  <si>
    <t>GOTAS</t>
  </si>
  <si>
    <t>GALON
3785GR</t>
  </si>
  <si>
    <t>JARABES-Mero Macho</t>
  </si>
  <si>
    <t>UNGUENTOS</t>
  </si>
  <si>
    <t>ANGIE-LHC
MARIA-IMPERIO NATURAL</t>
  </si>
  <si>
    <t>*ANGIE-LHC
*MARIA-IMPERIO NATURAL
*LUIS-FARMACIA NATIVA</t>
  </si>
  <si>
    <t xml:space="preserve">LINEA </t>
  </si>
  <si>
    <t xml:space="preserve">GRUPO </t>
  </si>
  <si>
    <t>SUB GRUPO</t>
  </si>
  <si>
    <t>SAI OPEN</t>
  </si>
  <si>
    <t>HOMEOPATICOS</t>
  </si>
  <si>
    <t>500 ML</t>
  </si>
  <si>
    <t>LITRO 1000 ML</t>
  </si>
  <si>
    <t>CAPSULAS 60 UND</t>
  </si>
  <si>
    <t>CAPSULAS 30 UND</t>
  </si>
  <si>
    <t>PRECIO VENTA POR RECETA</t>
  </si>
  <si>
    <t>COSTO UTILIDAD</t>
  </si>
  <si>
    <t>RESVERATROL</t>
  </si>
  <si>
    <t>ASHAWANDHA</t>
  </si>
  <si>
    <t>25 ML</t>
  </si>
  <si>
    <t>ANGIE-LHC
LUIS-FARMACIA NATIVA</t>
  </si>
  <si>
    <t>FALTA PRECIO PROD</t>
  </si>
  <si>
    <t>FALTA PRECIO PROD Y VALIDAR RECETA</t>
  </si>
  <si>
    <t>FALTA RECETA</t>
  </si>
  <si>
    <t xml:space="preserve">PASTILLAS </t>
  </si>
  <si>
    <t>OJO VALIDAR SI AUMENTA EL PRECIO</t>
  </si>
  <si>
    <t>VALIDAR PRECIO</t>
  </si>
  <si>
    <t>PASTILLAS 30</t>
  </si>
  <si>
    <t>PASTILLAS DE 30 UND</t>
  </si>
  <si>
    <t>PASTILLAS DE 60 UND</t>
  </si>
  <si>
    <t>CAJA ARTERIO VENOSO</t>
  </si>
  <si>
    <t>STICKER PHARMA</t>
  </si>
  <si>
    <t>ANTIENTURBIANTE</t>
  </si>
  <si>
    <t>BOTELLA MERO MACHO CORTO</t>
  </si>
  <si>
    <t>KIT DE FRUTAS</t>
  </si>
  <si>
    <t>750 ML</t>
  </si>
  <si>
    <t>TAPA AMARILLA</t>
  </si>
  <si>
    <t>SE USA: CUBANOS / VITACEREBRINA</t>
  </si>
  <si>
    <t>BOTELLA PET AMBAR</t>
  </si>
  <si>
    <t>TAPA PET VERDE</t>
  </si>
  <si>
    <t>REVISADO</t>
  </si>
  <si>
    <t>TERMOENCOGIBLE (ETIQUETA) BOTELLA LAMPARA- 7 TOROS</t>
  </si>
  <si>
    <t>TERMOENCOGIBLE (ETIQUETA) BOTELLA LAMPARA ARBRON</t>
  </si>
  <si>
    <t xml:space="preserve">NOTA: </t>
  </si>
  <si>
    <t xml:space="preserve">OJO LOS PRODUSCTOS LAMPARA NO UTILIZAN CAJA NI ETIQUETAS, SOLO TERMOENCOGIBLE </t>
  </si>
  <si>
    <t xml:space="preserve">SALUD Y BELLEZA NATUTAL </t>
  </si>
  <si>
    <t xml:space="preserve">MARCA </t>
  </si>
  <si>
    <t>NATURAL PALAGAR</t>
  </si>
  <si>
    <t xml:space="preserve">PRODUCTOS LAMPARA </t>
  </si>
  <si>
    <t>BOTELLA PHARMA VA SIN COPA</t>
  </si>
  <si>
    <t>TERMOENCOGIBLE (ETIQUETA) BOTELLA LAMPARA- BILPRO</t>
  </si>
  <si>
    <t>Banda de seguridad(Termoencogible) por Metros</t>
  </si>
  <si>
    <t xml:space="preserve">SE MANEJA PARA TODOS LOS PHARMAS </t>
  </si>
  <si>
    <t>REVISADO CON YULL EL 13/05/2025</t>
  </si>
  <si>
    <t>BOTICA NATURAL ESCULAPIO</t>
  </si>
  <si>
    <t>TAPA #28 Roja</t>
  </si>
  <si>
    <t>TERMOENCOGIBLE (ETIQUETA) BOTELLA LAMPARA-MERO MACHO</t>
  </si>
  <si>
    <t>STICKER MANANTIAL DE VIDA</t>
  </si>
  <si>
    <t>Se utiliza en mero macho</t>
  </si>
  <si>
    <t>N/A</t>
  </si>
  <si>
    <t xml:space="preserve">BOTELLA FITO BLANCO- MERO MACHO LARGO </t>
  </si>
  <si>
    <t>TERMOENCOGIBLE (ETIQUETA) BOTELLA LAMPARA-BOTAN PROS</t>
  </si>
  <si>
    <t>TERMOENCOGIBLE (ETIQUETA) BOTELLA LAMPARA-SALTO DE TIGRE</t>
  </si>
  <si>
    <t>REVISADO CON YUL 13/5/2025</t>
  </si>
  <si>
    <t>CHANCA PIEDRA JARABE</t>
  </si>
  <si>
    <t xml:space="preserve">SABOR-NARANJA </t>
  </si>
  <si>
    <t>TERMOENCOGIBLE (ETIQUETA) BOTELLA LAMPARA- CIR LAN LITRO</t>
  </si>
  <si>
    <t>REVISADO CON YUL 14/5/2025</t>
  </si>
  <si>
    <t>COMPONENTE T (TADAFILO)</t>
  </si>
  <si>
    <t>ANTENTURBIANTE</t>
  </si>
  <si>
    <t>S/M</t>
  </si>
  <si>
    <t>REVISADO CO YUL 14/5/2025</t>
  </si>
  <si>
    <t>TERMOENCOGIBLE (ETIQUETA) BOTELLA LAMPARA- SALTO DE TIGRE</t>
  </si>
  <si>
    <t>REVISADO YUL 17/5/2025</t>
  </si>
  <si>
    <t>REVISADO 17-5-25</t>
  </si>
  <si>
    <t>REVISADO CON YUL</t>
  </si>
  <si>
    <t>REVISADO CON YUL 17/5/2025</t>
  </si>
  <si>
    <t>NATURA PALAGAR</t>
  </si>
  <si>
    <t>TERMOENCOGIBLE (ETIQUETA) BOTELLA LAMPARA-MEMOTRN</t>
  </si>
  <si>
    <t xml:space="preserve">TERMOENCOGIBLE (ETIQUETA) BOTELLA LAMPARA-PAP BRAZ </t>
  </si>
  <si>
    <t>PENDIENTE</t>
  </si>
  <si>
    <t>BOTELLA DE VIDRIO VINO PPG</t>
  </si>
  <si>
    <t>OJO INCLUIR KIT DE PLANTAS PARA JARABES MENOS EN PPG</t>
  </si>
  <si>
    <t xml:space="preserve">SEDE </t>
  </si>
  <si>
    <t>JUNIN</t>
  </si>
  <si>
    <t xml:space="preserve">YURANI NO INCLUYO </t>
  </si>
  <si>
    <t>TERMOENCOGIBLE (ETIQUETA) BOTELLA LAMPARA-KOLOSAN</t>
  </si>
  <si>
    <t>TERMOENCOGIBLE (ETIQUETA) BOTELLA LAMPARA-OXTEOMAX</t>
  </si>
  <si>
    <t>PEDIR RECETA</t>
  </si>
  <si>
    <t>SULFATOFERROSO</t>
  </si>
  <si>
    <t>BOTELLA 240 AMBAR</t>
  </si>
  <si>
    <t>TAPA VERDE</t>
  </si>
  <si>
    <t>REVISADO CON YUL 22/5/2025</t>
  </si>
  <si>
    <t>CAJA WILTROL</t>
  </si>
  <si>
    <t>NOTA: EN CADA CAJA TIENE 2 UND DE WILTRON</t>
  </si>
  <si>
    <t>CHOLAGOGE</t>
  </si>
  <si>
    <t>ULTRAVAGINAL</t>
  </si>
  <si>
    <t>GUALANDAY</t>
  </si>
  <si>
    <t>RABANO</t>
  </si>
  <si>
    <t>INF PARA SAI OPEN</t>
  </si>
  <si>
    <t>DIF EN PRECIO</t>
  </si>
  <si>
    <t>NOTA: NO LLEVA KIT DE PLANTAS</t>
  </si>
  <si>
    <t>240 ML</t>
  </si>
  <si>
    <t>1000 ML</t>
  </si>
  <si>
    <t>PRECIO PARA LA VENTA</t>
  </si>
  <si>
    <t>PRECIO EN QUE SE VENDE</t>
  </si>
  <si>
    <t xml:space="preserve">ETIQUE LA COLOCA ELAINE </t>
  </si>
  <si>
    <t xml:space="preserve">*Estimada
*SE MANEJA PARA TODOS LOS PHARMAS </t>
  </si>
  <si>
    <t>KG 72.000</t>
  </si>
  <si>
    <t>MARIA</t>
  </si>
  <si>
    <t>LO SUME ELAINE</t>
  </si>
  <si>
    <t>BOTELLA(BALA) BLANCA 500ML</t>
  </si>
  <si>
    <t>AJUSTAR EN RECETAS</t>
  </si>
  <si>
    <t>TODOS MENOS LITRO Y LAMPANRA</t>
  </si>
  <si>
    <t>TAPA #28 Roja (viene marcada)</t>
  </si>
  <si>
    <t>ETIQUETA PAPA SILVESTRE JARABE 240ml</t>
  </si>
  <si>
    <t>ETIQUETA WILTRON</t>
  </si>
  <si>
    <t>BOTELLA (BALA) BLANCA 500ML</t>
  </si>
  <si>
    <t>PRECIO DE PRODUCCIÓN POR UND</t>
  </si>
  <si>
    <t>TOTAL GASTOS VARIOS</t>
  </si>
  <si>
    <t>#1 ELAINE</t>
  </si>
  <si>
    <t>PRECIO DE VENTA2</t>
  </si>
  <si>
    <t>DIF EN PRECIO5</t>
  </si>
  <si>
    <t>DIF EN PRECIO55</t>
  </si>
  <si>
    <t>#3 VICTOR</t>
  </si>
  <si>
    <t>#2 CALICHE</t>
  </si>
  <si>
    <t>PRECIO DE VENTA 1</t>
  </si>
  <si>
    <t>PRECIO DE VENTA 3</t>
  </si>
  <si>
    <t>OBSERVACIONES</t>
  </si>
  <si>
    <t>Se toma solo el costo de produccion no margen de utilidad</t>
  </si>
  <si>
    <t>VALOR UTILIDAD</t>
  </si>
  <si>
    <t>VALOR UTILIDAD2</t>
  </si>
  <si>
    <t>VALOR UTILIDAD22</t>
  </si>
  <si>
    <t>% GANANCIA</t>
  </si>
  <si>
    <t>% GANANCIA2</t>
  </si>
  <si>
    <t xml:space="preserve">FALTA PRECIO PROD </t>
  </si>
  <si>
    <t>PASTILLAS 60</t>
  </si>
  <si>
    <t>PASTILLAS 40</t>
  </si>
  <si>
    <t>PASTILLAS DE 40 UND</t>
  </si>
  <si>
    <t>40 UNID</t>
  </si>
  <si>
    <t>% GANANCIA3</t>
  </si>
  <si>
    <t xml:space="preserve">CLORURO DE SODIO </t>
  </si>
  <si>
    <t>PEND VALOR REAL</t>
  </si>
  <si>
    <t>ALICITRIM LT</t>
  </si>
  <si>
    <t>CALCUBANO LT</t>
  </si>
  <si>
    <t>CIRCULAV LT</t>
  </si>
  <si>
    <t>FERRUM LT</t>
  </si>
  <si>
    <t>HEPATOX LT</t>
  </si>
  <si>
    <t>NEURO PLUS LT</t>
  </si>
  <si>
    <t>PROX TAP LT</t>
  </si>
  <si>
    <t>REUMAT OFF LT</t>
  </si>
  <si>
    <t>URODATIVO LT</t>
  </si>
  <si>
    <t>VENOFLEX LT</t>
  </si>
  <si>
    <t>01</t>
  </si>
  <si>
    <t>GRUPO</t>
  </si>
  <si>
    <t>0101</t>
  </si>
  <si>
    <t>SUBGRUPO</t>
  </si>
  <si>
    <t>010101</t>
  </si>
  <si>
    <t>JARABE 500 ML</t>
  </si>
  <si>
    <t>010102</t>
  </si>
  <si>
    <t>JARABE 1000 ML</t>
  </si>
  <si>
    <t>010103</t>
  </si>
  <si>
    <t>JARABE 240 ML</t>
  </si>
  <si>
    <t>010104</t>
  </si>
  <si>
    <t>JARABE 740 ML</t>
  </si>
  <si>
    <t>0102</t>
  </si>
  <si>
    <t>010201</t>
  </si>
  <si>
    <t xml:space="preserve">30 CAPSULAS </t>
  </si>
  <si>
    <t>010202</t>
  </si>
  <si>
    <t>60 CAPSULAS</t>
  </si>
  <si>
    <t>0103</t>
  </si>
  <si>
    <t>010301</t>
  </si>
  <si>
    <t>GOTAS 25 ML</t>
  </si>
  <si>
    <t>0104</t>
  </si>
  <si>
    <t>010401</t>
  </si>
  <si>
    <t>DILUCIÓN FLORAL DE AGRIMONIA</t>
  </si>
  <si>
    <t>DILUCIÓN FLORAL DE CENTAURA</t>
  </si>
  <si>
    <t>DILUCIÓN FLORAL DE IMPACIENCIA</t>
  </si>
  <si>
    <t>DILUCIÓN FLORAL DE ESTRELLA DE BELÉN</t>
  </si>
  <si>
    <t xml:space="preserve">DILUCIÓN FLORAL DE HELIANTEMO </t>
  </si>
  <si>
    <t>DILUCIÓN FLORAL DE CERASIFERA</t>
  </si>
  <si>
    <t>DILUCIÓN FLORAL DE CLEMÁTIDE</t>
  </si>
  <si>
    <t>DILUCIÓN FLORAL DE OIMO</t>
  </si>
  <si>
    <t>DILUCIÓN FLORAL DE CASTAÑO BLANCO</t>
  </si>
  <si>
    <t>DILUCIÓN FLORAL DE CERATOSTIGMA</t>
  </si>
  <si>
    <t>DILUCIÓN FLORAL DE NOGAL</t>
  </si>
  <si>
    <t>DILUCIÓN FLORAL DE FUMARIA</t>
  </si>
  <si>
    <t>DILUCIÓN FLORAL DE PASSIFLORA</t>
  </si>
  <si>
    <t>DILUCIÓN FLORAL MELENA DE LEON</t>
  </si>
  <si>
    <t>DILUCIÓN FLORAL DE QUIEBRA BARRIGA</t>
  </si>
  <si>
    <t>ALCOHOL AL 96 %</t>
  </si>
  <si>
    <t>AGUA PURIFICADA</t>
  </si>
  <si>
    <t>02</t>
  </si>
  <si>
    <t>MATERIA PRIMA</t>
  </si>
  <si>
    <t>03</t>
  </si>
  <si>
    <t>0201</t>
  </si>
  <si>
    <t>0301</t>
  </si>
  <si>
    <t>LINEA</t>
  </si>
  <si>
    <t>020101</t>
  </si>
  <si>
    <t>0202</t>
  </si>
  <si>
    <t>COLORANTES</t>
  </si>
  <si>
    <t>020201</t>
  </si>
  <si>
    <t>0203</t>
  </si>
  <si>
    <t>SABORES</t>
  </si>
  <si>
    <t>020301</t>
  </si>
  <si>
    <t>ENVASES</t>
  </si>
  <si>
    <t>030101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</si>
  <si>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</si>
  <si>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</si>
  <si>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</si>
  <si>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</si>
  <si>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</si>
  <si>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</si>
  <si>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</si>
  <si>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</si>
  <si>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030110</t>
  </si>
  <si>
    <t>030111</t>
  </si>
  <si>
    <t>0302</t>
  </si>
  <si>
    <t>030201</t>
  </si>
  <si>
    <t>CAJAS EMPAQUE</t>
  </si>
  <si>
    <t>CAJAS VARIOS</t>
  </si>
  <si>
    <t>030202</t>
  </si>
  <si>
    <t>COPA VARIOS</t>
  </si>
  <si>
    <t>CAJAS PRODUCTOS</t>
  </si>
  <si>
    <t>0303</t>
  </si>
  <si>
    <t>COPAS</t>
  </si>
  <si>
    <t>030301</t>
  </si>
  <si>
    <t>030302</t>
  </si>
  <si>
    <t>030303</t>
  </si>
  <si>
    <t>030304</t>
  </si>
  <si>
    <t>030305</t>
  </si>
  <si>
    <t>TAPAS</t>
  </si>
  <si>
    <t>0304</t>
  </si>
  <si>
    <t>0305</t>
  </si>
  <si>
    <t>030501</t>
  </si>
  <si>
    <t>030502</t>
  </si>
  <si>
    <t>030503</t>
  </si>
  <si>
    <t>TERMOENCOGIBLE VARIOS</t>
  </si>
  <si>
    <t>030405</t>
  </si>
  <si>
    <t>030401</t>
  </si>
  <si>
    <t>030402</t>
  </si>
  <si>
    <t>030403</t>
  </si>
  <si>
    <t>030404</t>
  </si>
  <si>
    <t>0306</t>
  </si>
  <si>
    <t>030601</t>
  </si>
  <si>
    <t>030602</t>
  </si>
  <si>
    <t>ESTA REPETIDA</t>
  </si>
  <si>
    <t>030112</t>
  </si>
  <si>
    <t>030113</t>
  </si>
  <si>
    <t>PERILLA GOTERO NEGRA  -TAPA NEGRA CON PIPETA DOSIFICADORA EN VIDRIO . BOCA 18 MM</t>
  </si>
  <si>
    <t>PLEGADIZA (CAJA)</t>
  </si>
  <si>
    <t>030306</t>
  </si>
  <si>
    <t>030114</t>
  </si>
  <si>
    <t>STICKER</t>
  </si>
  <si>
    <t>0307</t>
  </si>
  <si>
    <t>030701</t>
  </si>
  <si>
    <t>030702</t>
  </si>
  <si>
    <t>030703</t>
  </si>
  <si>
    <t>030704</t>
  </si>
  <si>
    <t>030705</t>
  </si>
  <si>
    <t>030706</t>
  </si>
  <si>
    <t>030707</t>
  </si>
  <si>
    <t>030708</t>
  </si>
  <si>
    <t>030709</t>
  </si>
  <si>
    <t>0308</t>
  </si>
  <si>
    <t>030801</t>
  </si>
  <si>
    <t>030802</t>
  </si>
  <si>
    <t>030803</t>
  </si>
  <si>
    <t>030804</t>
  </si>
  <si>
    <t>030115</t>
  </si>
  <si>
    <t>030116</t>
  </si>
  <si>
    <t>MP0001</t>
  </si>
  <si>
    <t>MP0002</t>
  </si>
  <si>
    <t>MP0003</t>
  </si>
  <si>
    <t>MP0004</t>
  </si>
  <si>
    <t>MP0005</t>
  </si>
  <si>
    <t>MP0006</t>
  </si>
  <si>
    <t>MP0007</t>
  </si>
  <si>
    <t>MP0008</t>
  </si>
  <si>
    <t>MP0009</t>
  </si>
  <si>
    <t>MP0010</t>
  </si>
  <si>
    <t>MP0011</t>
  </si>
  <si>
    <t>MP0012</t>
  </si>
  <si>
    <t>MP0013</t>
  </si>
  <si>
    <t>MP0014</t>
  </si>
  <si>
    <t>MP0015</t>
  </si>
  <si>
    <t>MP0016</t>
  </si>
  <si>
    <t>MP0017</t>
  </si>
  <si>
    <t>MP0018</t>
  </si>
  <si>
    <t>MP0019</t>
  </si>
  <si>
    <t>MP0020</t>
  </si>
  <si>
    <t>MP0021</t>
  </si>
  <si>
    <t>MP0022</t>
  </si>
  <si>
    <t>MP0023</t>
  </si>
  <si>
    <t>MP0024</t>
  </si>
  <si>
    <t>MP0025</t>
  </si>
  <si>
    <t>MP0026</t>
  </si>
  <si>
    <t>MP0027</t>
  </si>
  <si>
    <t>MP0028</t>
  </si>
  <si>
    <t>MP0029</t>
  </si>
  <si>
    <t>MP0030</t>
  </si>
  <si>
    <t>MP0031</t>
  </si>
  <si>
    <t>MP0032</t>
  </si>
  <si>
    <t>MP0033</t>
  </si>
  <si>
    <t>MP0034</t>
  </si>
  <si>
    <t>MP0035</t>
  </si>
  <si>
    <t>MP0036</t>
  </si>
  <si>
    <t>MP0037</t>
  </si>
  <si>
    <t>MP0038</t>
  </si>
  <si>
    <t>MP0039</t>
  </si>
  <si>
    <t>MP0040</t>
  </si>
  <si>
    <t>MP0041</t>
  </si>
  <si>
    <t>MP0042</t>
  </si>
  <si>
    <t>MP0043</t>
  </si>
  <si>
    <t>MP0044</t>
  </si>
  <si>
    <t>MP0045</t>
  </si>
  <si>
    <t>MP0046</t>
  </si>
  <si>
    <t>MP0047</t>
  </si>
  <si>
    <t>MP0048</t>
  </si>
  <si>
    <t>MP0049</t>
  </si>
  <si>
    <t>MP0050</t>
  </si>
  <si>
    <t>MP0051</t>
  </si>
  <si>
    <t>MP0052</t>
  </si>
  <si>
    <t>MP0053</t>
  </si>
  <si>
    <t>MP0054</t>
  </si>
  <si>
    <t>MP0055</t>
  </si>
  <si>
    <t>MP0056</t>
  </si>
  <si>
    <t>MP0057</t>
  </si>
  <si>
    <t>MP0058</t>
  </si>
  <si>
    <t>MP0059</t>
  </si>
  <si>
    <t>MP0060</t>
  </si>
  <si>
    <t>MP0061</t>
  </si>
  <si>
    <t>MP0062</t>
  </si>
  <si>
    <t>MP0063</t>
  </si>
  <si>
    <t>MP0064</t>
  </si>
  <si>
    <t>MP0065</t>
  </si>
  <si>
    <t>MP0066</t>
  </si>
  <si>
    <t>MP0067</t>
  </si>
  <si>
    <t>MP0068</t>
  </si>
  <si>
    <t>MP0069</t>
  </si>
  <si>
    <t>MP0070</t>
  </si>
  <si>
    <t>MP0071</t>
  </si>
  <si>
    <t>MP0072</t>
  </si>
  <si>
    <t>MP0073</t>
  </si>
  <si>
    <t>MP0074</t>
  </si>
  <si>
    <t>MP0075</t>
  </si>
  <si>
    <t>MP0076</t>
  </si>
  <si>
    <t>MP0077</t>
  </si>
  <si>
    <t>MP0078</t>
  </si>
  <si>
    <t>MP0079</t>
  </si>
  <si>
    <t>MP0080</t>
  </si>
  <si>
    <t>MP0081</t>
  </si>
  <si>
    <t>MP0082</t>
  </si>
  <si>
    <t>MP0083</t>
  </si>
  <si>
    <t>MP0084</t>
  </si>
  <si>
    <t>MP0085</t>
  </si>
  <si>
    <t>MP0086</t>
  </si>
  <si>
    <t>MP0087</t>
  </si>
  <si>
    <t>MP0088</t>
  </si>
  <si>
    <t>MP0089</t>
  </si>
  <si>
    <t>ME0001</t>
  </si>
  <si>
    <t>ME0002</t>
  </si>
  <si>
    <t>ME0003</t>
  </si>
  <si>
    <t>ME0004</t>
  </si>
  <si>
    <t>ME0005</t>
  </si>
  <si>
    <t>ME0006</t>
  </si>
  <si>
    <t>ME0007</t>
  </si>
  <si>
    <t>ME0008</t>
  </si>
  <si>
    <t>ME0009</t>
  </si>
  <si>
    <t>ME0010</t>
  </si>
  <si>
    <t>ME0011</t>
  </si>
  <si>
    <t>ME0012</t>
  </si>
  <si>
    <t>ME0013</t>
  </si>
  <si>
    <t>ME0014</t>
  </si>
  <si>
    <t>ME0015</t>
  </si>
  <si>
    <t>ME0016</t>
  </si>
  <si>
    <t>ME0017</t>
  </si>
  <si>
    <t>ME0018</t>
  </si>
  <si>
    <t>ME0019</t>
  </si>
  <si>
    <t>ME0020</t>
  </si>
  <si>
    <t>ME0021</t>
  </si>
  <si>
    <t>ME0022</t>
  </si>
  <si>
    <t>ME0023</t>
  </si>
  <si>
    <t>ME0024</t>
  </si>
  <si>
    <t>ME0025</t>
  </si>
  <si>
    <t>ME0026</t>
  </si>
  <si>
    <t>ME0027</t>
  </si>
  <si>
    <t>ME0028</t>
  </si>
  <si>
    <t>ME0029</t>
  </si>
  <si>
    <t>ME0030</t>
  </si>
  <si>
    <t>ME0031</t>
  </si>
  <si>
    <t>ME0032</t>
  </si>
  <si>
    <t>ME0033</t>
  </si>
  <si>
    <t>ME0034</t>
  </si>
  <si>
    <t>ME0035</t>
  </si>
  <si>
    <t>ME0036</t>
  </si>
  <si>
    <t>ME0037</t>
  </si>
  <si>
    <t>ME0038</t>
  </si>
  <si>
    <t>ME0039</t>
  </si>
  <si>
    <t>ME0040</t>
  </si>
  <si>
    <t>ME0041</t>
  </si>
  <si>
    <t>ME0042</t>
  </si>
  <si>
    <t>ME0043</t>
  </si>
  <si>
    <t>ME0044</t>
  </si>
  <si>
    <t>ME0045</t>
  </si>
  <si>
    <t>ME0046</t>
  </si>
  <si>
    <t xml:space="preserve">KG </t>
  </si>
  <si>
    <t>FRASCO ÁMBAR 25 ML BOCA 18 MM Y PERILLA</t>
  </si>
  <si>
    <t>ETIQUETA GOTAS</t>
  </si>
  <si>
    <t>CREAR</t>
  </si>
  <si>
    <t>ME0047</t>
  </si>
  <si>
    <t>030307</t>
  </si>
  <si>
    <t xml:space="preserve">No incluir </t>
  </si>
  <si>
    <t>Gotas 25 ML</t>
  </si>
  <si>
    <t>DOLORAN ULTRA (pastillas) y Spray</t>
  </si>
  <si>
    <t>SEDE</t>
  </si>
  <si>
    <t>HOMEOPATICOS; capsu, goteros y lt</t>
  </si>
  <si>
    <t>PRODUCTOS ACTUALIZADO MAYO 2025</t>
  </si>
  <si>
    <t>PREGUNTAR A LUIS POR LAS PASTILLAS QUE VIENEN CON LAS GOTAS</t>
  </si>
  <si>
    <t>FALTA RECETA/PREGUNTAR A LUIS POR LAS PASTILLAS QUE VIENEN CON LAS GOTAS</t>
  </si>
  <si>
    <t>ETIQUETA PAPA JARABE 240ml</t>
  </si>
  <si>
    <t>AVENA EN POLVO</t>
  </si>
  <si>
    <t>SEN EN POLVO</t>
  </si>
  <si>
    <t>BOLDO POLVO</t>
  </si>
  <si>
    <t>ENVASE BLANCO TAURINA</t>
  </si>
  <si>
    <t>5-6-28 AGREGAR EN SAI OPEN</t>
  </si>
  <si>
    <t>01-PRINCIPAL</t>
  </si>
  <si>
    <t>02-JUNIN</t>
  </si>
  <si>
    <t>BODEGA</t>
  </si>
  <si>
    <t xml:space="preserve">BOTELLA FITO BLANCO (500ml)- MERO MACHO LARGO </t>
  </si>
  <si>
    <t>BOTELLA MERO MACHO CORTO (500ml)</t>
  </si>
  <si>
    <t>BOTELLA FLEXDOL (Pastillas)</t>
  </si>
  <si>
    <t>BOTELLA PHARMA (500ml)</t>
  </si>
  <si>
    <t>BOTELLA CUBANOS (500ml)</t>
  </si>
  <si>
    <t>BOTELLA LAMPARA (500ml)</t>
  </si>
  <si>
    <t>BOTELLA PET AMBAR (500ml)</t>
  </si>
  <si>
    <t>TERMOENCOGIBLE (ETIQUETA) EMPERADOR</t>
  </si>
  <si>
    <t>AJUSTADO NOMBRE PARA MAS DETALLE /  NUEVO PRODUCTO</t>
  </si>
  <si>
    <t>EM02</t>
  </si>
  <si>
    <t>SE RETIRAN 1/7/25</t>
  </si>
  <si>
    <t>26/06/2025 INDICA QUE CAMBIA LA PRODUCCION</t>
  </si>
  <si>
    <t>EMPERADOR NUEVO</t>
  </si>
  <si>
    <t>SPR01</t>
  </si>
  <si>
    <t>CIR LAN (500ml)</t>
  </si>
  <si>
    <t>PAPA SILVESTRE JARABE 240ML</t>
  </si>
  <si>
    <t>SUB GRUPO2</t>
  </si>
  <si>
    <t>LINEA.</t>
  </si>
  <si>
    <t>PAPA SILVESTRE POLVO (500 gr)</t>
  </si>
  <si>
    <t>SPRAY  (SE USA PARA INFAMOL PASTAS y DOLORAN)</t>
  </si>
  <si>
    <t>COLAGENO HIDROLIZADO MARINO CAPSULAS</t>
  </si>
  <si>
    <t>NOMBRE EN ETIQUETA</t>
  </si>
  <si>
    <t>7TRS</t>
  </si>
  <si>
    <t>ALICITRIN CIRCULATORIO</t>
  </si>
  <si>
    <t>BRIL-PRO</t>
  </si>
  <si>
    <t>CALCUBANO</t>
  </si>
  <si>
    <t>CIR/LAN</t>
  </si>
  <si>
    <t>CIRCULAV PLUS</t>
  </si>
  <si>
    <t xml:space="preserve">EUPHRASIA OFFICINALIS </t>
  </si>
  <si>
    <t>GINSENG-Esencia FLoral  500 ml</t>
  </si>
  <si>
    <t>FERROVIT</t>
  </si>
  <si>
    <t>FERRUM PHOSPHORICUM</t>
  </si>
  <si>
    <t>MANZANILLA-Esencia FLoral  500 ml</t>
  </si>
  <si>
    <t>HEPATOX DREN</t>
  </si>
  <si>
    <t>NEUROPLUS</t>
  </si>
  <si>
    <t>SAW PALMETTO-Esencia FLoral  500 ml</t>
  </si>
  <si>
    <t>PROX - TAP</t>
  </si>
  <si>
    <t>REUMAT - OFF</t>
  </si>
  <si>
    <t xml:space="preserve">SAW PALMETTO </t>
  </si>
  <si>
    <t>COLA DE CABALLO-Esencia FLoral  500 ml</t>
  </si>
  <si>
    <t>CUBANO UNGÜENTO UÑA DE GATO</t>
  </si>
  <si>
    <t>URODATIVO</t>
  </si>
  <si>
    <t>VENO FLEX</t>
  </si>
  <si>
    <t>RESCATE Gotas Orales</t>
  </si>
  <si>
    <t>STRESS Gotas Orales</t>
  </si>
  <si>
    <t>VICIOS Gotas Orales</t>
  </si>
  <si>
    <t>GINKGO BILOBA</t>
  </si>
  <si>
    <t>INSOMNIO Gotas Orales</t>
  </si>
  <si>
    <t>ESTRELLA DE BELEN Gotas Orales</t>
  </si>
  <si>
    <t>PASSIFLORA Gotas Orales</t>
  </si>
  <si>
    <t>FUMARIA  Gotas Orales</t>
  </si>
  <si>
    <t>MELENA DE LEON Gotas Orales</t>
  </si>
  <si>
    <t>QUIEBRA BARRIGA Gotas Orales</t>
  </si>
  <si>
    <t>VALERIANA Gotas Orales</t>
  </si>
  <si>
    <t>CHANCAPIEDRA</t>
  </si>
  <si>
    <t>ASHWAGANDHA</t>
  </si>
  <si>
    <t>CX-P LT</t>
  </si>
  <si>
    <t>BERENLIN LT</t>
  </si>
  <si>
    <t>BERENLIN 240ml</t>
  </si>
  <si>
    <t>EMPR2</t>
  </si>
  <si>
    <t>GASTRO HEPATICO LT</t>
  </si>
  <si>
    <t>VINAGRE DE MANZANA</t>
  </si>
  <si>
    <t>TOCOSH</t>
  </si>
  <si>
    <t>RABANO IODO</t>
  </si>
  <si>
    <t>EA01</t>
  </si>
  <si>
    <t>EUPHRASIA CUBANO</t>
  </si>
  <si>
    <t>Gotas 15 ML</t>
  </si>
  <si>
    <t>750ml</t>
  </si>
  <si>
    <t>GH01</t>
  </si>
  <si>
    <t>VM01</t>
  </si>
  <si>
    <t>TCH01</t>
  </si>
  <si>
    <t>RI01</t>
  </si>
  <si>
    <t>LABORATORIO HOMEOPATICO CUBANO</t>
  </si>
  <si>
    <t>LABORATOIO IMPERIO NATURAL</t>
  </si>
  <si>
    <t xml:space="preserve">LABOROTARIOS G&amp;B </t>
  </si>
  <si>
    <t>ELABORADO POR</t>
  </si>
  <si>
    <t>COMERCIALIZADO POR</t>
  </si>
  <si>
    <t>NATURAL PALAGAR S.A.S</t>
  </si>
  <si>
    <t>CGHM01</t>
  </si>
  <si>
    <t>ENVASE TIENE XXXX CAPSULAS</t>
  </si>
  <si>
    <t xml:space="preserve">CALOSTRO BOVINO </t>
  </si>
  <si>
    <t>MACA</t>
  </si>
  <si>
    <t>MC01</t>
  </si>
  <si>
    <t>CLB01</t>
  </si>
  <si>
    <t>CALOSTRO KG</t>
  </si>
  <si>
    <t xml:space="preserve">COLAGENO HIDROLIZADO </t>
  </si>
  <si>
    <t>MACA POLVO</t>
  </si>
  <si>
    <t>S.SOCIAL ANGIE INDEPEN</t>
  </si>
  <si>
    <t>S,SOCIAL ANGIE EMPRESA</t>
  </si>
  <si>
    <t xml:space="preserve">QUIMICO ANDRES </t>
  </si>
  <si>
    <t>S.SOCIAL MAJO INDENPEN</t>
  </si>
  <si>
    <t>S.SOCIAL MAJO EMPRESA</t>
  </si>
  <si>
    <t>QUIMICO MICHAEL</t>
  </si>
  <si>
    <t>CREDITO VALLADO</t>
  </si>
  <si>
    <t>LHC MENSUAL</t>
  </si>
  <si>
    <t>IMPERIO NATURAL MENSUAL</t>
  </si>
  <si>
    <t>SALARIO LUIS MIGUEL</t>
  </si>
  <si>
    <t xml:space="preserve">SALARIO YOHANA </t>
  </si>
  <si>
    <t>SALARIO PERSONAL ( LUISA - YUL)</t>
  </si>
  <si>
    <t>SALRIO PERSONAL(CARLOS -MAYE)</t>
  </si>
  <si>
    <t xml:space="preserve">LUIS MENSUAL </t>
  </si>
  <si>
    <t xml:space="preserve">EMCALI VALLADO </t>
  </si>
  <si>
    <t>GAS VALLADO</t>
  </si>
  <si>
    <t>INTERNET VALLADO</t>
  </si>
  <si>
    <t>EMCALI EDIFICIO</t>
  </si>
  <si>
    <t>GAS EDIFICIO</t>
  </si>
  <si>
    <t xml:space="preserve">TOTAL </t>
  </si>
  <si>
    <t xml:space="preserve">COSTOS FIJOS </t>
  </si>
  <si>
    <t xml:space="preserve">SALARIOS DIRECTIVOS </t>
  </si>
  <si>
    <t xml:space="preserve">TOTALES </t>
  </si>
  <si>
    <t>UNIDADES A PRODUCIR</t>
  </si>
  <si>
    <t>MR FIBRA</t>
  </si>
  <si>
    <t>450gr</t>
  </si>
  <si>
    <t xml:space="preserve">DETALLE </t>
  </si>
  <si>
    <t>PRECIO KL/UND</t>
  </si>
  <si>
    <t>VALOR GR/UND</t>
  </si>
  <si>
    <t>COSTO CANTIDAD PRODUCIDA</t>
  </si>
  <si>
    <t>LINAZA</t>
  </si>
  <si>
    <t>PSYLIUM</t>
  </si>
  <si>
    <t>TE VERDE</t>
  </si>
  <si>
    <t>BENZOATO</t>
  </si>
  <si>
    <t>SALVADO DE TRIGO</t>
  </si>
  <si>
    <t>BOLSA</t>
  </si>
  <si>
    <t xml:space="preserve">ETIQUETAS </t>
  </si>
  <si>
    <t xml:space="preserve">COSTO UNIDAD </t>
  </si>
  <si>
    <t xml:space="preserve">PRECIO DE VENTA </t>
  </si>
  <si>
    <t xml:space="preserve">UTILIDAD </t>
  </si>
  <si>
    <t>ORTIGA POLVO</t>
  </si>
  <si>
    <r>
      <rPr>
        <b/>
        <u/>
        <sz val="10"/>
        <color theme="1"/>
        <rFont val="Arial Narrow"/>
        <family val="2"/>
      </rPr>
      <t>SE USA EN:</t>
    </r>
    <r>
      <rPr>
        <sz val="10"/>
        <color theme="1"/>
        <rFont val="Arial Narrow"/>
        <family val="2"/>
      </rPr>
      <t xml:space="preserve">
MERO MACHO
SALTO DE TIGRE
BOTANPRO</t>
    </r>
  </si>
  <si>
    <r>
      <rPr>
        <b/>
        <u/>
        <sz val="10"/>
        <color theme="1"/>
        <rFont val="Arial Narrow"/>
        <family val="2"/>
      </rPr>
      <t>SE USA EN:</t>
    </r>
    <r>
      <rPr>
        <sz val="10"/>
        <color theme="1"/>
        <rFont val="Arial Narrow"/>
        <family val="2"/>
      </rPr>
      <t xml:space="preserve">
 PONTEFULL
FLOR DE CENTELLA NUEVA
TAMAKURA
GLDEN PUL
FACTOR D7
EMPERADOR
IFAMOL JARABE</t>
    </r>
  </si>
  <si>
    <t>MP0090</t>
  </si>
  <si>
    <t>MP0091</t>
  </si>
  <si>
    <t>MP0092</t>
  </si>
  <si>
    <t>MP0093</t>
  </si>
  <si>
    <t>ANGIE LHC</t>
  </si>
  <si>
    <t>MP0094</t>
  </si>
  <si>
    <t xml:space="preserve">PSYLLIUM CASCARA </t>
  </si>
  <si>
    <t>JENGIBRE POLVO</t>
  </si>
  <si>
    <t>MP0095</t>
  </si>
  <si>
    <t>THIAMINA</t>
  </si>
  <si>
    <t>MP0096</t>
  </si>
  <si>
    <t>MP0097</t>
  </si>
  <si>
    <t>GLICINATO DE MAGNESIO</t>
  </si>
  <si>
    <t>PASTILLERO AMBAR 120ML</t>
  </si>
  <si>
    <t>CURCUMA POLVO</t>
  </si>
  <si>
    <t>MP0098</t>
  </si>
  <si>
    <t>HARPAGOFITO RAIZ POLVO</t>
  </si>
  <si>
    <t>MP0099</t>
  </si>
  <si>
    <t>ME0048</t>
  </si>
  <si>
    <t xml:space="preserve">POTE NEGRO DE 90GR CON TAPA ROJA </t>
  </si>
  <si>
    <t>MP0100</t>
  </si>
  <si>
    <t>VITAMINA C SIN RECUBRIR</t>
  </si>
  <si>
    <t>CANELA POLVO</t>
  </si>
  <si>
    <t>MP0101</t>
  </si>
  <si>
    <t>MP0102</t>
  </si>
  <si>
    <t>REGALIZ POLVO</t>
  </si>
  <si>
    <t>MP0103</t>
  </si>
  <si>
    <t>TE NEGRO POLVO</t>
  </si>
  <si>
    <t>MPO0104</t>
  </si>
  <si>
    <t>TE VERDE POLVO</t>
  </si>
  <si>
    <t>JARABE  ML</t>
  </si>
  <si>
    <t>ME0049</t>
  </si>
  <si>
    <t>MAD D SEL</t>
  </si>
  <si>
    <t>1000ML</t>
  </si>
  <si>
    <t>CAFÉ PARDO</t>
  </si>
  <si>
    <t>ENVASE LITRO( TAPA BLANCA-COPA DOSIFICADORA)</t>
  </si>
  <si>
    <t>TERMOENCOGIBLE MAD D SEL</t>
  </si>
  <si>
    <t>ME0050</t>
  </si>
  <si>
    <t>FUNDA MAD-D-SEL 1000ML</t>
  </si>
  <si>
    <t>UN</t>
  </si>
  <si>
    <t>GALON
3500GR</t>
  </si>
  <si>
    <t xml:space="preserve">doña yohana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</si>
</sst>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0.0000"/>
    <numFmt numFmtId="169" formatCode="_-&quot;$&quot;\ * #,##0.00000_-;\-&quot;$&quot;\ * #,##0.00000_-;_-&quot;$&quot;\ * &quot;-&quot;??_-;_-@_-"/>
    <numFmt numFmtId="170" formatCode="0.000"/>
    <numFmt numFmtId="171" formatCode="#,##0.00_ ;[Red]\-#,##0.00\ "/>
    <numFmt numFmtId="172" formatCode="_-* #,##0_-;\-* #,##0_-;_-* &quot;-&quot;??_-;_-@_-"/>
  </numFmts>
  <fonts count="1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70C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Calibri"/>
      <family val="2"/>
      <scheme val="minor"/>
    </font>
    <font>
      <sz val="7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Calibri"/>
      <family val="2"/>
      <scheme val="minor"/>
    </font>
    <font>
      <b/>
      <u/>
      <sz val="7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7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0" tint="-4.9989318521683403E-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Arial"/>
      <family val="2"/>
    </font>
    <font>
      <sz val="9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color rgb="FFFF0000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sz val="7"/>
      <color theme="1"/>
      <name val="Arial Narrow"/>
      <family val="2"/>
    </font>
    <font>
      <sz val="8"/>
      <color theme="1"/>
      <name val="Arial Narrow"/>
      <family val="2"/>
    </font>
    <font>
      <b/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8"/>
      <color theme="1"/>
      <name val="Arial Narrow"/>
      <family val="2"/>
    </font>
    <font>
      <b/>
      <sz val="10"/>
      <color rgb="FF0070C0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sz val="10"/>
      <color rgb="FF0070C0"/>
      <name val="Arial Narrow"/>
      <family val="2"/>
    </font>
    <font>
      <sz val="10"/>
      <color rgb="FF000000"/>
      <name val="Arial Narrow"/>
      <family val="2"/>
    </font>
    <font>
      <sz val="11"/>
      <name val="Arial Narrow"/>
      <family val="2"/>
    </font>
    <font>
      <sz val="11"/>
      <color rgb="FFFF0000"/>
      <name val="Arial Narrow"/>
      <family val="2"/>
    </font>
    <font>
      <b/>
      <sz val="11"/>
      <color theme="5"/>
      <name val="Arial Narrow"/>
      <family val="2"/>
    </font>
    <font>
      <b/>
      <sz val="14"/>
      <color theme="5"/>
      <name val="Arial Narrow"/>
      <family val="2"/>
    </font>
    <font>
      <b/>
      <u/>
      <sz val="11"/>
      <color rgb="FFFF0000"/>
      <name val="Arial Narrow"/>
      <family val="2"/>
    </font>
    <font>
      <b/>
      <sz val="18"/>
      <color rgb="FFFF0000"/>
      <name val="Arial Narrow"/>
      <family val="2"/>
    </font>
    <font>
      <sz val="11"/>
      <color rgb="FF0070C0"/>
      <name val="Arial Narrow"/>
      <family val="2"/>
    </font>
    <font>
      <b/>
      <sz val="11"/>
      <name val="Arial Narrow"/>
      <family val="2"/>
    </font>
    <font>
      <b/>
      <u/>
      <sz val="20"/>
      <name val="Arial Narrow"/>
      <family val="2"/>
    </font>
    <font>
      <b/>
      <u/>
      <sz val="11"/>
      <name val="Arial Narrow"/>
      <family val="2"/>
    </font>
    <font>
      <b/>
      <u/>
      <sz val="11"/>
      <color theme="1"/>
      <name val="Arial Narrow"/>
      <family val="2"/>
    </font>
    <font>
      <b/>
      <u/>
      <sz val="20"/>
      <color rgb="FFFF0000"/>
      <name val="Arial Narrow"/>
      <family val="2"/>
    </font>
    <font>
      <b/>
      <u/>
      <sz val="20"/>
      <color theme="1"/>
      <name val="Arial Narrow"/>
      <family val="2"/>
    </font>
    <font>
      <b/>
      <sz val="11"/>
      <color theme="2" tint="-0.749992370372631"/>
      <name val="Arial Narrow"/>
      <family val="2"/>
    </font>
    <font>
      <sz val="11"/>
      <color theme="2" tint="-0.749992370372631"/>
      <name val="Arial Narrow"/>
      <family val="2"/>
    </font>
    <font>
      <b/>
      <u/>
      <sz val="8"/>
      <color rgb="FFFF0000"/>
      <name val="Arial Narrow"/>
      <family val="2"/>
    </font>
    <font>
      <sz val="20"/>
      <name val="Arial Narrow"/>
      <family val="2"/>
    </font>
    <font>
      <b/>
      <sz val="20"/>
      <color theme="1"/>
      <name val="Arial Narrow"/>
      <family val="2"/>
    </font>
    <font>
      <b/>
      <sz val="11"/>
      <color rgb="FFFF0000"/>
      <name val="Arial Narrow"/>
      <family val="2"/>
    </font>
    <font>
      <b/>
      <sz val="8"/>
      <color rgb="FFFF0000"/>
      <name val="Arial Narrow"/>
      <family val="2"/>
    </font>
    <font>
      <b/>
      <sz val="9"/>
      <color rgb="FFFF0000"/>
      <name val="Arial Narrow"/>
      <family val="2"/>
    </font>
    <font>
      <sz val="11"/>
      <color rgb="FFEE0000"/>
      <name val="Arial Narrow"/>
      <family val="2"/>
    </font>
    <font>
      <b/>
      <sz val="11"/>
      <color rgb="FFEE0000"/>
      <name val="Arial Narrow"/>
      <family val="2"/>
    </font>
    <font>
      <b/>
      <sz val="8"/>
      <color rgb="FFEE0000"/>
      <name val="Arial Narrow"/>
      <family val="2"/>
    </font>
    <font>
      <b/>
      <sz val="8"/>
      <name val="Arial Narrow"/>
      <family val="2"/>
    </font>
    <font>
      <b/>
      <u/>
      <sz val="20"/>
      <color theme="0"/>
      <name val="Arial Narrow"/>
      <family val="2"/>
    </font>
    <font>
      <b/>
      <sz val="11"/>
      <color theme="8" tint="-0.249977111117893"/>
      <name val="Arial Narrow"/>
      <family val="2"/>
    </font>
    <font>
      <sz val="11"/>
      <color theme="8" tint="-0.249977111117893"/>
      <name val="Arial Narrow"/>
      <family val="2"/>
    </font>
    <font>
      <sz val="9"/>
      <color theme="8" tint="-0.249977111117893"/>
      <name val="Arial Narrow"/>
      <family val="2"/>
    </font>
    <font>
      <b/>
      <sz val="11"/>
      <color rgb="FF0070C0"/>
      <name val="Arial Narrow"/>
      <family val="2"/>
    </font>
    <font>
      <b/>
      <u/>
      <sz val="14"/>
      <color rgb="FF0070C0"/>
      <name val="Arial Narrow"/>
      <family val="2"/>
    </font>
    <font>
      <b/>
      <sz val="11"/>
      <color rgb="FF0C0C0C"/>
      <name val="Arial Narrow"/>
      <family val="2"/>
    </font>
    <font>
      <sz val="11"/>
      <color rgb="FF0C0C0C"/>
      <name val="Arial Narrow"/>
      <family val="2"/>
    </font>
    <font>
      <sz val="14"/>
      <color rgb="FFFF0000"/>
      <name val="Arial Narrow"/>
      <family val="2"/>
    </font>
    <font>
      <sz val="11"/>
      <color theme="4" tint="-0.249977111117893"/>
      <name val="Arial Narrow"/>
      <family val="2"/>
    </font>
    <font>
      <b/>
      <sz val="11"/>
      <color theme="4" tint="-0.249977111117893"/>
      <name val="Arial Narrow"/>
      <family val="2"/>
    </font>
    <font>
      <b/>
      <sz val="11"/>
      <color rgb="FF6666FF"/>
      <name val="Arial Narrow"/>
      <family val="2"/>
    </font>
    <font>
      <sz val="11"/>
      <color rgb="FF6666FF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FF0000"/>
      <name val="Arial Narrow"/>
      <family val="2"/>
    </font>
    <font>
      <b/>
      <sz val="12"/>
      <color rgb="FF00B050"/>
      <name val="Arial Narrow"/>
      <family val="2"/>
    </font>
    <font>
      <b/>
      <u/>
      <sz val="10"/>
      <color theme="1"/>
      <name val="Arial Narrow"/>
      <family val="2"/>
    </font>
    <font>
      <b/>
      <sz val="10"/>
      <name val="Arial Narrow"/>
      <family val="2"/>
    </font>
    <font>
      <b/>
      <sz val="11"/>
      <color theme="1"/>
      <name val="Arial"/>
      <family val="2"/>
    </font>
    <font>
      <b/>
      <sz val="11"/>
      <color theme="4"/>
      <name val="Arial Narrow"/>
      <family val="2"/>
    </font>
    <font>
      <sz val="11"/>
      <color theme="4"/>
      <name val="Arial Narrow"/>
      <family val="2"/>
    </font>
    <font>
      <sz val="12"/>
      <color rgb="FFFF000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2"/>
      <color theme="4"/>
      <name val="Arial Narrow"/>
      <family val="2"/>
    </font>
    <font>
      <sz val="12"/>
      <color theme="4"/>
      <name val="Arial Narrow"/>
      <family val="2"/>
    </font>
    <font>
      <sz val="9"/>
      <color theme="4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theme="4" tint="0.7999816888943144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rgb="FFC189F7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6" tint="0.59999389629810485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9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0" fontId="4" fillId="2" borderId="0" applyNumberFormat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8" fillId="0" borderId="0"/>
    <xf numFmtId="43" fontId="2" fillId="0" borderId="0" applyFont="0" applyFill="0" applyBorder="0" applyAlignment="0" applyProtection="0"/>
    <xf numFmtId="9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4" fontId="58" fillId="0" borderId="0" applyFont="0" applyFill="0" applyBorder="0" applyAlignment="0" applyProtection="0"/>
  </cellStyleXfs>
  <cellXfs count="15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6" fillId="6" borderId="3" xfId="1" applyFont="1" applyFill="1" applyBorder="1" applyAlignment="1">
      <alignment horizontal="left" vertical="center"/>
    </xf>
    <xf numFmtId="44" fontId="6" fillId="7" borderId="3" xfId="1" applyFont="1" applyFill="1" applyBorder="1" applyAlignment="1">
      <alignment horizontal="left" vertical="center"/>
    </xf>
    <xf numFmtId="0" fontId="1" fillId="9" borderId="0" xfId="0" applyFont="1" applyFill="1"/>
    <xf numFmtId="0" fontId="0" fillId="9" borderId="0" xfId="0" applyFill="1"/>
    <xf numFmtId="0" fontId="1" fillId="9" borderId="0" xfId="0" applyFont="1" applyFill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0" applyFont="1"/>
    <xf numFmtId="0" fontId="3" fillId="3" borderId="0" xfId="0" applyFont="1" applyFill="1"/>
    <xf numFmtId="164" fontId="2" fillId="0" borderId="0" xfId="1" applyNumberFormat="1" applyFont="1" applyFill="1"/>
    <xf numFmtId="44" fontId="2" fillId="0" borderId="0" xfId="1" applyFont="1"/>
    <xf numFmtId="164" fontId="2" fillId="3" borderId="0" xfId="1" applyNumberFormat="1" applyFont="1" applyFill="1" applyAlignment="1">
      <alignment horizontal="center"/>
    </xf>
    <xf numFmtId="44" fontId="2" fillId="3" borderId="0" xfId="1" applyFont="1" applyFill="1" applyAlignment="1">
      <alignment horizontal="center"/>
    </xf>
    <xf numFmtId="0" fontId="5" fillId="4" borderId="6" xfId="2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44" fontId="2" fillId="0" borderId="0" xfId="1" applyFont="1" applyFill="1"/>
    <xf numFmtId="0" fontId="1" fillId="3" borderId="0" xfId="0" applyFont="1" applyFill="1"/>
    <xf numFmtId="0" fontId="0" fillId="11" borderId="0" xfId="0" applyFill="1"/>
    <xf numFmtId="0" fontId="1" fillId="5" borderId="0" xfId="0" applyFont="1" applyFill="1" applyAlignment="1">
      <alignment horizontal="center"/>
    </xf>
    <xf numFmtId="0" fontId="0" fillId="0" borderId="2" xfId="0" applyBorder="1"/>
    <xf numFmtId="0" fontId="1" fillId="5" borderId="2" xfId="0" applyFont="1" applyFill="1" applyBorder="1" applyAlignment="1">
      <alignment horizontal="center"/>
    </xf>
    <xf numFmtId="0" fontId="1" fillId="10" borderId="0" xfId="0" applyFont="1" applyFill="1"/>
    <xf numFmtId="0" fontId="0" fillId="10" borderId="2" xfId="0" applyFill="1" applyBorder="1"/>
    <xf numFmtId="0" fontId="0" fillId="0" borderId="5" xfId="0" applyBorder="1"/>
    <xf numFmtId="0" fontId="0" fillId="0" borderId="7" xfId="0" applyBorder="1"/>
    <xf numFmtId="0" fontId="0" fillId="9" borderId="0" xfId="0" applyFill="1" applyAlignment="1">
      <alignment horizontal="center"/>
    </xf>
    <xf numFmtId="0" fontId="1" fillId="3" borderId="0" xfId="0" applyFont="1" applyFill="1" applyAlignment="1">
      <alignment horizontal="right"/>
    </xf>
    <xf numFmtId="2" fontId="0" fillId="0" borderId="0" xfId="0" applyNumberFormat="1"/>
    <xf numFmtId="0" fontId="10" fillId="0" borderId="0" xfId="0" applyFont="1"/>
    <xf numFmtId="0" fontId="11" fillId="0" borderId="0" xfId="0" applyFont="1" applyAlignment="1">
      <alignment horizontal="center"/>
    </xf>
    <xf numFmtId="0" fontId="0" fillId="12" borderId="0" xfId="0" applyFill="1"/>
    <xf numFmtId="0" fontId="0" fillId="0" borderId="2" xfId="0" applyBorder="1" applyAlignment="1">
      <alignment wrapText="1"/>
    </xf>
    <xf numFmtId="0" fontId="12" fillId="0" borderId="0" xfId="0" applyFont="1"/>
    <xf numFmtId="0" fontId="13" fillId="5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2" fontId="0" fillId="0" borderId="2" xfId="0" applyNumberFormat="1" applyBorder="1" applyAlignment="1">
      <alignment horizontal="center"/>
    </xf>
    <xf numFmtId="0" fontId="0" fillId="10" borderId="0" xfId="0" applyFill="1"/>
    <xf numFmtId="44" fontId="0" fillId="13" borderId="13" xfId="1" applyFont="1" applyFill="1" applyBorder="1" applyAlignment="1">
      <alignment horizontal="left" indent="2"/>
    </xf>
    <xf numFmtId="0" fontId="0" fillId="0" borderId="2" xfId="0" applyBorder="1" applyAlignment="1">
      <alignment horizontal="left" vertical="center"/>
    </xf>
    <xf numFmtId="44" fontId="0" fillId="0" borderId="13" xfId="1" applyFont="1" applyBorder="1" applyAlignment="1">
      <alignment horizontal="left" indent="2"/>
    </xf>
    <xf numFmtId="0" fontId="0" fillId="13" borderId="2" xfId="0" applyFill="1" applyBorder="1" applyAlignment="1">
      <alignment horizontal="left"/>
    </xf>
    <xf numFmtId="0" fontId="0" fillId="13" borderId="2" xfId="0" applyFill="1" applyBorder="1" applyAlignment="1">
      <alignment horizontal="left" wrapText="1"/>
    </xf>
    <xf numFmtId="0" fontId="12" fillId="13" borderId="2" xfId="0" applyFont="1" applyFill="1" applyBorder="1"/>
    <xf numFmtId="0" fontId="0" fillId="0" borderId="2" xfId="0" applyBorder="1" applyAlignment="1">
      <alignment horizontal="left"/>
    </xf>
    <xf numFmtId="0" fontId="0" fillId="13" borderId="2" xfId="0" applyFill="1" applyBorder="1" applyAlignment="1">
      <alignment horizontal="left" vertical="center"/>
    </xf>
    <xf numFmtId="0" fontId="0" fillId="13" borderId="2" xfId="0" applyFill="1" applyBorder="1" applyAlignment="1">
      <alignment horizontal="left" vertical="center" wrapText="1"/>
    </xf>
    <xf numFmtId="44" fontId="0" fillId="14" borderId="2" xfId="1" applyFont="1" applyFill="1" applyBorder="1" applyAlignment="1">
      <alignment horizontal="left" indent="2"/>
    </xf>
    <xf numFmtId="44" fontId="0" fillId="14" borderId="2" xfId="1" applyFont="1" applyFill="1" applyBorder="1" applyAlignment="1">
      <alignment horizontal="left" vertical="center" indent="2"/>
    </xf>
    <xf numFmtId="44" fontId="0" fillId="14" borderId="13" xfId="1" applyFont="1" applyFill="1" applyBorder="1" applyAlignment="1">
      <alignment horizontal="left" indent="2"/>
    </xf>
    <xf numFmtId="0" fontId="0" fillId="13" borderId="14" xfId="0" applyFill="1" applyBorder="1" applyAlignment="1">
      <alignment horizontal="left" vertical="center"/>
    </xf>
    <xf numFmtId="0" fontId="0" fillId="13" borderId="14" xfId="0" applyFill="1" applyBorder="1" applyAlignment="1">
      <alignment horizontal="left" vertical="center" wrapText="1"/>
    </xf>
    <xf numFmtId="44" fontId="0" fillId="13" borderId="15" xfId="1" applyFont="1" applyFill="1" applyBorder="1" applyAlignment="1">
      <alignment horizontal="left" indent="2"/>
    </xf>
    <xf numFmtId="0" fontId="12" fillId="13" borderId="14" xfId="0" applyFont="1" applyFill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 wrapText="1"/>
    </xf>
    <xf numFmtId="44" fontId="0" fillId="0" borderId="9" xfId="1" applyFont="1" applyBorder="1" applyAlignment="1">
      <alignment horizontal="left" indent="2"/>
    </xf>
    <xf numFmtId="0" fontId="14" fillId="0" borderId="10" xfId="0" applyFont="1" applyBorder="1"/>
    <xf numFmtId="0" fontId="14" fillId="13" borderId="10" xfId="0" applyFont="1" applyFill="1" applyBorder="1"/>
    <xf numFmtId="0" fontId="3" fillId="13" borderId="2" xfId="0" applyFont="1" applyFill="1" applyBorder="1" applyAlignment="1">
      <alignment horizontal="left" vertical="center"/>
    </xf>
    <xf numFmtId="0" fontId="15" fillId="13" borderId="2" xfId="0" applyFont="1" applyFill="1" applyBorder="1" applyAlignment="1">
      <alignment wrapText="1"/>
    </xf>
    <xf numFmtId="0" fontId="15" fillId="0" borderId="2" xfId="0" applyFont="1" applyBorder="1" applyAlignment="1">
      <alignment wrapText="1"/>
    </xf>
    <xf numFmtId="44" fontId="0" fillId="13" borderId="2" xfId="1" applyFont="1" applyFill="1" applyBorder="1" applyAlignment="1">
      <alignment horizontal="left" vertical="center" indent="2"/>
    </xf>
    <xf numFmtId="44" fontId="0" fillId="13" borderId="2" xfId="1" applyFont="1" applyFill="1" applyBorder="1"/>
    <xf numFmtId="44" fontId="0" fillId="0" borderId="2" xfId="1" applyFont="1" applyBorder="1" applyAlignment="1">
      <alignment horizontal="left" vertical="center" indent="2"/>
    </xf>
    <xf numFmtId="44" fontId="0" fillId="0" borderId="2" xfId="1" applyFont="1" applyBorder="1"/>
    <xf numFmtId="44" fontId="0" fillId="3" borderId="2" xfId="1" applyFont="1" applyFill="1" applyBorder="1"/>
    <xf numFmtId="0" fontId="12" fillId="3" borderId="2" xfId="0" applyFont="1" applyFill="1" applyBorder="1"/>
    <xf numFmtId="0" fontId="13" fillId="5" borderId="7" xfId="0" applyFont="1" applyFill="1" applyBorder="1" applyAlignment="1">
      <alignment horizontal="center"/>
    </xf>
    <xf numFmtId="165" fontId="0" fillId="0" borderId="2" xfId="0" applyNumberFormat="1" applyBorder="1"/>
    <xf numFmtId="165" fontId="0" fillId="0" borderId="4" xfId="0" applyNumberFormat="1" applyBorder="1"/>
    <xf numFmtId="0" fontId="12" fillId="0" borderId="7" xfId="0" applyFont="1" applyBorder="1"/>
    <xf numFmtId="0" fontId="9" fillId="0" borderId="0" xfId="0" applyFont="1" applyAlignment="1">
      <alignment wrapText="1"/>
    </xf>
    <xf numFmtId="0" fontId="17" fillId="5" borderId="0" xfId="0" applyFont="1" applyFill="1" applyAlignment="1">
      <alignment horizontal="center" wrapText="1"/>
    </xf>
    <xf numFmtId="0" fontId="9" fillId="0" borderId="2" xfId="0" applyFont="1" applyBorder="1" applyAlignment="1">
      <alignment wrapText="1"/>
    </xf>
    <xf numFmtId="0" fontId="19" fillId="0" borderId="0" xfId="0" applyFont="1" applyAlignment="1">
      <alignment wrapText="1"/>
    </xf>
    <xf numFmtId="0" fontId="20" fillId="5" borderId="0" xfId="0" applyFont="1" applyFill="1" applyAlignment="1">
      <alignment horizontal="center" wrapText="1"/>
    </xf>
    <xf numFmtId="0" fontId="19" fillId="0" borderId="2" xfId="0" applyFont="1" applyBorder="1" applyAlignment="1">
      <alignment wrapText="1"/>
    </xf>
    <xf numFmtId="0" fontId="17" fillId="4" borderId="0" xfId="0" applyFont="1" applyFill="1" applyAlignment="1">
      <alignment horizontal="center" wrapText="1"/>
    </xf>
    <xf numFmtId="0" fontId="20" fillId="4" borderId="0" xfId="0" applyFont="1" applyFill="1" applyAlignment="1">
      <alignment horizontal="center" wrapText="1"/>
    </xf>
    <xf numFmtId="164" fontId="9" fillId="0" borderId="0" xfId="1" applyNumberFormat="1" applyFont="1" applyAlignment="1">
      <alignment wrapText="1"/>
    </xf>
    <xf numFmtId="44" fontId="2" fillId="0" borderId="2" xfId="1" applyFont="1" applyFill="1" applyBorder="1" applyAlignment="1">
      <alignment horizontal="left" vertical="center" indent="2"/>
    </xf>
    <xf numFmtId="44" fontId="2" fillId="0" borderId="2" xfId="1" applyFont="1" applyFill="1" applyBorder="1"/>
    <xf numFmtId="44" fontId="0" fillId="0" borderId="2" xfId="1" applyFont="1" applyFill="1" applyBorder="1" applyAlignment="1">
      <alignment horizontal="left" indent="2"/>
    </xf>
    <xf numFmtId="44" fontId="0" fillId="0" borderId="2" xfId="1" applyFont="1" applyFill="1" applyBorder="1"/>
    <xf numFmtId="0" fontId="12" fillId="0" borderId="2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3" borderId="4" xfId="0" applyFill="1" applyBorder="1"/>
    <xf numFmtId="0" fontId="13" fillId="0" borderId="0" xfId="0" applyFont="1" applyAlignment="1">
      <alignment horizontal="center"/>
    </xf>
    <xf numFmtId="165" fontId="0" fillId="0" borderId="0" xfId="0" applyNumberFormat="1"/>
    <xf numFmtId="0" fontId="12" fillId="0" borderId="0" xfId="0" applyFont="1" applyAlignment="1">
      <alignment horizontal="center"/>
    </xf>
    <xf numFmtId="0" fontId="13" fillId="15" borderId="7" xfId="0" applyFont="1" applyFill="1" applyBorder="1" applyAlignment="1">
      <alignment horizontal="center"/>
    </xf>
    <xf numFmtId="2" fontId="0" fillId="0" borderId="2" xfId="0" applyNumberFormat="1" applyBorder="1"/>
    <xf numFmtId="0" fontId="1" fillId="0" borderId="0" xfId="0" applyFont="1" applyAlignment="1">
      <alignment wrapText="1"/>
    </xf>
    <xf numFmtId="0" fontId="1" fillId="5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horizontal="center"/>
    </xf>
    <xf numFmtId="0" fontId="22" fillId="0" borderId="2" xfId="0" applyFont="1" applyBorder="1" applyAlignment="1">
      <alignment horizontal="center"/>
    </xf>
    <xf numFmtId="44" fontId="0" fillId="0" borderId="0" xfId="1" applyFont="1"/>
    <xf numFmtId="44" fontId="0" fillId="0" borderId="2" xfId="0" applyNumberFormat="1" applyBorder="1"/>
    <xf numFmtId="164" fontId="0" fillId="0" borderId="2" xfId="0" applyNumberFormat="1" applyBorder="1"/>
    <xf numFmtId="164" fontId="0" fillId="0" borderId="0" xfId="0" applyNumberFormat="1"/>
    <xf numFmtId="44" fontId="1" fillId="8" borderId="2" xfId="1" applyFont="1" applyFill="1" applyBorder="1" applyAlignment="1">
      <alignment horizontal="center"/>
    </xf>
    <xf numFmtId="164" fontId="1" fillId="0" borderId="0" xfId="1" applyNumberFormat="1" applyFont="1" applyAlignment="1">
      <alignment horizontal="left"/>
    </xf>
    <xf numFmtId="44" fontId="1" fillId="8" borderId="2" xfId="1" applyFont="1" applyFill="1" applyBorder="1" applyAlignment="1">
      <alignment horizontal="center" wrapText="1"/>
    </xf>
    <xf numFmtId="164" fontId="3" fillId="0" borderId="2" xfId="0" applyNumberFormat="1" applyFont="1" applyBorder="1"/>
    <xf numFmtId="164" fontId="1" fillId="0" borderId="19" xfId="0" applyNumberFormat="1" applyFont="1" applyBorder="1"/>
    <xf numFmtId="2" fontId="0" fillId="7" borderId="2" xfId="0" applyNumberFormat="1" applyFill="1" applyBorder="1"/>
    <xf numFmtId="0" fontId="1" fillId="0" borderId="0" xfId="0" applyFont="1" applyAlignment="1">
      <alignment horizontal="center" wrapText="1"/>
    </xf>
    <xf numFmtId="44" fontId="0" fillId="0" borderId="0" xfId="1" applyFont="1" applyFill="1" applyBorder="1"/>
    <xf numFmtId="0" fontId="13" fillId="0" borderId="0" xfId="0" applyFont="1" applyAlignment="1">
      <alignment horizontal="center" wrapText="1"/>
    </xf>
    <xf numFmtId="44" fontId="1" fillId="0" borderId="0" xfId="1" applyFont="1" applyFill="1" applyBorder="1"/>
    <xf numFmtId="44" fontId="1" fillId="0" borderId="26" xfId="1" applyFont="1" applyBorder="1"/>
    <xf numFmtId="164" fontId="1" fillId="0" borderId="26" xfId="1" applyNumberFormat="1" applyFont="1" applyBorder="1"/>
    <xf numFmtId="0" fontId="1" fillId="8" borderId="2" xfId="0" applyFont="1" applyFill="1" applyBorder="1" applyAlignment="1">
      <alignment horizontal="center"/>
    </xf>
    <xf numFmtId="164" fontId="0" fillId="0" borderId="2" xfId="1" applyNumberFormat="1" applyFont="1" applyBorder="1"/>
    <xf numFmtId="0" fontId="1" fillId="11" borderId="0" xfId="0" applyFont="1" applyFill="1" applyAlignment="1">
      <alignment wrapText="1"/>
    </xf>
    <xf numFmtId="0" fontId="1" fillId="11" borderId="0" xfId="0" applyFont="1" applyFill="1"/>
    <xf numFmtId="0" fontId="3" fillId="11" borderId="0" xfId="0" applyFont="1" applyFill="1"/>
    <xf numFmtId="164" fontId="1" fillId="11" borderId="0" xfId="1" applyNumberFormat="1" applyFont="1" applyFill="1" applyAlignment="1">
      <alignment horizontal="left"/>
    </xf>
    <xf numFmtId="166" fontId="0" fillId="11" borderId="0" xfId="1" applyNumberFormat="1" applyFont="1" applyFill="1" applyAlignment="1">
      <alignment horizontal="center"/>
    </xf>
    <xf numFmtId="167" fontId="3" fillId="11" borderId="0" xfId="0" applyNumberFormat="1" applyFont="1" applyFill="1"/>
    <xf numFmtId="0" fontId="1" fillId="11" borderId="21" xfId="0" applyFont="1" applyFill="1" applyBorder="1" applyAlignment="1">
      <alignment horizontal="center" wrapText="1"/>
    </xf>
    <xf numFmtId="0" fontId="1" fillId="11" borderId="0" xfId="0" applyFont="1" applyFill="1" applyAlignment="1">
      <alignment horizontal="center"/>
    </xf>
    <xf numFmtId="0" fontId="13" fillId="11" borderId="4" xfId="0" applyFont="1" applyFill="1" applyBorder="1" applyAlignment="1">
      <alignment horizontal="center" wrapText="1"/>
    </xf>
    <xf numFmtId="0" fontId="13" fillId="11" borderId="22" xfId="0" applyFont="1" applyFill="1" applyBorder="1" applyAlignment="1">
      <alignment horizontal="center" wrapText="1"/>
    </xf>
    <xf numFmtId="0" fontId="0" fillId="11" borderId="23" xfId="0" applyFill="1" applyBorder="1" applyAlignment="1">
      <alignment wrapText="1"/>
    </xf>
    <xf numFmtId="0" fontId="0" fillId="11" borderId="2" xfId="0" applyFill="1" applyBorder="1" applyAlignment="1">
      <alignment wrapText="1"/>
    </xf>
    <xf numFmtId="0" fontId="0" fillId="11" borderId="2" xfId="0" applyFill="1" applyBorder="1"/>
    <xf numFmtId="0" fontId="22" fillId="11" borderId="2" xfId="0" applyFont="1" applyFill="1" applyBorder="1" applyAlignment="1">
      <alignment horizontal="center"/>
    </xf>
    <xf numFmtId="2" fontId="0" fillId="11" borderId="24" xfId="0" applyNumberFormat="1" applyFill="1" applyBorder="1"/>
    <xf numFmtId="0" fontId="0" fillId="11" borderId="24" xfId="0" applyFill="1" applyBorder="1"/>
    <xf numFmtId="0" fontId="0" fillId="11" borderId="11" xfId="0" applyFill="1" applyBorder="1" applyAlignment="1">
      <alignment wrapText="1"/>
    </xf>
    <xf numFmtId="0" fontId="0" fillId="11" borderId="12" xfId="0" applyFill="1" applyBorder="1"/>
    <xf numFmtId="0" fontId="0" fillId="11" borderId="25" xfId="0" applyFill="1" applyBorder="1"/>
    <xf numFmtId="0" fontId="13" fillId="6" borderId="4" xfId="0" applyFont="1" applyFill="1" applyBorder="1" applyAlignment="1">
      <alignment horizontal="center" wrapText="1"/>
    </xf>
    <xf numFmtId="0" fontId="13" fillId="6" borderId="2" xfId="0" applyFont="1" applyFill="1" applyBorder="1" applyAlignment="1">
      <alignment horizontal="center" wrapText="1"/>
    </xf>
    <xf numFmtId="166" fontId="2" fillId="0" borderId="0" xfId="1" applyNumberFormat="1" applyFont="1" applyFill="1" applyAlignment="1">
      <alignment horizontal="center"/>
    </xf>
    <xf numFmtId="167" fontId="23" fillId="7" borderId="0" xfId="0" applyNumberFormat="1" applyFont="1" applyFill="1"/>
    <xf numFmtId="44" fontId="0" fillId="0" borderId="0" xfId="0" applyNumberFormat="1"/>
    <xf numFmtId="44" fontId="0" fillId="0" borderId="0" xfId="1" applyFont="1" applyBorder="1"/>
    <xf numFmtId="0" fontId="22" fillId="0" borderId="2" xfId="0" applyFont="1" applyBorder="1" applyAlignment="1">
      <alignment wrapText="1"/>
    </xf>
    <xf numFmtId="44" fontId="12" fillId="0" borderId="0" xfId="1" applyFont="1" applyAlignment="1">
      <alignment wrapText="1"/>
    </xf>
    <xf numFmtId="0" fontId="19" fillId="0" borderId="0" xfId="0" applyFont="1" applyAlignment="1">
      <alignment horizontal="center" wrapText="1"/>
    </xf>
    <xf numFmtId="44" fontId="13" fillId="5" borderId="0" xfId="1" applyFont="1" applyFill="1" applyAlignment="1">
      <alignment horizontal="center" wrapText="1"/>
    </xf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8" fillId="0" borderId="2" xfId="0" applyFont="1" applyBorder="1" applyAlignment="1">
      <alignment wrapText="1"/>
    </xf>
    <xf numFmtId="0" fontId="24" fillId="0" borderId="2" xfId="0" applyFont="1" applyBorder="1" applyAlignment="1">
      <alignment wrapText="1"/>
    </xf>
    <xf numFmtId="0" fontId="23" fillId="0" borderId="0" xfId="0" applyFont="1"/>
    <xf numFmtId="0" fontId="25" fillId="0" borderId="0" xfId="0" applyFont="1"/>
    <xf numFmtId="0" fontId="0" fillId="16" borderId="2" xfId="0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3" fillId="6" borderId="2" xfId="0" applyFont="1" applyFill="1" applyBorder="1" applyAlignment="1">
      <alignment horizontal="left" vertical="center" wrapText="1"/>
    </xf>
    <xf numFmtId="164" fontId="9" fillId="0" borderId="0" xfId="1" applyNumberFormat="1" applyFont="1" applyFill="1" applyAlignment="1">
      <alignment wrapText="1"/>
    </xf>
    <xf numFmtId="0" fontId="0" fillId="13" borderId="4" xfId="0" applyFill="1" applyBorder="1" applyAlignment="1">
      <alignment horizontal="left" wrapText="1"/>
    </xf>
    <xf numFmtId="0" fontId="14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4" borderId="3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left" wrapText="1"/>
    </xf>
    <xf numFmtId="0" fontId="3" fillId="13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13" borderId="27" xfId="0" applyFont="1" applyFill="1" applyBorder="1" applyAlignment="1">
      <alignment horizontal="left" wrapText="1"/>
    </xf>
    <xf numFmtId="0" fontId="3" fillId="13" borderId="12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wrapText="1"/>
    </xf>
    <xf numFmtId="0" fontId="26" fillId="13" borderId="4" xfId="0" applyFont="1" applyFill="1" applyBorder="1" applyAlignment="1">
      <alignment horizontal="left" wrapText="1"/>
    </xf>
    <xf numFmtId="0" fontId="0" fillId="17" borderId="0" xfId="0" applyFill="1"/>
    <xf numFmtId="0" fontId="11" fillId="0" borderId="0" xfId="0" applyFont="1"/>
    <xf numFmtId="0" fontId="11" fillId="0" borderId="2" xfId="0" applyFont="1" applyBorder="1"/>
    <xf numFmtId="44" fontId="11" fillId="0" borderId="2" xfId="1" applyFont="1" applyBorder="1"/>
    <xf numFmtId="164" fontId="11" fillId="0" borderId="2" xfId="1" applyNumberFormat="1" applyFont="1" applyBorder="1"/>
    <xf numFmtId="164" fontId="11" fillId="0" borderId="2" xfId="0" applyNumberFormat="1" applyFont="1" applyBorder="1"/>
    <xf numFmtId="0" fontId="11" fillId="17" borderId="0" xfId="0" applyFont="1" applyFill="1"/>
    <xf numFmtId="44" fontId="0" fillId="0" borderId="2" xfId="1" applyFont="1" applyFill="1" applyBorder="1" applyAlignment="1">
      <alignment horizontal="left" vertical="center" indent="2"/>
    </xf>
    <xf numFmtId="0" fontId="19" fillId="0" borderId="0" xfId="0" applyFont="1" applyAlignment="1">
      <alignment horizontal="left" wrapText="1"/>
    </xf>
    <xf numFmtId="0" fontId="27" fillId="4" borderId="3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13" borderId="2" xfId="0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left" wrapText="1"/>
    </xf>
    <xf numFmtId="0" fontId="19" fillId="13" borderId="2" xfId="0" applyFont="1" applyFill="1" applyBorder="1" applyAlignment="1">
      <alignment horizontal="left" wrapText="1"/>
    </xf>
    <xf numFmtId="0" fontId="19" fillId="13" borderId="14" xfId="0" applyFont="1" applyFill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" fillId="8" borderId="42" xfId="0" applyFont="1" applyFill="1" applyBorder="1" applyAlignment="1">
      <alignment horizontal="center" wrapText="1"/>
    </xf>
    <xf numFmtId="0" fontId="1" fillId="8" borderId="43" xfId="0" applyFont="1" applyFill="1" applyBorder="1" applyAlignment="1">
      <alignment horizontal="center" wrapText="1"/>
    </xf>
    <xf numFmtId="44" fontId="1" fillId="8" borderId="44" xfId="1" applyFont="1" applyFill="1" applyBorder="1" applyAlignment="1">
      <alignment horizontal="center" wrapText="1"/>
    </xf>
    <xf numFmtId="44" fontId="1" fillId="8" borderId="44" xfId="1" applyFont="1" applyFill="1" applyBorder="1" applyAlignment="1">
      <alignment horizontal="center"/>
    </xf>
    <xf numFmtId="0" fontId="13" fillId="6" borderId="45" xfId="0" applyFont="1" applyFill="1" applyBorder="1" applyAlignment="1">
      <alignment horizontal="center" wrapText="1"/>
    </xf>
    <xf numFmtId="0" fontId="0" fillId="0" borderId="38" xfId="0" applyBorder="1"/>
    <xf numFmtId="0" fontId="13" fillId="6" borderId="42" xfId="0" applyFont="1" applyFill="1" applyBorder="1" applyAlignment="1">
      <alignment horizontal="center" wrapText="1"/>
    </xf>
    <xf numFmtId="44" fontId="28" fillId="8" borderId="46" xfId="1" applyFont="1" applyFill="1" applyBorder="1" applyAlignment="1">
      <alignment horizontal="center" wrapText="1"/>
    </xf>
    <xf numFmtId="0" fontId="17" fillId="8" borderId="42" xfId="0" applyFont="1" applyFill="1" applyBorder="1" applyAlignment="1">
      <alignment horizontal="center" wrapText="1"/>
    </xf>
    <xf numFmtId="0" fontId="11" fillId="11" borderId="0" xfId="0" applyFont="1" applyFill="1"/>
    <xf numFmtId="2" fontId="29" fillId="0" borderId="1" xfId="0" applyNumberFormat="1" applyFont="1" applyBorder="1"/>
    <xf numFmtId="0" fontId="29" fillId="0" borderId="40" xfId="0" applyFont="1" applyBorder="1"/>
    <xf numFmtId="0" fontId="29" fillId="0" borderId="41" xfId="0" applyFont="1" applyBorder="1" applyAlignment="1">
      <alignment wrapText="1"/>
    </xf>
    <xf numFmtId="44" fontId="30" fillId="0" borderId="4" xfId="1" applyFont="1" applyBorder="1"/>
    <xf numFmtId="44" fontId="29" fillId="0" borderId="4" xfId="0" applyNumberFormat="1" applyFont="1" applyBorder="1"/>
    <xf numFmtId="164" fontId="29" fillId="0" borderId="4" xfId="0" applyNumberFormat="1" applyFont="1" applyBorder="1"/>
    <xf numFmtId="164" fontId="29" fillId="0" borderId="47" xfId="0" applyNumberFormat="1" applyFont="1" applyBorder="1"/>
    <xf numFmtId="2" fontId="29" fillId="7" borderId="40" xfId="0" applyNumberFormat="1" applyFont="1" applyFill="1" applyBorder="1"/>
    <xf numFmtId="0" fontId="29" fillId="0" borderId="30" xfId="0" applyFont="1" applyBorder="1"/>
    <xf numFmtId="0" fontId="29" fillId="0" borderId="0" xfId="0" applyFont="1"/>
    <xf numFmtId="0" fontId="29" fillId="17" borderId="0" xfId="0" applyFont="1" applyFill="1"/>
    <xf numFmtId="0" fontId="29" fillId="11" borderId="0" xfId="0" applyFont="1" applyFill="1"/>
    <xf numFmtId="2" fontId="29" fillId="0" borderId="51" xfId="0" applyNumberFormat="1" applyFont="1" applyBorder="1"/>
    <xf numFmtId="0" fontId="29" fillId="0" borderId="23" xfId="0" applyFont="1" applyBorder="1"/>
    <xf numFmtId="0" fontId="29" fillId="0" borderId="20" xfId="0" applyFont="1" applyBorder="1" applyAlignment="1">
      <alignment wrapText="1"/>
    </xf>
    <xf numFmtId="44" fontId="29" fillId="0" borderId="2" xfId="1" applyFont="1" applyBorder="1"/>
    <xf numFmtId="44" fontId="29" fillId="0" borderId="2" xfId="0" applyNumberFormat="1" applyFont="1" applyBorder="1"/>
    <xf numFmtId="164" fontId="29" fillId="0" borderId="2" xfId="0" applyNumberFormat="1" applyFont="1" applyBorder="1"/>
    <xf numFmtId="164" fontId="29" fillId="0" borderId="5" xfId="0" applyNumberFormat="1" applyFont="1" applyBorder="1"/>
    <xf numFmtId="2" fontId="29" fillId="0" borderId="23" xfId="0" applyNumberFormat="1" applyFont="1" applyBorder="1"/>
    <xf numFmtId="0" fontId="29" fillId="0" borderId="24" xfId="0" applyFont="1" applyBorder="1"/>
    <xf numFmtId="0" fontId="29" fillId="0" borderId="31" xfId="0" applyFont="1" applyBorder="1"/>
    <xf numFmtId="0" fontId="29" fillId="0" borderId="33" xfId="0" applyFont="1" applyBorder="1" applyAlignment="1">
      <alignment wrapText="1"/>
    </xf>
    <xf numFmtId="44" fontId="29" fillId="0" borderId="7" xfId="0" applyNumberFormat="1" applyFont="1" applyBorder="1"/>
    <xf numFmtId="164" fontId="29" fillId="0" borderId="7" xfId="0" applyNumberFormat="1" applyFont="1" applyBorder="1"/>
    <xf numFmtId="164" fontId="29" fillId="0" borderId="48" xfId="0" applyNumberFormat="1" applyFont="1" applyBorder="1"/>
    <xf numFmtId="2" fontId="29" fillId="0" borderId="31" xfId="0" applyNumberFormat="1" applyFont="1" applyBorder="1"/>
    <xf numFmtId="0" fontId="29" fillId="0" borderId="32" xfId="0" applyFont="1" applyBorder="1"/>
    <xf numFmtId="2" fontId="29" fillId="0" borderId="52" xfId="0" applyNumberFormat="1" applyFont="1" applyBorder="1"/>
    <xf numFmtId="0" fontId="29" fillId="0" borderId="11" xfId="0" applyFont="1" applyBorder="1"/>
    <xf numFmtId="0" fontId="29" fillId="0" borderId="34" xfId="0" applyFont="1" applyBorder="1" applyAlignment="1">
      <alignment wrapText="1"/>
    </xf>
    <xf numFmtId="44" fontId="29" fillId="0" borderId="12" xfId="0" applyNumberFormat="1" applyFont="1" applyBorder="1"/>
    <xf numFmtId="164" fontId="29" fillId="0" borderId="12" xfId="0" applyNumberFormat="1" applyFont="1" applyBorder="1"/>
    <xf numFmtId="164" fontId="29" fillId="0" borderId="49" xfId="0" applyNumberFormat="1" applyFont="1" applyBorder="1"/>
    <xf numFmtId="2" fontId="29" fillId="0" borderId="11" xfId="0" applyNumberFormat="1" applyFont="1" applyBorder="1"/>
    <xf numFmtId="0" fontId="29" fillId="0" borderId="25" xfId="0" applyFont="1" applyBorder="1"/>
    <xf numFmtId="0" fontId="12" fillId="0" borderId="2" xfId="0" applyFont="1" applyBorder="1" applyAlignment="1">
      <alignment horizontal="left" wrapText="1"/>
    </xf>
    <xf numFmtId="0" fontId="22" fillId="0" borderId="9" xfId="0" applyFont="1" applyBorder="1" applyAlignment="1">
      <alignment wrapText="1"/>
    </xf>
    <xf numFmtId="0" fontId="0" fillId="18" borderId="0" xfId="0" applyFill="1"/>
    <xf numFmtId="164" fontId="0" fillId="0" borderId="0" xfId="1" applyNumberFormat="1" applyFont="1"/>
    <xf numFmtId="0" fontId="19" fillId="13" borderId="4" xfId="0" applyFont="1" applyFill="1" applyBorder="1" applyAlignment="1">
      <alignment horizontal="left" wrapText="1"/>
    </xf>
    <xf numFmtId="164" fontId="23" fillId="3" borderId="3" xfId="1" applyNumberFormat="1" applyFont="1" applyFill="1" applyBorder="1" applyAlignment="1">
      <alignment horizontal="center" vertical="center"/>
    </xf>
    <xf numFmtId="0" fontId="0" fillId="13" borderId="4" xfId="0" applyFill="1" applyBorder="1" applyAlignment="1">
      <alignment horizontal="left"/>
    </xf>
    <xf numFmtId="44" fontId="0" fillId="13" borderId="4" xfId="1" applyFont="1" applyFill="1" applyBorder="1" applyAlignment="1">
      <alignment horizontal="left" indent="2"/>
    </xf>
    <xf numFmtId="0" fontId="12" fillId="13" borderId="4" xfId="0" applyFont="1" applyFill="1" applyBorder="1"/>
    <xf numFmtId="44" fontId="23" fillId="3" borderId="3" xfId="1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/>
    </xf>
    <xf numFmtId="0" fontId="12" fillId="0" borderId="2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wrapText="1"/>
    </xf>
    <xf numFmtId="0" fontId="12" fillId="0" borderId="7" xfId="0" applyFont="1" applyBorder="1" applyAlignment="1">
      <alignment wrapText="1"/>
    </xf>
    <xf numFmtId="0" fontId="0" fillId="0" borderId="4" xfId="0" applyBorder="1" applyAlignment="1">
      <alignment horizontal="left" vertical="center" wrapText="1"/>
    </xf>
    <xf numFmtId="0" fontId="12" fillId="0" borderId="4" xfId="0" applyFont="1" applyBorder="1" applyAlignment="1">
      <alignment horizontal="left" wrapText="1"/>
    </xf>
    <xf numFmtId="0" fontId="12" fillId="0" borderId="4" xfId="0" applyFont="1" applyBorder="1" applyAlignment="1">
      <alignment wrapText="1"/>
    </xf>
    <xf numFmtId="0" fontId="0" fillId="18" borderId="2" xfId="0" applyFill="1" applyBorder="1"/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left" vertical="center" wrapText="1"/>
    </xf>
    <xf numFmtId="164" fontId="9" fillId="0" borderId="2" xfId="1" applyNumberFormat="1" applyFont="1" applyBorder="1" applyAlignment="1">
      <alignment wrapText="1"/>
    </xf>
    <xf numFmtId="44" fontId="12" fillId="0" borderId="2" xfId="1" applyFont="1" applyBorder="1" applyAlignment="1">
      <alignment wrapText="1"/>
    </xf>
    <xf numFmtId="0" fontId="19" fillId="0" borderId="2" xfId="0" applyFont="1" applyBorder="1" applyAlignment="1">
      <alignment horizontal="center" wrapText="1"/>
    </xf>
    <xf numFmtId="0" fontId="9" fillId="14" borderId="2" xfId="0" applyFont="1" applyFill="1" applyBorder="1" applyAlignment="1">
      <alignment wrapText="1"/>
    </xf>
    <xf numFmtId="0" fontId="19" fillId="14" borderId="2" xfId="0" applyFont="1" applyFill="1" applyBorder="1" applyAlignment="1">
      <alignment horizontal="center" wrapText="1"/>
    </xf>
    <xf numFmtId="44" fontId="12" fillId="14" borderId="2" xfId="1" applyFont="1" applyFill="1" applyBorder="1" applyAlignment="1">
      <alignment wrapText="1"/>
    </xf>
    <xf numFmtId="0" fontId="9" fillId="3" borderId="2" xfId="0" applyFont="1" applyFill="1" applyBorder="1" applyAlignment="1">
      <alignment wrapText="1"/>
    </xf>
    <xf numFmtId="44" fontId="12" fillId="0" borderId="2" xfId="1" applyFont="1" applyFill="1" applyBorder="1" applyAlignment="1">
      <alignment wrapText="1"/>
    </xf>
    <xf numFmtId="0" fontId="20" fillId="0" borderId="2" xfId="0" applyFont="1" applyBorder="1" applyAlignment="1">
      <alignment horizontal="center" wrapText="1"/>
    </xf>
    <xf numFmtId="0" fontId="19" fillId="3" borderId="2" xfId="0" applyFont="1" applyFill="1" applyBorder="1" applyAlignment="1">
      <alignment horizontal="center" wrapText="1"/>
    </xf>
    <xf numFmtId="44" fontId="12" fillId="3" borderId="2" xfId="1" applyFont="1" applyFill="1" applyBorder="1" applyAlignment="1">
      <alignment wrapText="1"/>
    </xf>
    <xf numFmtId="0" fontId="31" fillId="0" borderId="2" xfId="0" applyFont="1" applyBorder="1" applyAlignment="1">
      <alignment wrapText="1"/>
    </xf>
    <xf numFmtId="0" fontId="21" fillId="19" borderId="2" xfId="0" applyFont="1" applyFill="1" applyBorder="1" applyAlignment="1">
      <alignment horizontal="center" wrapText="1"/>
    </xf>
    <xf numFmtId="164" fontId="9" fillId="19" borderId="2" xfId="1" applyNumberFormat="1" applyFont="1" applyFill="1" applyBorder="1" applyAlignment="1">
      <alignment wrapText="1"/>
    </xf>
    <xf numFmtId="0" fontId="21" fillId="19" borderId="2" xfId="0" applyFont="1" applyFill="1" applyBorder="1" applyAlignment="1">
      <alignment wrapText="1"/>
    </xf>
    <xf numFmtId="0" fontId="0" fillId="3" borderId="0" xfId="0" applyFill="1"/>
    <xf numFmtId="0" fontId="22" fillId="3" borderId="9" xfId="0" applyFont="1" applyFill="1" applyBorder="1" applyAlignment="1">
      <alignment wrapText="1"/>
    </xf>
    <xf numFmtId="0" fontId="22" fillId="3" borderId="2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19" fillId="0" borderId="4" xfId="0" applyFont="1" applyBorder="1" applyAlignment="1">
      <alignment wrapText="1"/>
    </xf>
    <xf numFmtId="164" fontId="9" fillId="0" borderId="4" xfId="1" applyNumberFormat="1" applyFont="1" applyBorder="1" applyAlignment="1">
      <alignment wrapText="1"/>
    </xf>
    <xf numFmtId="0" fontId="19" fillId="0" borderId="59" xfId="0" applyFont="1" applyBorder="1" applyAlignment="1">
      <alignment wrapText="1"/>
    </xf>
    <xf numFmtId="0" fontId="9" fillId="0" borderId="59" xfId="0" applyFont="1" applyBorder="1" applyAlignment="1">
      <alignment wrapText="1"/>
    </xf>
    <xf numFmtId="0" fontId="19" fillId="0" borderId="58" xfId="0" applyFont="1" applyBorder="1" applyAlignment="1">
      <alignment wrapText="1"/>
    </xf>
    <xf numFmtId="0" fontId="9" fillId="0" borderId="58" xfId="0" applyFont="1" applyBorder="1" applyAlignment="1">
      <alignment wrapText="1"/>
    </xf>
    <xf numFmtId="0" fontId="9" fillId="0" borderId="41" xfId="0" applyFont="1" applyBorder="1" applyAlignment="1">
      <alignment wrapText="1"/>
    </xf>
    <xf numFmtId="0" fontId="33" fillId="0" borderId="0" xfId="0" applyFont="1" applyAlignment="1">
      <alignment wrapText="1"/>
    </xf>
    <xf numFmtId="164" fontId="9" fillId="0" borderId="33" xfId="0" applyNumberFormat="1" applyFont="1" applyBorder="1" applyAlignment="1">
      <alignment wrapText="1"/>
    </xf>
    <xf numFmtId="164" fontId="9" fillId="0" borderId="4" xfId="0" applyNumberFormat="1" applyFont="1" applyBorder="1" applyAlignment="1">
      <alignment wrapText="1"/>
    </xf>
    <xf numFmtId="44" fontId="34" fillId="0" borderId="2" xfId="1" applyFont="1" applyBorder="1" applyAlignment="1">
      <alignment wrapText="1"/>
    </xf>
    <xf numFmtId="0" fontId="19" fillId="0" borderId="5" xfId="0" applyFont="1" applyBorder="1" applyAlignment="1">
      <alignment horizontal="left" wrapText="1"/>
    </xf>
    <xf numFmtId="0" fontId="19" fillId="13" borderId="5" xfId="0" applyFont="1" applyFill="1" applyBorder="1" applyAlignment="1">
      <alignment horizontal="left" vertical="center" wrapText="1"/>
    </xf>
    <xf numFmtId="0" fontId="19" fillId="13" borderId="49" xfId="0" applyFont="1" applyFill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48" xfId="0" applyFont="1" applyBorder="1" applyAlignment="1">
      <alignment horizontal="left" vertical="center" wrapText="1"/>
    </xf>
    <xf numFmtId="0" fontId="19" fillId="0" borderId="47" xfId="0" applyFont="1" applyBorder="1" applyAlignment="1">
      <alignment horizontal="left" vertical="center" wrapText="1"/>
    </xf>
    <xf numFmtId="0" fontId="0" fillId="13" borderId="4" xfId="0" applyFill="1" applyBorder="1" applyAlignment="1">
      <alignment horizontal="left" vertical="center"/>
    </xf>
    <xf numFmtId="0" fontId="0" fillId="13" borderId="4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44" fontId="0" fillId="0" borderId="4" xfId="1" applyFont="1" applyBorder="1" applyAlignment="1">
      <alignment horizontal="left" indent="2"/>
    </xf>
    <xf numFmtId="0" fontId="0" fillId="0" borderId="4" xfId="0" applyBorder="1" applyAlignment="1">
      <alignment horizontal="left" wrapText="1"/>
    </xf>
    <xf numFmtId="44" fontId="0" fillId="3" borderId="4" xfId="1" applyFont="1" applyFill="1" applyBorder="1" applyAlignment="1">
      <alignment horizontal="left" vertical="center" indent="2"/>
    </xf>
    <xf numFmtId="44" fontId="0" fillId="3" borderId="4" xfId="1" applyFont="1" applyFill="1" applyBorder="1"/>
    <xf numFmtId="44" fontId="0" fillId="0" borderId="4" xfId="1" applyFont="1" applyBorder="1" applyAlignment="1">
      <alignment horizontal="left" vertical="center" indent="2"/>
    </xf>
    <xf numFmtId="44" fontId="0" fillId="0" borderId="4" xfId="1" applyFont="1" applyBorder="1"/>
    <xf numFmtId="44" fontId="2" fillId="0" borderId="27" xfId="1" applyFont="1" applyFill="1" applyBorder="1" applyAlignment="1">
      <alignment horizontal="left" vertical="center" indent="2"/>
    </xf>
    <xf numFmtId="44" fontId="2" fillId="0" borderId="27" xfId="1" applyFont="1" applyFill="1" applyBorder="1"/>
    <xf numFmtId="0" fontId="0" fillId="3" borderId="4" xfId="0" applyFill="1" applyBorder="1" applyAlignment="1">
      <alignment horizontal="left"/>
    </xf>
    <xf numFmtId="44" fontId="0" fillId="0" borderId="2" xfId="1" applyFont="1" applyBorder="1" applyAlignment="1">
      <alignment horizontal="left" indent="2"/>
    </xf>
    <xf numFmtId="44" fontId="0" fillId="13" borderId="2" xfId="1" applyFont="1" applyFill="1" applyBorder="1" applyAlignment="1">
      <alignment horizontal="left" indent="2"/>
    </xf>
    <xf numFmtId="44" fontId="23" fillId="0" borderId="2" xfId="1" applyFont="1" applyFill="1" applyBorder="1" applyAlignment="1">
      <alignment horizontal="left" indent="2"/>
    </xf>
    <xf numFmtId="44" fontId="23" fillId="14" borderId="2" xfId="1" applyFont="1" applyFill="1" applyBorder="1" applyAlignment="1">
      <alignment horizontal="left" vertical="center" indent="2"/>
    </xf>
    <xf numFmtId="13" fontId="12" fillId="0" borderId="0" xfId="1" applyNumberFormat="1" applyFont="1" applyAlignment="1">
      <alignment wrapText="1"/>
    </xf>
    <xf numFmtId="44" fontId="9" fillId="0" borderId="0" xfId="1" applyFont="1" applyAlignment="1">
      <alignment wrapText="1"/>
    </xf>
    <xf numFmtId="0" fontId="0" fillId="3" borderId="2" xfId="0" applyFill="1" applyBorder="1"/>
    <xf numFmtId="44" fontId="15" fillId="0" borderId="2" xfId="1" applyFont="1" applyBorder="1" applyAlignment="1">
      <alignment wrapText="1"/>
    </xf>
    <xf numFmtId="0" fontId="1" fillId="18" borderId="2" xfId="0" applyFont="1" applyFill="1" applyBorder="1" applyAlignment="1">
      <alignment horizontal="center"/>
    </xf>
    <xf numFmtId="164" fontId="2" fillId="0" borderId="2" xfId="1" applyNumberFormat="1" applyFont="1" applyFill="1" applyBorder="1"/>
    <xf numFmtId="0" fontId="19" fillId="3" borderId="2" xfId="0" applyFont="1" applyFill="1" applyBorder="1" applyAlignment="1">
      <alignment wrapText="1"/>
    </xf>
    <xf numFmtId="0" fontId="26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164" fontId="26" fillId="0" borderId="2" xfId="1" applyNumberFormat="1" applyFont="1" applyBorder="1" applyAlignment="1">
      <alignment wrapText="1"/>
    </xf>
    <xf numFmtId="44" fontId="37" fillId="0" borderId="2" xfId="1" applyFont="1" applyBorder="1" applyAlignment="1">
      <alignment wrapText="1"/>
    </xf>
    <xf numFmtId="44" fontId="12" fillId="0" borderId="0" xfId="1" applyFont="1" applyBorder="1" applyAlignment="1">
      <alignment wrapText="1"/>
    </xf>
    <xf numFmtId="44" fontId="15" fillId="0" borderId="0" xfId="1" applyFont="1" applyBorder="1" applyAlignment="1">
      <alignment wrapText="1"/>
    </xf>
    <xf numFmtId="164" fontId="9" fillId="0" borderId="0" xfId="0" applyNumberFormat="1" applyFont="1" applyAlignment="1">
      <alignment wrapText="1"/>
    </xf>
    <xf numFmtId="44" fontId="13" fillId="21" borderId="0" xfId="1" applyFont="1" applyFill="1" applyAlignment="1">
      <alignment horizontal="center" wrapText="1"/>
    </xf>
    <xf numFmtId="0" fontId="0" fillId="20" borderId="4" xfId="0" applyFill="1" applyBorder="1" applyAlignment="1">
      <alignment horizontal="left" wrapText="1"/>
    </xf>
    <xf numFmtId="0" fontId="23" fillId="14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39" fillId="14" borderId="3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wrapText="1"/>
    </xf>
    <xf numFmtId="0" fontId="15" fillId="0" borderId="2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 wrapText="1"/>
    </xf>
    <xf numFmtId="0" fontId="39" fillId="6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wrapText="1"/>
    </xf>
    <xf numFmtId="0" fontId="12" fillId="0" borderId="27" xfId="0" applyFont="1" applyBorder="1" applyAlignment="1">
      <alignment horizontal="center" wrapText="1"/>
    </xf>
    <xf numFmtId="0" fontId="15" fillId="13" borderId="2" xfId="0" applyFont="1" applyFill="1" applyBorder="1" applyAlignment="1">
      <alignment horizontal="center" vertical="center" wrapText="1"/>
    </xf>
    <xf numFmtId="0" fontId="15" fillId="20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left" vertical="center" wrapText="1"/>
    </xf>
    <xf numFmtId="0" fontId="29" fillId="0" borderId="0" xfId="0" applyFont="1" applyAlignment="1">
      <alignment wrapText="1"/>
    </xf>
    <xf numFmtId="44" fontId="22" fillId="0" borderId="0" xfId="1" applyFont="1" applyAlignment="1">
      <alignment horizontal="center" wrapText="1"/>
    </xf>
    <xf numFmtId="44" fontId="22" fillId="0" borderId="4" xfId="1" applyFont="1" applyBorder="1" applyAlignment="1">
      <alignment horizontal="center" vertical="center" wrapText="1"/>
    </xf>
    <xf numFmtId="44" fontId="22" fillId="13" borderId="4" xfId="1" applyFont="1" applyFill="1" applyBorder="1" applyAlignment="1">
      <alignment horizontal="center" vertical="center" wrapText="1"/>
    </xf>
    <xf numFmtId="44" fontId="22" fillId="0" borderId="5" xfId="1" applyFont="1" applyBorder="1" applyAlignment="1">
      <alignment horizontal="center" wrapText="1"/>
    </xf>
    <xf numFmtId="44" fontId="22" fillId="13" borderId="5" xfId="1" applyFont="1" applyFill="1" applyBorder="1" applyAlignment="1">
      <alignment horizontal="center" vertical="center" wrapText="1"/>
    </xf>
    <xf numFmtId="44" fontId="22" fillId="13" borderId="48" xfId="1" applyFont="1" applyFill="1" applyBorder="1" applyAlignment="1">
      <alignment horizontal="center" vertical="center" wrapText="1"/>
    </xf>
    <xf numFmtId="44" fontId="22" fillId="0" borderId="5" xfId="1" applyFont="1" applyBorder="1" applyAlignment="1">
      <alignment horizontal="center" vertical="center" wrapText="1"/>
    </xf>
    <xf numFmtId="44" fontId="22" fillId="13" borderId="2" xfId="1" applyFont="1" applyFill="1" applyBorder="1" applyAlignment="1">
      <alignment horizontal="center" vertical="center" wrapText="1"/>
    </xf>
    <xf numFmtId="44" fontId="22" fillId="0" borderId="2" xfId="1" applyFont="1" applyBorder="1" applyAlignment="1">
      <alignment horizontal="center" vertical="center" wrapText="1"/>
    </xf>
    <xf numFmtId="44" fontId="22" fillId="0" borderId="48" xfId="1" applyFont="1" applyBorder="1" applyAlignment="1">
      <alignment horizontal="center" vertical="center" wrapText="1"/>
    </xf>
    <xf numFmtId="44" fontId="22" fillId="0" borderId="27" xfId="1" applyFont="1" applyBorder="1" applyAlignment="1">
      <alignment horizontal="center" vertical="center" wrapText="1"/>
    </xf>
    <xf numFmtId="44" fontId="22" fillId="0" borderId="47" xfId="1" applyFont="1" applyBorder="1" applyAlignment="1">
      <alignment horizontal="center" vertical="center" wrapText="1"/>
    </xf>
    <xf numFmtId="44" fontId="22" fillId="0" borderId="2" xfId="1" applyFont="1" applyBorder="1" applyAlignment="1">
      <alignment horizontal="center" wrapText="1"/>
    </xf>
    <xf numFmtId="164" fontId="0" fillId="0" borderId="19" xfId="0" applyNumberFormat="1" applyBorder="1"/>
    <xf numFmtId="164" fontId="44" fillId="0" borderId="0" xfId="1" applyNumberFormat="1" applyFont="1" applyFill="1" applyAlignment="1">
      <alignment horizontal="center"/>
    </xf>
    <xf numFmtId="44" fontId="46" fillId="0" borderId="4" xfId="1" applyFont="1" applyFill="1" applyBorder="1" applyAlignment="1">
      <alignment horizontal="left" indent="2"/>
    </xf>
    <xf numFmtId="164" fontId="47" fillId="0" borderId="2" xfId="1" applyNumberFormat="1" applyFont="1" applyFill="1" applyBorder="1" applyAlignment="1">
      <alignment horizontal="left" vertical="center" indent="2"/>
    </xf>
    <xf numFmtId="164" fontId="47" fillId="0" borderId="2" xfId="1" applyNumberFormat="1" applyFont="1" applyFill="1" applyBorder="1" applyAlignment="1">
      <alignment horizontal="left" indent="2"/>
    </xf>
    <xf numFmtId="44" fontId="11" fillId="0" borderId="0" xfId="1" applyFont="1" applyBorder="1"/>
    <xf numFmtId="164" fontId="11" fillId="0" borderId="0" xfId="1" applyNumberFormat="1" applyFont="1" applyBorder="1"/>
    <xf numFmtId="164" fontId="11" fillId="0" borderId="0" xfId="0" applyNumberFormat="1" applyFont="1"/>
    <xf numFmtId="0" fontId="12" fillId="0" borderId="0" xfId="0" applyFont="1" applyAlignment="1">
      <alignment wrapText="1"/>
    </xf>
    <xf numFmtId="0" fontId="12" fillId="3" borderId="2" xfId="0" applyFont="1" applyFill="1" applyBorder="1" applyAlignment="1">
      <alignment wrapText="1"/>
    </xf>
    <xf numFmtId="44" fontId="46" fillId="0" borderId="2" xfId="1" applyFont="1" applyFill="1" applyBorder="1" applyAlignment="1">
      <alignment horizontal="left" indent="2"/>
    </xf>
    <xf numFmtId="0" fontId="12" fillId="0" borderId="0" xfId="0" applyFont="1" applyAlignment="1">
      <alignment horizontal="left" wrapText="1"/>
    </xf>
    <xf numFmtId="0" fontId="12" fillId="13" borderId="4" xfId="0" applyFont="1" applyFill="1" applyBorder="1" applyAlignment="1">
      <alignment horizontal="left" wrapText="1"/>
    </xf>
    <xf numFmtId="0" fontId="12" fillId="13" borderId="2" xfId="0" applyFont="1" applyFill="1" applyBorder="1" applyAlignment="1">
      <alignment horizontal="left" wrapText="1"/>
    </xf>
    <xf numFmtId="0" fontId="12" fillId="13" borderId="2" xfId="0" applyFont="1" applyFill="1" applyBorder="1" applyAlignment="1">
      <alignment horizontal="left" vertical="center" wrapText="1"/>
    </xf>
    <xf numFmtId="0" fontId="15" fillId="13" borderId="2" xfId="0" applyFont="1" applyFill="1" applyBorder="1" applyAlignment="1">
      <alignment horizontal="left" vertical="center" wrapText="1"/>
    </xf>
    <xf numFmtId="0" fontId="39" fillId="6" borderId="2" xfId="0" applyFont="1" applyFill="1" applyBorder="1" applyAlignment="1">
      <alignment horizontal="left" vertical="center" wrapText="1"/>
    </xf>
    <xf numFmtId="0" fontId="12" fillId="13" borderId="12" xfId="0" applyFont="1" applyFill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wrapText="1"/>
    </xf>
    <xf numFmtId="0" fontId="12" fillId="0" borderId="4" xfId="0" applyFont="1" applyBorder="1" applyAlignment="1">
      <alignment horizontal="left" vertical="center" wrapText="1"/>
    </xf>
    <xf numFmtId="0" fontId="14" fillId="0" borderId="0" xfId="0" applyFont="1" applyAlignment="1">
      <alignment horizontal="left" wrapText="1"/>
    </xf>
    <xf numFmtId="44" fontId="42" fillId="0" borderId="0" xfId="1" applyFont="1" applyAlignment="1">
      <alignment horizontal="center" wrapText="1"/>
    </xf>
    <xf numFmtId="0" fontId="0" fillId="0" borderId="0" xfId="0" applyAlignment="1">
      <alignment vertical="center"/>
    </xf>
    <xf numFmtId="0" fontId="0" fillId="3" borderId="2" xfId="0" applyFill="1" applyBorder="1" applyAlignment="1">
      <alignment horizontal="left" wrapText="1"/>
    </xf>
    <xf numFmtId="0" fontId="0" fillId="20" borderId="2" xfId="0" applyFill="1" applyBorder="1" applyAlignment="1">
      <alignment horizontal="left" wrapText="1"/>
    </xf>
    <xf numFmtId="164" fontId="45" fillId="6" borderId="3" xfId="1" applyNumberFormat="1" applyFont="1" applyFill="1" applyBorder="1" applyAlignment="1">
      <alignment horizontal="center" vertical="center" wrapText="1"/>
    </xf>
    <xf numFmtId="44" fontId="47" fillId="0" borderId="13" xfId="1" applyFont="1" applyFill="1" applyBorder="1" applyAlignment="1">
      <alignment horizontal="left" indent="2"/>
    </xf>
    <xf numFmtId="9" fontId="23" fillId="0" borderId="2" xfId="3" applyFont="1" applyFill="1" applyBorder="1" applyAlignment="1">
      <alignment horizontal="center" vertical="center"/>
    </xf>
    <xf numFmtId="9" fontId="23" fillId="0" borderId="2" xfId="3" applyFont="1" applyFill="1" applyBorder="1" applyAlignment="1">
      <alignment horizontal="center"/>
    </xf>
    <xf numFmtId="171" fontId="44" fillId="0" borderId="0" xfId="1" applyNumberFormat="1" applyFont="1" applyFill="1"/>
    <xf numFmtId="171" fontId="44" fillId="0" borderId="0" xfId="1" applyNumberFormat="1" applyFont="1" applyFill="1" applyAlignment="1">
      <alignment horizontal="center"/>
    </xf>
    <xf numFmtId="171" fontId="45" fillId="6" borderId="3" xfId="1" applyNumberFormat="1" applyFont="1" applyFill="1" applyBorder="1" applyAlignment="1">
      <alignment horizontal="center" vertical="center" wrapText="1"/>
    </xf>
    <xf numFmtId="171" fontId="46" fillId="0" borderId="4" xfId="1" applyNumberFormat="1" applyFont="1" applyFill="1" applyBorder="1" applyAlignment="1">
      <alignment horizontal="left" indent="2"/>
    </xf>
    <xf numFmtId="171" fontId="46" fillId="0" borderId="13" xfId="1" applyNumberFormat="1" applyFont="1" applyFill="1" applyBorder="1" applyAlignment="1">
      <alignment horizontal="left" indent="2"/>
    </xf>
    <xf numFmtId="171" fontId="44" fillId="0" borderId="2" xfId="1" applyNumberFormat="1" applyFont="1" applyFill="1" applyBorder="1" applyAlignment="1">
      <alignment horizontal="left" indent="2"/>
    </xf>
    <xf numFmtId="171" fontId="44" fillId="0" borderId="13" xfId="1" applyNumberFormat="1" applyFont="1" applyFill="1" applyBorder="1" applyAlignment="1">
      <alignment horizontal="left" indent="2"/>
    </xf>
    <xf numFmtId="171" fontId="44" fillId="0" borderId="2" xfId="1" applyNumberFormat="1" applyFont="1" applyFill="1" applyBorder="1" applyAlignment="1">
      <alignment horizontal="left" vertical="center" indent="2"/>
    </xf>
    <xf numFmtId="171" fontId="44" fillId="0" borderId="4" xfId="1" applyNumberFormat="1" applyFont="1" applyFill="1" applyBorder="1" applyAlignment="1">
      <alignment horizontal="left" vertical="center" indent="2"/>
    </xf>
    <xf numFmtId="171" fontId="47" fillId="0" borderId="2" xfId="1" applyNumberFormat="1" applyFont="1" applyFill="1" applyBorder="1" applyAlignment="1">
      <alignment horizontal="left" vertical="center" indent="2"/>
    </xf>
    <xf numFmtId="171" fontId="44" fillId="0" borderId="27" xfId="1" applyNumberFormat="1" applyFont="1" applyFill="1" applyBorder="1" applyAlignment="1">
      <alignment horizontal="left" vertical="center" indent="2"/>
    </xf>
    <xf numFmtId="171" fontId="47" fillId="0" borderId="2" xfId="1" applyNumberFormat="1" applyFont="1" applyFill="1" applyBorder="1" applyAlignment="1">
      <alignment horizontal="left" indent="2"/>
    </xf>
    <xf numFmtId="171" fontId="44" fillId="0" borderId="2" xfId="1" applyNumberFormat="1" applyFont="1" applyFill="1" applyBorder="1" applyAlignment="1">
      <alignment horizontal="left" vertical="center" wrapText="1"/>
    </xf>
    <xf numFmtId="0" fontId="9" fillId="0" borderId="0" xfId="0" applyFont="1"/>
    <xf numFmtId="9" fontId="23" fillId="0" borderId="0" xfId="0" applyNumberFormat="1" applyFont="1"/>
    <xf numFmtId="164" fontId="42" fillId="0" borderId="0" xfId="1" applyNumberFormat="1" applyFont="1" applyAlignment="1">
      <alignment horizontal="center" wrapText="1"/>
    </xf>
    <xf numFmtId="164" fontId="22" fillId="0" borderId="0" xfId="1" applyNumberFormat="1" applyFont="1" applyAlignment="1">
      <alignment horizontal="center" wrapText="1"/>
    </xf>
    <xf numFmtId="164" fontId="43" fillId="8" borderId="3" xfId="1" applyNumberFormat="1" applyFont="1" applyFill="1" applyBorder="1" applyAlignment="1">
      <alignment horizontal="center" vertical="center" wrapText="1"/>
    </xf>
    <xf numFmtId="164" fontId="22" fillId="13" borderId="4" xfId="1" applyNumberFormat="1" applyFont="1" applyFill="1" applyBorder="1" applyAlignment="1">
      <alignment horizontal="center" wrapText="1"/>
    </xf>
    <xf numFmtId="164" fontId="22" fillId="0" borderId="4" xfId="1" applyNumberFormat="1" applyFont="1" applyBorder="1" applyAlignment="1">
      <alignment horizontal="center" vertical="center" wrapText="1"/>
    </xf>
    <xf numFmtId="164" fontId="22" fillId="13" borderId="4" xfId="1" applyNumberFormat="1" applyFont="1" applyFill="1" applyBorder="1" applyAlignment="1">
      <alignment horizontal="center" vertical="center" wrapText="1"/>
    </xf>
    <xf numFmtId="164" fontId="22" fillId="0" borderId="4" xfId="1" applyNumberFormat="1" applyFont="1" applyBorder="1" applyAlignment="1">
      <alignment horizontal="center" wrapText="1"/>
    </xf>
    <xf numFmtId="164" fontId="22" fillId="0" borderId="5" xfId="1" applyNumberFormat="1" applyFont="1" applyBorder="1" applyAlignment="1">
      <alignment horizontal="center" wrapText="1"/>
    </xf>
    <xf numFmtId="164" fontId="22" fillId="13" borderId="5" xfId="1" applyNumberFormat="1" applyFont="1" applyFill="1" applyBorder="1" applyAlignment="1">
      <alignment horizontal="center" vertical="center" wrapText="1"/>
    </xf>
    <xf numFmtId="164" fontId="22" fillId="13" borderId="60" xfId="1" applyNumberFormat="1" applyFont="1" applyFill="1" applyBorder="1" applyAlignment="1">
      <alignment horizontal="center" vertical="center" wrapText="1"/>
    </xf>
    <xf numFmtId="164" fontId="22" fillId="0" borderId="9" xfId="1" applyNumberFormat="1" applyFont="1" applyBorder="1" applyAlignment="1">
      <alignment horizontal="center" vertical="center" wrapText="1"/>
    </xf>
    <xf numFmtId="164" fontId="22" fillId="13" borderId="48" xfId="1" applyNumberFormat="1" applyFont="1" applyFill="1" applyBorder="1" applyAlignment="1">
      <alignment horizontal="center" vertical="center" wrapText="1"/>
    </xf>
    <xf numFmtId="164" fontId="22" fillId="0" borderId="4" xfId="1" applyNumberFormat="1" applyFont="1" applyFill="1" applyBorder="1" applyAlignment="1">
      <alignment horizontal="center" vertical="center" wrapText="1"/>
    </xf>
    <xf numFmtId="164" fontId="22" fillId="0" borderId="5" xfId="1" applyNumberFormat="1" applyFont="1" applyBorder="1" applyAlignment="1">
      <alignment horizontal="center" vertical="center" wrapText="1"/>
    </xf>
    <xf numFmtId="164" fontId="22" fillId="13" borderId="2" xfId="1" applyNumberFormat="1" applyFont="1" applyFill="1" applyBorder="1" applyAlignment="1">
      <alignment horizontal="center" vertical="center" wrapText="1"/>
    </xf>
    <xf numFmtId="164" fontId="22" fillId="0" borderId="2" xfId="1" applyNumberFormat="1" applyFont="1" applyBorder="1" applyAlignment="1">
      <alignment horizontal="center" vertical="center" wrapText="1"/>
    </xf>
    <xf numFmtId="164" fontId="22" fillId="0" borderId="48" xfId="1" applyNumberFormat="1" applyFont="1" applyBorder="1" applyAlignment="1">
      <alignment horizontal="center" vertical="center" wrapText="1"/>
    </xf>
    <xf numFmtId="164" fontId="22" fillId="0" borderId="27" xfId="1" applyNumberFormat="1" applyFont="1" applyBorder="1" applyAlignment="1">
      <alignment horizontal="center" vertical="center" wrapText="1"/>
    </xf>
    <xf numFmtId="164" fontId="22" fillId="0" borderId="47" xfId="1" applyNumberFormat="1" applyFont="1" applyBorder="1" applyAlignment="1">
      <alignment horizontal="center" vertical="center" wrapText="1"/>
    </xf>
    <xf numFmtId="164" fontId="22" fillId="0" borderId="2" xfId="1" applyNumberFormat="1" applyFont="1" applyBorder="1" applyAlignment="1">
      <alignment horizontal="center" wrapText="1"/>
    </xf>
    <xf numFmtId="0" fontId="12" fillId="20" borderId="4" xfId="0" applyFont="1" applyFill="1" applyBorder="1" applyAlignment="1">
      <alignment horizontal="left" wrapText="1"/>
    </xf>
    <xf numFmtId="0" fontId="15" fillId="13" borderId="4" xfId="0" applyFont="1" applyFill="1" applyBorder="1" applyAlignment="1">
      <alignment horizontal="left" wrapText="1"/>
    </xf>
    <xf numFmtId="0" fontId="12" fillId="3" borderId="2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wrapText="1"/>
    </xf>
    <xf numFmtId="167" fontId="0" fillId="0" borderId="0" xfId="0" applyNumberFormat="1"/>
    <xf numFmtId="2" fontId="23" fillId="7" borderId="0" xfId="0" applyNumberFormat="1" applyFont="1" applyFill="1"/>
    <xf numFmtId="44" fontId="47" fillId="0" borderId="4" xfId="1" applyFont="1" applyFill="1" applyBorder="1" applyAlignment="1">
      <alignment horizontal="left" indent="2"/>
    </xf>
    <xf numFmtId="44" fontId="43" fillId="25" borderId="3" xfId="1" applyFont="1" applyFill="1" applyBorder="1" applyAlignment="1">
      <alignment horizontal="center" vertical="center" wrapText="1"/>
    </xf>
    <xf numFmtId="44" fontId="47" fillId="0" borderId="9" xfId="1" applyFont="1" applyFill="1" applyBorder="1" applyAlignment="1">
      <alignment horizontal="left" indent="2"/>
    </xf>
    <xf numFmtId="44" fontId="47" fillId="0" borderId="2" xfId="1" applyFont="1" applyFill="1" applyBorder="1" applyAlignment="1">
      <alignment horizontal="left" vertical="center" indent="2"/>
    </xf>
    <xf numFmtId="44" fontId="47" fillId="0" borderId="4" xfId="1" applyFont="1" applyFill="1" applyBorder="1" applyAlignment="1">
      <alignment horizontal="left" vertical="center" indent="2"/>
    </xf>
    <xf numFmtId="44" fontId="47" fillId="0" borderId="27" xfId="1" applyFont="1" applyFill="1" applyBorder="1" applyAlignment="1">
      <alignment horizontal="left" vertical="center" indent="2"/>
    </xf>
    <xf numFmtId="44" fontId="47" fillId="0" borderId="2" xfId="1" applyFont="1" applyFill="1" applyBorder="1" applyAlignment="1">
      <alignment horizontal="left" indent="2"/>
    </xf>
    <xf numFmtId="44" fontId="47" fillId="0" borderId="0" xfId="1" applyFont="1" applyFill="1"/>
    <xf numFmtId="44" fontId="47" fillId="0" borderId="0" xfId="1" applyFont="1" applyFill="1" applyAlignment="1">
      <alignment horizontal="center"/>
    </xf>
    <xf numFmtId="44" fontId="47" fillId="6" borderId="3" xfId="1" applyFont="1" applyFill="1" applyBorder="1" applyAlignment="1">
      <alignment horizontal="center" vertical="center" wrapText="1"/>
    </xf>
    <xf numFmtId="44" fontId="47" fillId="0" borderId="2" xfId="1" applyFont="1" applyFill="1" applyBorder="1" applyAlignment="1">
      <alignment horizontal="left" vertical="center" wrapText="1"/>
    </xf>
    <xf numFmtId="9" fontId="47" fillId="0" borderId="4" xfId="3" applyFont="1" applyFill="1" applyBorder="1" applyAlignment="1">
      <alignment horizontal="center"/>
    </xf>
    <xf numFmtId="44" fontId="42" fillId="3" borderId="0" xfId="1" applyFont="1" applyFill="1" applyBorder="1" applyAlignment="1">
      <alignment horizontal="center" vertical="center" wrapText="1"/>
    </xf>
    <xf numFmtId="44" fontId="42" fillId="14" borderId="0" xfId="1" applyFont="1" applyFill="1" applyBorder="1" applyAlignment="1">
      <alignment horizontal="center" vertical="center" wrapText="1"/>
    </xf>
    <xf numFmtId="44" fontId="41" fillId="0" borderId="0" xfId="1" applyFont="1" applyFill="1" applyBorder="1" applyAlignment="1">
      <alignment horizontal="center" vertical="center" wrapText="1"/>
    </xf>
    <xf numFmtId="44" fontId="42" fillId="20" borderId="13" xfId="1" applyFont="1" applyFill="1" applyBorder="1" applyAlignment="1">
      <alignment horizontal="center" vertical="center" wrapText="1"/>
    </xf>
    <xf numFmtId="44" fontId="42" fillId="20" borderId="4" xfId="1" applyFont="1" applyFill="1" applyBorder="1" applyAlignment="1">
      <alignment horizontal="center" vertical="center" wrapText="1"/>
    </xf>
    <xf numFmtId="44" fontId="23" fillId="0" borderId="13" xfId="1" applyFont="1" applyBorder="1" applyAlignment="1">
      <alignment horizontal="left" indent="2"/>
    </xf>
    <xf numFmtId="171" fontId="46" fillId="0" borderId="27" xfId="1" applyNumberFormat="1" applyFont="1" applyFill="1" applyBorder="1" applyAlignment="1">
      <alignment horizontal="left" indent="2"/>
    </xf>
    <xf numFmtId="164" fontId="44" fillId="26" borderId="0" xfId="1" applyNumberFormat="1" applyFont="1" applyFill="1" applyAlignment="1">
      <alignment horizontal="center"/>
    </xf>
    <xf numFmtId="44" fontId="47" fillId="26" borderId="0" xfId="1" applyFont="1" applyFill="1" applyAlignment="1">
      <alignment horizontal="center"/>
    </xf>
    <xf numFmtId="171" fontId="44" fillId="26" borderId="0" xfId="1" applyNumberFormat="1" applyFont="1" applyFill="1" applyAlignment="1">
      <alignment horizontal="center"/>
    </xf>
    <xf numFmtId="164" fontId="45" fillId="26" borderId="3" xfId="1" applyNumberFormat="1" applyFont="1" applyFill="1" applyBorder="1" applyAlignment="1">
      <alignment horizontal="center" vertical="center" wrapText="1"/>
    </xf>
    <xf numFmtId="44" fontId="47" fillId="26" borderId="3" xfId="1" applyFont="1" applyFill="1" applyBorder="1" applyAlignment="1">
      <alignment horizontal="center" vertical="center" wrapText="1"/>
    </xf>
    <xf numFmtId="171" fontId="45" fillId="26" borderId="3" xfId="1" applyNumberFormat="1" applyFont="1" applyFill="1" applyBorder="1" applyAlignment="1">
      <alignment horizontal="center" vertical="center" wrapText="1"/>
    </xf>
    <xf numFmtId="164" fontId="44" fillId="27" borderId="0" xfId="1" applyNumberFormat="1" applyFont="1" applyFill="1" applyAlignment="1">
      <alignment horizontal="center"/>
    </xf>
    <xf numFmtId="44" fontId="47" fillId="27" borderId="0" xfId="1" applyFont="1" applyFill="1" applyAlignment="1">
      <alignment horizontal="center"/>
    </xf>
    <xf numFmtId="171" fontId="44" fillId="27" borderId="0" xfId="1" applyNumberFormat="1" applyFont="1" applyFill="1" applyAlignment="1">
      <alignment horizontal="center"/>
    </xf>
    <xf numFmtId="164" fontId="45" fillId="27" borderId="3" xfId="1" applyNumberFormat="1" applyFont="1" applyFill="1" applyBorder="1" applyAlignment="1">
      <alignment horizontal="center" vertical="center" wrapText="1"/>
    </xf>
    <xf numFmtId="44" fontId="47" fillId="27" borderId="3" xfId="1" applyFont="1" applyFill="1" applyBorder="1" applyAlignment="1">
      <alignment horizontal="center" vertical="center" wrapText="1"/>
    </xf>
    <xf numFmtId="171" fontId="45" fillId="27" borderId="3" xfId="1" applyNumberFormat="1" applyFont="1" applyFill="1" applyBorder="1" applyAlignment="1">
      <alignment horizontal="center" vertical="center" wrapText="1"/>
    </xf>
    <xf numFmtId="44" fontId="47" fillId="0" borderId="27" xfId="1" applyFont="1" applyFill="1" applyBorder="1" applyAlignment="1">
      <alignment horizontal="left" indent="2"/>
    </xf>
    <xf numFmtId="0" fontId="0" fillId="20" borderId="2" xfId="0" applyFill="1" applyBorder="1" applyAlignment="1">
      <alignment horizontal="left"/>
    </xf>
    <xf numFmtId="0" fontId="12" fillId="3" borderId="4" xfId="0" applyFont="1" applyFill="1" applyBorder="1" applyAlignment="1">
      <alignment horizontal="center" wrapText="1"/>
    </xf>
    <xf numFmtId="0" fontId="12" fillId="20" borderId="4" xfId="0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left" wrapText="1"/>
    </xf>
    <xf numFmtId="0" fontId="19" fillId="20" borderId="2" xfId="0" applyFont="1" applyFill="1" applyBorder="1" applyAlignment="1">
      <alignment horizontal="left" vertical="center" wrapText="1"/>
    </xf>
    <xf numFmtId="164" fontId="22" fillId="20" borderId="4" xfId="1" applyNumberFormat="1" applyFont="1" applyFill="1" applyBorder="1" applyAlignment="1">
      <alignment horizontal="center" vertical="center" wrapText="1"/>
    </xf>
    <xf numFmtId="44" fontId="47" fillId="3" borderId="13" xfId="1" applyFont="1" applyFill="1" applyBorder="1" applyAlignment="1">
      <alignment horizontal="left" indent="2"/>
    </xf>
    <xf numFmtId="44" fontId="47" fillId="3" borderId="4" xfId="1" applyFont="1" applyFill="1" applyBorder="1" applyAlignment="1">
      <alignment horizontal="left" indent="2"/>
    </xf>
    <xf numFmtId="171" fontId="46" fillId="3" borderId="4" xfId="1" applyNumberFormat="1" applyFont="1" applyFill="1" applyBorder="1" applyAlignment="1">
      <alignment horizontal="left" indent="2"/>
    </xf>
    <xf numFmtId="44" fontId="0" fillId="20" borderId="13" xfId="1" applyFont="1" applyFill="1" applyBorder="1" applyAlignment="1">
      <alignment horizontal="left" indent="2"/>
    </xf>
    <xf numFmtId="0" fontId="12" fillId="20" borderId="2" xfId="0" applyFont="1" applyFill="1" applyBorder="1"/>
    <xf numFmtId="0" fontId="0" fillId="3" borderId="2" xfId="0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 wrapText="1"/>
    </xf>
    <xf numFmtId="164" fontId="22" fillId="3" borderId="4" xfId="1" applyNumberFormat="1" applyFont="1" applyFill="1" applyBorder="1" applyAlignment="1">
      <alignment horizontal="center" vertical="center" wrapText="1"/>
    </xf>
    <xf numFmtId="44" fontId="0" fillId="3" borderId="13" xfId="1" applyFont="1" applyFill="1" applyBorder="1" applyAlignment="1">
      <alignment horizontal="left" indent="2"/>
    </xf>
    <xf numFmtId="0" fontId="0" fillId="20" borderId="2" xfId="0" applyFill="1" applyBorder="1" applyAlignment="1">
      <alignment horizontal="left" vertical="center"/>
    </xf>
    <xf numFmtId="0" fontId="0" fillId="20" borderId="2" xfId="0" applyFill="1" applyBorder="1" applyAlignment="1">
      <alignment horizontal="left" vertical="center" wrapText="1"/>
    </xf>
    <xf numFmtId="44" fontId="41" fillId="0" borderId="13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wrapText="1"/>
    </xf>
    <xf numFmtId="44" fontId="0" fillId="0" borderId="13" xfId="1" applyFont="1" applyFill="1" applyBorder="1" applyAlignment="1">
      <alignment horizontal="left" indent="2"/>
    </xf>
    <xf numFmtId="164" fontId="6" fillId="0" borderId="3" xfId="1" applyNumberFormat="1" applyFont="1" applyFill="1" applyBorder="1" applyAlignment="1">
      <alignment horizontal="left" vertical="center"/>
    </xf>
    <xf numFmtId="44" fontId="15" fillId="3" borderId="0" xfId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wrapText="1"/>
    </xf>
    <xf numFmtId="0" fontId="12" fillId="3" borderId="13" xfId="0" applyFont="1" applyFill="1" applyBorder="1" applyAlignment="1">
      <alignment horizontal="center" wrapText="1"/>
    </xf>
    <xf numFmtId="0" fontId="15" fillId="20" borderId="13" xfId="0" applyFont="1" applyFill="1" applyBorder="1" applyAlignment="1">
      <alignment horizontal="left" wrapText="1"/>
    </xf>
    <xf numFmtId="0" fontId="3" fillId="20" borderId="13" xfId="0" applyFont="1" applyFill="1" applyBorder="1" applyAlignment="1">
      <alignment horizontal="left" wrapText="1"/>
    </xf>
    <xf numFmtId="0" fontId="19" fillId="3" borderId="13" xfId="0" applyFont="1" applyFill="1" applyBorder="1" applyAlignment="1">
      <alignment horizontal="left" wrapText="1"/>
    </xf>
    <xf numFmtId="164" fontId="22" fillId="3" borderId="4" xfId="1" applyNumberFormat="1" applyFont="1" applyFill="1" applyBorder="1" applyAlignment="1">
      <alignment horizontal="center" wrapText="1"/>
    </xf>
    <xf numFmtId="44" fontId="0" fillId="3" borderId="4" xfId="1" applyFont="1" applyFill="1" applyBorder="1" applyAlignment="1">
      <alignment horizontal="left" indent="2"/>
    </xf>
    <xf numFmtId="0" fontId="12" fillId="3" borderId="13" xfId="0" applyFont="1" applyFill="1" applyBorder="1"/>
    <xf numFmtId="44" fontId="41" fillId="0" borderId="4" xfId="1" applyFont="1" applyFill="1" applyBorder="1" applyAlignment="1">
      <alignment horizontal="center" vertical="center" wrapText="1"/>
    </xf>
    <xf numFmtId="164" fontId="41" fillId="0" borderId="4" xfId="1" applyNumberFormat="1" applyFont="1" applyFill="1" applyBorder="1" applyAlignment="1">
      <alignment horizontal="center" wrapText="1"/>
    </xf>
    <xf numFmtId="9" fontId="41" fillId="0" borderId="13" xfId="3" applyFont="1" applyFill="1" applyBorder="1" applyAlignment="1">
      <alignment horizontal="center"/>
    </xf>
    <xf numFmtId="0" fontId="19" fillId="20" borderId="2" xfId="0" applyFont="1" applyFill="1" applyBorder="1" applyAlignment="1">
      <alignment horizontal="left" wrapText="1"/>
    </xf>
    <xf numFmtId="164" fontId="22" fillId="20" borderId="4" xfId="1" applyNumberFormat="1" applyFont="1" applyFill="1" applyBorder="1" applyAlignment="1">
      <alignment horizontal="center" wrapText="1"/>
    </xf>
    <xf numFmtId="0" fontId="12" fillId="3" borderId="4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19" fillId="3" borderId="2" xfId="0" applyFont="1" applyFill="1" applyBorder="1" applyAlignment="1">
      <alignment horizontal="left" wrapText="1"/>
    </xf>
    <xf numFmtId="44" fontId="0" fillId="3" borderId="2" xfId="1" applyFont="1" applyFill="1" applyBorder="1" applyAlignment="1">
      <alignment horizontal="left" vertical="center" indent="2"/>
    </xf>
    <xf numFmtId="0" fontId="0" fillId="3" borderId="4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47" fillId="0" borderId="0" xfId="1" applyNumberFormat="1" applyFont="1" applyFill="1"/>
    <xf numFmtId="164" fontId="47" fillId="0" borderId="0" xfId="1" applyNumberFormat="1" applyFont="1" applyFill="1" applyAlignment="1">
      <alignment horizontal="center"/>
    </xf>
    <xf numFmtId="164" fontId="47" fillId="6" borderId="3" xfId="1" applyNumberFormat="1" applyFont="1" applyFill="1" applyBorder="1" applyAlignment="1">
      <alignment horizontal="center" vertical="center" wrapText="1"/>
    </xf>
    <xf numFmtId="164" fontId="47" fillId="0" borderId="2" xfId="1" applyNumberFormat="1" applyFont="1" applyFill="1" applyBorder="1" applyAlignment="1">
      <alignment horizontal="left" vertical="center" wrapText="1"/>
    </xf>
    <xf numFmtId="164" fontId="22" fillId="3" borderId="2" xfId="1" applyNumberFormat="1" applyFont="1" applyFill="1" applyBorder="1" applyAlignment="1">
      <alignment horizontal="center" vertical="center" wrapText="1"/>
    </xf>
    <xf numFmtId="44" fontId="47" fillId="3" borderId="2" xfId="1" applyFont="1" applyFill="1" applyBorder="1" applyAlignment="1">
      <alignment horizontal="left" indent="2"/>
    </xf>
    <xf numFmtId="44" fontId="0" fillId="3" borderId="2" xfId="1" applyFont="1" applyFill="1" applyBorder="1" applyAlignment="1">
      <alignment horizontal="left" indent="2"/>
    </xf>
    <xf numFmtId="44" fontId="41" fillId="0" borderId="2" xfId="1" applyFont="1" applyFill="1" applyBorder="1" applyAlignment="1">
      <alignment horizontal="center" wrapText="1"/>
    </xf>
    <xf numFmtId="164" fontId="22" fillId="0" borderId="2" xfId="1" applyNumberFormat="1" applyFont="1" applyFill="1" applyBorder="1" applyAlignment="1">
      <alignment horizontal="center" wrapText="1"/>
    </xf>
    <xf numFmtId="9" fontId="46" fillId="0" borderId="4" xfId="3" applyFont="1" applyFill="1" applyBorder="1" applyAlignment="1">
      <alignment horizontal="center"/>
    </xf>
    <xf numFmtId="164" fontId="44" fillId="0" borderId="0" xfId="1" applyNumberFormat="1" applyFont="1" applyFill="1" applyBorder="1" applyAlignment="1">
      <alignment horizontal="center"/>
    </xf>
    <xf numFmtId="171" fontId="45" fillId="0" borderId="3" xfId="1" applyNumberFormat="1" applyFont="1" applyFill="1" applyBorder="1" applyAlignment="1">
      <alignment horizontal="center" vertical="center" wrapText="1"/>
    </xf>
    <xf numFmtId="171" fontId="49" fillId="0" borderId="13" xfId="1" applyNumberFormat="1" applyFont="1" applyFill="1" applyBorder="1" applyAlignment="1">
      <alignment wrapText="1"/>
    </xf>
    <xf numFmtId="9" fontId="23" fillId="0" borderId="0" xfId="3" applyFont="1" applyFill="1" applyAlignment="1">
      <alignment horizontal="center"/>
    </xf>
    <xf numFmtId="9" fontId="23" fillId="0" borderId="4" xfId="3" applyFont="1" applyFill="1" applyBorder="1" applyAlignment="1">
      <alignment horizontal="center"/>
    </xf>
    <xf numFmtId="9" fontId="23" fillId="0" borderId="13" xfId="3" applyFont="1" applyFill="1" applyBorder="1" applyAlignment="1">
      <alignment horizontal="center"/>
    </xf>
    <xf numFmtId="9" fontId="23" fillId="3" borderId="13" xfId="3" applyFont="1" applyFill="1" applyBorder="1" applyAlignment="1">
      <alignment horizontal="center"/>
    </xf>
    <xf numFmtId="9" fontId="23" fillId="0" borderId="15" xfId="3" applyFont="1" applyFill="1" applyBorder="1" applyAlignment="1">
      <alignment horizontal="center"/>
    </xf>
    <xf numFmtId="9" fontId="23" fillId="0" borderId="9" xfId="3" applyFont="1" applyFill="1" applyBorder="1" applyAlignment="1">
      <alignment horizontal="center"/>
    </xf>
    <xf numFmtId="9" fontId="23" fillId="3" borderId="4" xfId="3" applyFont="1" applyFill="1" applyBorder="1" applyAlignment="1">
      <alignment horizontal="center"/>
    </xf>
    <xf numFmtId="9" fontId="23" fillId="0" borderId="4" xfId="3" applyFont="1" applyFill="1" applyBorder="1" applyAlignment="1">
      <alignment horizontal="center" vertical="center"/>
    </xf>
    <xf numFmtId="9" fontId="23" fillId="0" borderId="27" xfId="3" applyFont="1" applyFill="1" applyBorder="1" applyAlignment="1">
      <alignment horizontal="center" vertical="center"/>
    </xf>
    <xf numFmtId="9" fontId="23" fillId="3" borderId="2" xfId="3" applyFont="1" applyFill="1" applyBorder="1" applyAlignment="1">
      <alignment horizontal="center"/>
    </xf>
    <xf numFmtId="9" fontId="23" fillId="0" borderId="2" xfId="3" applyFont="1" applyFill="1" applyBorder="1" applyAlignment="1">
      <alignment horizontal="center" vertical="center" wrapText="1"/>
    </xf>
    <xf numFmtId="9" fontId="23" fillId="0" borderId="2" xfId="3" applyFont="1" applyFill="1" applyBorder="1" applyAlignment="1">
      <alignment horizontal="right" vertical="center" wrapText="1"/>
    </xf>
    <xf numFmtId="9" fontId="23" fillId="0" borderId="2" xfId="3" applyFont="1" applyFill="1" applyBorder="1" applyAlignment="1">
      <alignment horizontal="right"/>
    </xf>
    <xf numFmtId="9" fontId="4" fillId="8" borderId="3" xfId="3" applyFont="1" applyFill="1" applyBorder="1" applyAlignment="1">
      <alignment horizontal="center" vertical="center"/>
    </xf>
    <xf numFmtId="164" fontId="46" fillId="0" borderId="0" xfId="1" applyNumberFormat="1" applyFont="1" applyFill="1"/>
    <xf numFmtId="164" fontId="46" fillId="0" borderId="0" xfId="1" applyNumberFormat="1" applyFont="1" applyFill="1" applyAlignment="1">
      <alignment horizontal="center"/>
    </xf>
    <xf numFmtId="164" fontId="46" fillId="8" borderId="3" xfId="1" applyNumberFormat="1" applyFont="1" applyFill="1" applyBorder="1" applyAlignment="1">
      <alignment horizontal="center" vertical="center" wrapText="1"/>
    </xf>
    <xf numFmtId="164" fontId="46" fillId="0" borderId="2" xfId="1" applyNumberFormat="1" applyFont="1" applyFill="1" applyBorder="1" applyAlignment="1">
      <alignment horizontal="left" indent="2"/>
    </xf>
    <xf numFmtId="164" fontId="46" fillId="0" borderId="2" xfId="1" applyNumberFormat="1" applyFont="1" applyFill="1" applyBorder="1" applyAlignment="1">
      <alignment horizontal="left" vertical="center" indent="2"/>
    </xf>
    <xf numFmtId="164" fontId="46" fillId="0" borderId="2" xfId="1" applyNumberFormat="1" applyFont="1" applyFill="1" applyBorder="1" applyAlignment="1">
      <alignment horizontal="left" vertical="center" wrapText="1"/>
    </xf>
    <xf numFmtId="44" fontId="46" fillId="3" borderId="2" xfId="1" applyFont="1" applyFill="1" applyBorder="1" applyAlignment="1">
      <alignment horizontal="left" indent="2"/>
    </xf>
    <xf numFmtId="10" fontId="47" fillId="0" borderId="0" xfId="3" applyNumberFormat="1" applyFont="1" applyFill="1"/>
    <xf numFmtId="44" fontId="44" fillId="0" borderId="0" xfId="1" applyFont="1" applyFill="1" applyAlignment="1">
      <alignment horizontal="center"/>
    </xf>
    <xf numFmtId="0" fontId="39" fillId="0" borderId="2" xfId="0" applyFont="1" applyBorder="1" applyAlignment="1">
      <alignment horizontal="center" wrapText="1"/>
    </xf>
    <xf numFmtId="0" fontId="12" fillId="28" borderId="4" xfId="0" applyFont="1" applyFill="1" applyBorder="1" applyAlignment="1">
      <alignment horizontal="center" wrapText="1"/>
    </xf>
    <xf numFmtId="0" fontId="12" fillId="9" borderId="4" xfId="0" applyFont="1" applyFill="1" applyBorder="1" applyAlignment="1">
      <alignment horizontal="center" wrapText="1"/>
    </xf>
    <xf numFmtId="164" fontId="29" fillId="0" borderId="47" xfId="1" applyNumberFormat="1" applyFont="1" applyBorder="1"/>
    <xf numFmtId="164" fontId="0" fillId="0" borderId="19" xfId="1" applyNumberFormat="1" applyFont="1" applyBorder="1"/>
    <xf numFmtId="164" fontId="11" fillId="0" borderId="0" xfId="1" applyNumberFormat="1" applyFont="1"/>
    <xf numFmtId="164" fontId="47" fillId="3" borderId="2" xfId="1" applyNumberFormat="1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20" borderId="2" xfId="0" applyFont="1" applyFill="1" applyBorder="1" applyAlignment="1">
      <alignment horizontal="left" vertical="center" wrapText="1"/>
    </xf>
    <xf numFmtId="9" fontId="47" fillId="3" borderId="4" xfId="3" applyFont="1" applyFill="1" applyBorder="1" applyAlignment="1">
      <alignment horizontal="center"/>
    </xf>
    <xf numFmtId="171" fontId="44" fillId="3" borderId="13" xfId="1" applyNumberFormat="1" applyFont="1" applyFill="1" applyBorder="1" applyAlignment="1">
      <alignment horizontal="left" indent="2"/>
    </xf>
    <xf numFmtId="0" fontId="12" fillId="3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26" fillId="0" borderId="2" xfId="0" applyFont="1" applyBorder="1" applyAlignment="1">
      <alignment horizontal="left" wrapText="1"/>
    </xf>
    <xf numFmtId="0" fontId="0" fillId="0" borderId="4" xfId="0" applyBorder="1" applyAlignment="1">
      <alignment horizontal="left"/>
    </xf>
    <xf numFmtId="0" fontId="51" fillId="4" borderId="3" xfId="0" applyFont="1" applyFill="1" applyBorder="1" applyAlignment="1">
      <alignment horizontal="center" vertical="center" wrapText="1"/>
    </xf>
    <xf numFmtId="0" fontId="12" fillId="13" borderId="13" xfId="0" applyFont="1" applyFill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0" fontId="12" fillId="20" borderId="13" xfId="0" applyFont="1" applyFill="1" applyBorder="1" applyAlignment="1">
      <alignment horizontal="left" wrapText="1"/>
    </xf>
    <xf numFmtId="0" fontId="12" fillId="3" borderId="13" xfId="0" applyFont="1" applyFill="1" applyBorder="1" applyAlignment="1">
      <alignment horizontal="left" wrapText="1"/>
    </xf>
    <xf numFmtId="0" fontId="12" fillId="20" borderId="2" xfId="0" applyFont="1" applyFill="1" applyBorder="1" applyAlignment="1">
      <alignment horizontal="left" wrapText="1"/>
    </xf>
    <xf numFmtId="164" fontId="46" fillId="0" borderId="4" xfId="1" applyNumberFormat="1" applyFont="1" applyFill="1" applyBorder="1" applyAlignment="1">
      <alignment horizontal="left" indent="2"/>
    </xf>
    <xf numFmtId="164" fontId="46" fillId="0" borderId="13" xfId="1" applyNumberFormat="1" applyFont="1" applyFill="1" applyBorder="1" applyAlignment="1">
      <alignment horizontal="left" indent="2"/>
    </xf>
    <xf numFmtId="164" fontId="46" fillId="3" borderId="13" xfId="1" applyNumberFormat="1" applyFont="1" applyFill="1" applyBorder="1" applyAlignment="1">
      <alignment horizontal="left" indent="2"/>
    </xf>
    <xf numFmtId="164" fontId="46" fillId="0" borderId="15" xfId="1" applyNumberFormat="1" applyFont="1" applyFill="1" applyBorder="1" applyAlignment="1">
      <alignment horizontal="left" indent="2"/>
    </xf>
    <xf numFmtId="164" fontId="46" fillId="0" borderId="9" xfId="1" applyNumberFormat="1" applyFont="1" applyFill="1" applyBorder="1" applyAlignment="1">
      <alignment horizontal="left" indent="2"/>
    </xf>
    <xf numFmtId="164" fontId="46" fillId="3" borderId="4" xfId="1" applyNumberFormat="1" applyFont="1" applyFill="1" applyBorder="1" applyAlignment="1">
      <alignment horizontal="left" indent="2"/>
    </xf>
    <xf numFmtId="164" fontId="50" fillId="0" borderId="13" xfId="1" applyNumberFormat="1" applyFont="1" applyFill="1" applyBorder="1" applyAlignment="1">
      <alignment horizontal="left" indent="2"/>
    </xf>
    <xf numFmtId="164" fontId="46" fillId="0" borderId="4" xfId="1" applyNumberFormat="1" applyFont="1" applyFill="1" applyBorder="1" applyAlignment="1">
      <alignment horizontal="left" vertical="center" indent="2"/>
    </xf>
    <xf numFmtId="164" fontId="46" fillId="0" borderId="27" xfId="1" applyNumberFormat="1" applyFont="1" applyFill="1" applyBorder="1" applyAlignment="1">
      <alignment horizontal="left" vertical="center" indent="2"/>
    </xf>
    <xf numFmtId="164" fontId="46" fillId="3" borderId="2" xfId="1" applyNumberFormat="1" applyFont="1" applyFill="1" applyBorder="1" applyAlignment="1">
      <alignment horizontal="left" indent="2"/>
    </xf>
    <xf numFmtId="0" fontId="22" fillId="0" borderId="2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wrapText="1"/>
    </xf>
    <xf numFmtId="0" fontId="22" fillId="0" borderId="2" xfId="0" applyFont="1" applyBorder="1" applyAlignment="1">
      <alignment horizontal="left"/>
    </xf>
    <xf numFmtId="0" fontId="22" fillId="0" borderId="2" xfId="0" applyFont="1" applyBorder="1" applyAlignment="1">
      <alignment horizontal="left" vertical="center"/>
    </xf>
    <xf numFmtId="0" fontId="22" fillId="0" borderId="4" xfId="0" applyFont="1" applyBorder="1" applyAlignment="1">
      <alignment horizontal="left"/>
    </xf>
    <xf numFmtId="0" fontId="22" fillId="0" borderId="4" xfId="0" applyFont="1" applyBorder="1" applyAlignment="1">
      <alignment horizontal="left" wrapText="1"/>
    </xf>
    <xf numFmtId="0" fontId="22" fillId="0" borderId="27" xfId="0" applyFont="1" applyBorder="1" applyAlignment="1">
      <alignment horizontal="left"/>
    </xf>
    <xf numFmtId="0" fontId="22" fillId="0" borderId="27" xfId="0" applyFont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44" fontId="22" fillId="0" borderId="53" xfId="1" applyFont="1" applyBorder="1" applyAlignment="1">
      <alignment horizontal="center" wrapText="1"/>
    </xf>
    <xf numFmtId="0" fontId="19" fillId="13" borderId="7" xfId="0" applyFont="1" applyFill="1" applyBorder="1" applyAlignment="1">
      <alignment horizontal="left" vertical="center" wrapText="1"/>
    </xf>
    <xf numFmtId="0" fontId="19" fillId="13" borderId="4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 wrapText="1"/>
    </xf>
    <xf numFmtId="0" fontId="48" fillId="0" borderId="2" xfId="0" applyFont="1" applyBorder="1" applyAlignment="1">
      <alignment horizontal="left" vertical="center" wrapText="1"/>
    </xf>
    <xf numFmtId="0" fontId="39" fillId="0" borderId="2" xfId="0" applyFont="1" applyBorder="1"/>
    <xf numFmtId="0" fontId="15" fillId="20" borderId="2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center" vertical="center" wrapText="1"/>
    </xf>
    <xf numFmtId="44" fontId="41" fillId="0" borderId="2" xfId="1" applyFont="1" applyFill="1" applyBorder="1" applyAlignment="1">
      <alignment horizontal="center" vertical="center" wrapText="1"/>
    </xf>
    <xf numFmtId="9" fontId="47" fillId="0" borderId="2" xfId="3" applyFont="1" applyFill="1" applyBorder="1" applyAlignment="1">
      <alignment horizontal="center"/>
    </xf>
    <xf numFmtId="171" fontId="46" fillId="0" borderId="2" xfId="1" applyNumberFormat="1" applyFont="1" applyFill="1" applyBorder="1" applyAlignment="1">
      <alignment horizontal="left" indent="2"/>
    </xf>
    <xf numFmtId="164" fontId="22" fillId="0" borderId="2" xfId="1" applyNumberFormat="1" applyFont="1" applyFill="1" applyBorder="1" applyAlignment="1">
      <alignment horizontal="center" vertical="center" wrapText="1"/>
    </xf>
    <xf numFmtId="9" fontId="46" fillId="0" borderId="2" xfId="3" applyFont="1" applyFill="1" applyBorder="1" applyAlignment="1">
      <alignment horizontal="center"/>
    </xf>
    <xf numFmtId="171" fontId="49" fillId="0" borderId="2" xfId="1" applyNumberFormat="1" applyFont="1" applyFill="1" applyBorder="1" applyAlignment="1">
      <alignment wrapText="1"/>
    </xf>
    <xf numFmtId="44" fontId="22" fillId="0" borderId="2" xfId="1" applyFont="1" applyFill="1" applyBorder="1" applyAlignment="1">
      <alignment horizontal="center" vertical="center" wrapText="1"/>
    </xf>
    <xf numFmtId="0" fontId="39" fillId="0" borderId="2" xfId="0" applyFont="1" applyBorder="1" applyAlignment="1">
      <alignment horizontal="left" wrapText="1"/>
    </xf>
    <xf numFmtId="0" fontId="23" fillId="0" borderId="2" xfId="0" applyFont="1" applyBorder="1" applyAlignment="1">
      <alignment horizontal="left" wrapText="1"/>
    </xf>
    <xf numFmtId="44" fontId="39" fillId="0" borderId="2" xfId="1" applyFont="1" applyFill="1" applyBorder="1" applyAlignment="1">
      <alignment horizontal="center" vertical="center" wrapText="1"/>
    </xf>
    <xf numFmtId="164" fontId="41" fillId="0" borderId="2" xfId="1" applyNumberFormat="1" applyFont="1" applyFill="1" applyBorder="1" applyAlignment="1">
      <alignment horizontal="center" vertical="center" wrapText="1"/>
    </xf>
    <xf numFmtId="44" fontId="42" fillId="20" borderId="2" xfId="1" applyFont="1" applyFill="1" applyBorder="1" applyAlignment="1">
      <alignment horizontal="center" vertical="center" wrapText="1"/>
    </xf>
    <xf numFmtId="9" fontId="47" fillId="3" borderId="2" xfId="3" applyFont="1" applyFill="1" applyBorder="1" applyAlignment="1">
      <alignment horizontal="center"/>
    </xf>
    <xf numFmtId="171" fontId="44" fillId="3" borderId="2" xfId="1" applyNumberFormat="1" applyFont="1" applyFill="1" applyBorder="1" applyAlignment="1">
      <alignment horizontal="left" indent="2"/>
    </xf>
    <xf numFmtId="171" fontId="46" fillId="3" borderId="2" xfId="1" applyNumberFormat="1" applyFont="1" applyFill="1" applyBorder="1" applyAlignment="1">
      <alignment horizontal="left" indent="2"/>
    </xf>
    <xf numFmtId="44" fontId="42" fillId="3" borderId="2" xfId="1" applyFont="1" applyFill="1" applyBorder="1" applyAlignment="1">
      <alignment horizontal="center" vertical="center" wrapText="1"/>
    </xf>
    <xf numFmtId="44" fontId="22" fillId="20" borderId="2" xfId="1" applyFont="1" applyFill="1" applyBorder="1" applyAlignment="1">
      <alignment horizontal="center" vertical="center" wrapText="1"/>
    </xf>
    <xf numFmtId="164" fontId="22" fillId="20" borderId="2" xfId="1" applyNumberFormat="1" applyFont="1" applyFill="1" applyBorder="1" applyAlignment="1">
      <alignment horizontal="center" vertical="center" wrapText="1"/>
    </xf>
    <xf numFmtId="44" fontId="0" fillId="20" borderId="2" xfId="1" applyFont="1" applyFill="1" applyBorder="1" applyAlignment="1">
      <alignment horizontal="left" indent="2"/>
    </xf>
    <xf numFmtId="164" fontId="41" fillId="0" borderId="2" xfId="1" applyNumberFormat="1" applyFont="1" applyFill="1" applyBorder="1" applyAlignment="1">
      <alignment horizontal="center" wrapText="1"/>
    </xf>
    <xf numFmtId="9" fontId="41" fillId="0" borderId="2" xfId="3" applyFont="1" applyFill="1" applyBorder="1" applyAlignment="1">
      <alignment horizontal="center"/>
    </xf>
    <xf numFmtId="44" fontId="50" fillId="0" borderId="2" xfId="1" applyFont="1" applyFill="1" applyBorder="1" applyAlignment="1">
      <alignment horizontal="left" indent="2"/>
    </xf>
    <xf numFmtId="44" fontId="42" fillId="14" borderId="2" xfId="1" applyFont="1" applyFill="1" applyBorder="1" applyAlignment="1">
      <alignment horizontal="center" vertical="center" wrapText="1"/>
    </xf>
    <xf numFmtId="164" fontId="42" fillId="3" borderId="0" xfId="1" applyNumberFormat="1" applyFont="1" applyFill="1" applyBorder="1" applyAlignment="1">
      <alignment horizontal="center" vertical="center" wrapText="1"/>
    </xf>
    <xf numFmtId="164" fontId="42" fillId="14" borderId="0" xfId="1" applyNumberFormat="1" applyFont="1" applyFill="1" applyBorder="1" applyAlignment="1">
      <alignment horizontal="center" vertical="center" wrapText="1"/>
    </xf>
    <xf numFmtId="164" fontId="42" fillId="3" borderId="2" xfId="1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0" fontId="41" fillId="0" borderId="0" xfId="0" applyFont="1" applyAlignment="1">
      <alignment wrapText="1"/>
    </xf>
    <xf numFmtId="0" fontId="0" fillId="0" borderId="0" xfId="0" applyAlignment="1">
      <alignment horizontal="right"/>
    </xf>
    <xf numFmtId="164" fontId="44" fillId="15" borderId="2" xfId="1" applyNumberFormat="1" applyFont="1" applyFill="1" applyBorder="1" applyAlignment="1">
      <alignment horizontal="left" indent="2"/>
    </xf>
    <xf numFmtId="44" fontId="22" fillId="3" borderId="2" xfId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15" fillId="0" borderId="2" xfId="0" applyFont="1" applyBorder="1" applyAlignment="1">
      <alignment horizontal="left" vertical="center" wrapText="1"/>
    </xf>
    <xf numFmtId="0" fontId="52" fillId="14" borderId="18" xfId="0" applyFont="1" applyFill="1" applyBorder="1" applyAlignment="1">
      <alignment horizontal="center" wrapText="1"/>
    </xf>
    <xf numFmtId="0" fontId="53" fillId="0" borderId="0" xfId="0" applyFont="1"/>
    <xf numFmtId="0" fontId="54" fillId="6" borderId="0" xfId="0" applyFont="1" applyFill="1" applyAlignment="1">
      <alignment horizontal="center"/>
    </xf>
    <xf numFmtId="0" fontId="53" fillId="13" borderId="0" xfId="0" applyFont="1" applyFill="1"/>
    <xf numFmtId="0" fontId="55" fillId="0" borderId="0" xfId="0" applyFont="1"/>
    <xf numFmtId="0" fontId="53" fillId="3" borderId="0" xfId="0" applyFont="1" applyFill="1"/>
    <xf numFmtId="0" fontId="53" fillId="20" borderId="0" xfId="0" applyFont="1" applyFill="1"/>
    <xf numFmtId="0" fontId="53" fillId="3" borderId="0" xfId="0" applyFont="1" applyFill="1" applyAlignment="1">
      <alignment wrapText="1"/>
    </xf>
    <xf numFmtId="0" fontId="39" fillId="20" borderId="2" xfId="0" applyFont="1" applyFill="1" applyBorder="1" applyAlignment="1">
      <alignment horizontal="left" vertical="center" wrapText="1"/>
    </xf>
    <xf numFmtId="0" fontId="39" fillId="20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9" fontId="0" fillId="11" borderId="0" xfId="0" applyNumberFormat="1" applyFill="1" applyAlignment="1">
      <alignment horizontal="right"/>
    </xf>
    <xf numFmtId="0" fontId="12" fillId="11" borderId="0" xfId="0" applyFont="1" applyFill="1"/>
    <xf numFmtId="0" fontId="38" fillId="0" borderId="0" xfId="0" applyFont="1"/>
    <xf numFmtId="44" fontId="57" fillId="0" borderId="2" xfId="1" applyFont="1" applyFill="1" applyBorder="1" applyAlignment="1">
      <alignment horizontal="left" indent="2"/>
    </xf>
    <xf numFmtId="9" fontId="57" fillId="0" borderId="2" xfId="3" applyFont="1" applyFill="1" applyBorder="1" applyAlignment="1">
      <alignment horizontal="center"/>
    </xf>
    <xf numFmtId="171" fontId="57" fillId="0" borderId="2" xfId="1" applyNumberFormat="1" applyFont="1" applyFill="1" applyBorder="1" applyAlignment="1">
      <alignment horizontal="left" indent="2"/>
    </xf>
    <xf numFmtId="44" fontId="41" fillId="0" borderId="2" xfId="1" applyFont="1" applyFill="1" applyBorder="1" applyAlignment="1">
      <alignment horizontal="left" indent="2"/>
    </xf>
    <xf numFmtId="0" fontId="12" fillId="20" borderId="2" xfId="0" applyFont="1" applyFill="1" applyBorder="1" applyAlignment="1">
      <alignment horizontal="center" wrapText="1"/>
    </xf>
    <xf numFmtId="49" fontId="12" fillId="0" borderId="2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 wrapText="1"/>
    </xf>
    <xf numFmtId="0" fontId="15" fillId="0" borderId="62" xfId="0" applyFont="1" applyBorder="1" applyAlignment="1">
      <alignment horizontal="left" wrapText="1"/>
    </xf>
    <xf numFmtId="0" fontId="36" fillId="0" borderId="0" xfId="0" applyFont="1" applyAlignment="1">
      <alignment horizontal="center"/>
    </xf>
    <xf numFmtId="44" fontId="42" fillId="0" borderId="2" xfId="1" applyFont="1" applyFill="1" applyBorder="1" applyAlignment="1">
      <alignment horizontal="center" vertical="center" wrapText="1"/>
    </xf>
    <xf numFmtId="164" fontId="42" fillId="0" borderId="2" xfId="1" applyNumberFormat="1" applyFont="1" applyFill="1" applyBorder="1" applyAlignment="1">
      <alignment horizontal="center" vertical="center" wrapText="1"/>
    </xf>
    <xf numFmtId="44" fontId="46" fillId="0" borderId="2" xfId="1" applyFont="1" applyFill="1" applyBorder="1" applyAlignment="1">
      <alignment horizontal="left" vertical="center"/>
    </xf>
    <xf numFmtId="44" fontId="47" fillId="0" borderId="2" xfId="1" applyFont="1" applyFill="1" applyBorder="1" applyAlignment="1">
      <alignment horizontal="left" vertical="center"/>
    </xf>
    <xf numFmtId="171" fontId="46" fillId="0" borderId="2" xfId="1" applyNumberFormat="1" applyFont="1" applyFill="1" applyBorder="1" applyAlignment="1">
      <alignment horizontal="left" vertical="center"/>
    </xf>
    <xf numFmtId="0" fontId="15" fillId="0" borderId="2" xfId="0" applyFont="1" applyBorder="1" applyAlignment="1">
      <alignment horizontal="center" wrapText="1"/>
    </xf>
    <xf numFmtId="0" fontId="15" fillId="3" borderId="2" xfId="0" applyFont="1" applyFill="1" applyBorder="1" applyAlignment="1">
      <alignment horizontal="center" wrapText="1"/>
    </xf>
    <xf numFmtId="0" fontId="12" fillId="0" borderId="4" xfId="0" applyFont="1" applyBorder="1"/>
    <xf numFmtId="44" fontId="6" fillId="0" borderId="3" xfId="1" applyFont="1" applyFill="1" applyBorder="1" applyAlignment="1">
      <alignment horizontal="left" vertical="center"/>
    </xf>
    <xf numFmtId="0" fontId="26" fillId="0" borderId="2" xfId="0" applyFont="1" applyBorder="1"/>
    <xf numFmtId="164" fontId="44" fillId="0" borderId="2" xfId="1" applyNumberFormat="1" applyFont="1" applyFill="1" applyBorder="1" applyAlignment="1">
      <alignment horizontal="left" vertical="center" indent="2"/>
    </xf>
    <xf numFmtId="0" fontId="15" fillId="3" borderId="2" xfId="0" applyFont="1" applyFill="1" applyBorder="1" applyAlignment="1">
      <alignment horizontal="left" wrapText="1"/>
    </xf>
    <xf numFmtId="0" fontId="39" fillId="0" borderId="2" xfId="0" applyFont="1" applyBorder="1" applyAlignment="1">
      <alignment horizontal="left" vertical="center" wrapText="1"/>
    </xf>
    <xf numFmtId="0" fontId="14" fillId="0" borderId="2" xfId="0" applyFont="1" applyBorder="1"/>
    <xf numFmtId="0" fontId="13" fillId="0" borderId="2" xfId="0" applyFont="1" applyBorder="1" applyAlignment="1">
      <alignment horizontal="center" wrapText="1"/>
    </xf>
    <xf numFmtId="164" fontId="44" fillId="0" borderId="2" xfId="1" applyNumberFormat="1" applyFont="1" applyFill="1" applyBorder="1" applyAlignment="1">
      <alignment horizontal="left" indent="2"/>
    </xf>
    <xf numFmtId="0" fontId="41" fillId="0" borderId="2" xfId="0" applyFont="1" applyBorder="1" applyAlignment="1">
      <alignment horizontal="left"/>
    </xf>
    <xf numFmtId="0" fontId="41" fillId="0" borderId="2" xfId="0" applyFont="1" applyBorder="1" applyAlignment="1">
      <alignment horizontal="left" wrapText="1"/>
    </xf>
    <xf numFmtId="0" fontId="42" fillId="0" borderId="2" xfId="0" applyFont="1" applyBorder="1" applyAlignment="1">
      <alignment horizontal="left" wrapText="1"/>
    </xf>
    <xf numFmtId="0" fontId="41" fillId="0" borderId="2" xfId="0" applyFont="1" applyBorder="1"/>
    <xf numFmtId="0" fontId="41" fillId="0" borderId="0" xfId="0" applyFont="1"/>
    <xf numFmtId="0" fontId="3" fillId="0" borderId="2" xfId="0" applyFont="1" applyBorder="1" applyAlignment="1">
      <alignment horizontal="left" vertical="center"/>
    </xf>
    <xf numFmtId="44" fontId="22" fillId="0" borderId="2" xfId="1" applyFont="1" applyFill="1" applyBorder="1" applyAlignment="1">
      <alignment horizontal="center" wrapText="1"/>
    </xf>
    <xf numFmtId="0" fontId="56" fillId="0" borderId="0" xfId="0" applyFont="1" applyAlignment="1">
      <alignment wrapText="1"/>
    </xf>
    <xf numFmtId="44" fontId="23" fillId="0" borderId="2" xfId="1" applyFont="1" applyFill="1" applyBorder="1" applyAlignment="1">
      <alignment horizontal="left" vertical="center" indent="2"/>
    </xf>
    <xf numFmtId="0" fontId="0" fillId="0" borderId="20" xfId="0" applyBorder="1"/>
    <xf numFmtId="164" fontId="44" fillId="0" borderId="2" xfId="1" applyNumberFormat="1" applyFont="1" applyFill="1" applyBorder="1" applyAlignment="1">
      <alignment horizontal="left" vertical="center" wrapText="1"/>
    </xf>
    <xf numFmtId="0" fontId="53" fillId="0" borderId="0" xfId="0" applyFont="1" applyAlignment="1">
      <alignment wrapText="1"/>
    </xf>
    <xf numFmtId="0" fontId="5" fillId="4" borderId="64" xfId="2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3" fillId="7" borderId="39" xfId="0" applyFont="1" applyFill="1" applyBorder="1" applyAlignment="1">
      <alignment horizontal="center" vertical="center" wrapText="1"/>
    </xf>
    <xf numFmtId="0" fontId="51" fillId="4" borderId="50" xfId="0" applyFont="1" applyFill="1" applyBorder="1" applyAlignment="1">
      <alignment horizontal="center" vertical="center" wrapText="1"/>
    </xf>
    <xf numFmtId="0" fontId="39" fillId="14" borderId="1" xfId="0" applyFont="1" applyFill="1" applyBorder="1" applyAlignment="1">
      <alignment horizontal="center" vertical="center" wrapText="1"/>
    </xf>
    <xf numFmtId="0" fontId="23" fillId="14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3" fillId="4" borderId="39" xfId="0" applyFont="1" applyFill="1" applyBorder="1" applyAlignment="1">
      <alignment horizontal="center" vertical="center" wrapText="1"/>
    </xf>
    <xf numFmtId="0" fontId="39" fillId="7" borderId="39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44" fontId="43" fillId="26" borderId="1" xfId="1" applyFont="1" applyFill="1" applyBorder="1" applyAlignment="1">
      <alignment horizontal="center" vertical="center" wrapText="1"/>
    </xf>
    <xf numFmtId="164" fontId="43" fillId="26" borderId="1" xfId="1" applyNumberFormat="1" applyFont="1" applyFill="1" applyBorder="1" applyAlignment="1">
      <alignment horizontal="center" vertical="center" wrapText="1"/>
    </xf>
    <xf numFmtId="164" fontId="43" fillId="8" borderId="1" xfId="1" applyNumberFormat="1" applyFont="1" applyFill="1" applyBorder="1" applyAlignment="1">
      <alignment horizontal="center" vertical="center" wrapText="1"/>
    </xf>
    <xf numFmtId="9" fontId="4" fillId="8" borderId="1" xfId="3" applyFont="1" applyFill="1" applyBorder="1" applyAlignment="1">
      <alignment horizontal="center" vertical="center"/>
    </xf>
    <xf numFmtId="164" fontId="46" fillId="8" borderId="1" xfId="1" applyNumberFormat="1" applyFont="1" applyFill="1" applyBorder="1" applyAlignment="1">
      <alignment horizontal="center" vertical="center" wrapText="1"/>
    </xf>
    <xf numFmtId="164" fontId="47" fillId="6" borderId="1" xfId="1" applyNumberFormat="1" applyFont="1" applyFill="1" applyBorder="1" applyAlignment="1">
      <alignment horizontal="center" vertical="center" wrapText="1"/>
    </xf>
    <xf numFmtId="164" fontId="45" fillId="6" borderId="1" xfId="1" applyNumberFormat="1" applyFont="1" applyFill="1" applyBorder="1" applyAlignment="1">
      <alignment horizontal="center" vertical="center" wrapText="1"/>
    </xf>
    <xf numFmtId="44" fontId="47" fillId="6" borderId="1" xfId="1" applyFont="1" applyFill="1" applyBorder="1" applyAlignment="1">
      <alignment horizontal="center" vertical="center" wrapText="1"/>
    </xf>
    <xf numFmtId="171" fontId="45" fillId="6" borderId="1" xfId="1" applyNumberFormat="1" applyFont="1" applyFill="1" applyBorder="1" applyAlignment="1">
      <alignment horizontal="center" vertical="center" wrapText="1"/>
    </xf>
    <xf numFmtId="44" fontId="47" fillId="26" borderId="1" xfId="1" applyFont="1" applyFill="1" applyBorder="1" applyAlignment="1">
      <alignment horizontal="center" vertical="center" wrapText="1"/>
    </xf>
    <xf numFmtId="164" fontId="45" fillId="26" borderId="1" xfId="1" applyNumberFormat="1" applyFont="1" applyFill="1" applyBorder="1" applyAlignment="1">
      <alignment horizontal="center" vertical="center" wrapText="1"/>
    </xf>
    <xf numFmtId="171" fontId="45" fillId="26" borderId="1" xfId="1" applyNumberFormat="1" applyFont="1" applyFill="1" applyBorder="1" applyAlignment="1">
      <alignment horizontal="center" vertical="center" wrapText="1"/>
    </xf>
    <xf numFmtId="44" fontId="47" fillId="27" borderId="1" xfId="1" applyFont="1" applyFill="1" applyBorder="1" applyAlignment="1">
      <alignment horizontal="center" vertical="center" wrapText="1"/>
    </xf>
    <xf numFmtId="164" fontId="45" fillId="27" borderId="1" xfId="1" applyNumberFormat="1" applyFont="1" applyFill="1" applyBorder="1" applyAlignment="1">
      <alignment horizontal="center" vertical="center" wrapText="1"/>
    </xf>
    <xf numFmtId="171" fontId="45" fillId="27" borderId="1" xfId="1" applyNumberFormat="1" applyFont="1" applyFill="1" applyBorder="1" applyAlignment="1">
      <alignment horizontal="center" vertical="center" wrapText="1"/>
    </xf>
    <xf numFmtId="171" fontId="45" fillId="0" borderId="1" xfId="1" applyNumberFormat="1" applyFont="1" applyFill="1" applyBorder="1" applyAlignment="1">
      <alignment horizontal="center" vertical="center" wrapText="1"/>
    </xf>
    <xf numFmtId="164" fontId="23" fillId="3" borderId="1" xfId="1" applyNumberFormat="1" applyFont="1" applyFill="1" applyBorder="1" applyAlignment="1">
      <alignment horizontal="center" vertical="center"/>
    </xf>
    <xf numFmtId="44" fontId="23" fillId="3" borderId="1" xfId="1" applyFont="1" applyFill="1" applyBorder="1" applyAlignment="1">
      <alignment horizontal="center" vertical="center"/>
    </xf>
    <xf numFmtId="0" fontId="0" fillId="29" borderId="2" xfId="0" applyFill="1" applyBorder="1" applyAlignment="1">
      <alignment horizontal="left" wrapText="1"/>
    </xf>
    <xf numFmtId="0" fontId="29" fillId="3" borderId="41" xfId="0" applyFont="1" applyFill="1" applyBorder="1" applyAlignment="1">
      <alignment wrapText="1"/>
    </xf>
    <xf numFmtId="0" fontId="29" fillId="3" borderId="20" xfId="0" applyFont="1" applyFill="1" applyBorder="1" applyAlignment="1">
      <alignment wrapText="1"/>
    </xf>
    <xf numFmtId="0" fontId="29" fillId="3" borderId="33" xfId="0" applyFont="1" applyFill="1" applyBorder="1" applyAlignment="1">
      <alignment wrapText="1"/>
    </xf>
    <xf numFmtId="0" fontId="29" fillId="3" borderId="34" xfId="0" applyFont="1" applyFill="1" applyBorder="1" applyAlignment="1">
      <alignment wrapText="1"/>
    </xf>
    <xf numFmtId="44" fontId="30" fillId="3" borderId="4" xfId="1" applyFont="1" applyFill="1" applyBorder="1"/>
    <xf numFmtId="44" fontId="29" fillId="3" borderId="2" xfId="1" applyFont="1" applyFill="1" applyBorder="1"/>
    <xf numFmtId="0" fontId="60" fillId="0" borderId="0" xfId="0" applyFont="1"/>
    <xf numFmtId="0" fontId="61" fillId="0" borderId="2" xfId="0" applyFont="1" applyBorder="1" applyAlignment="1">
      <alignment wrapText="1"/>
    </xf>
    <xf numFmtId="0" fontId="60" fillId="0" borderId="2" xfId="0" applyFont="1" applyBorder="1"/>
    <xf numFmtId="0" fontId="63" fillId="3" borderId="2" xfId="0" applyFont="1" applyFill="1" applyBorder="1" applyAlignment="1">
      <alignment wrapText="1"/>
    </xf>
    <xf numFmtId="0" fontId="76" fillId="0" borderId="2" xfId="0" applyFont="1" applyBorder="1" applyAlignment="1">
      <alignment wrapText="1"/>
    </xf>
    <xf numFmtId="0" fontId="63" fillId="0" borderId="2" xfId="0" applyFont="1" applyBorder="1" applyAlignment="1">
      <alignment wrapText="1"/>
    </xf>
    <xf numFmtId="0" fontId="75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65" fillId="0" borderId="0" xfId="0" applyFont="1" applyAlignment="1">
      <alignment horizontal="center"/>
    </xf>
    <xf numFmtId="44" fontId="65" fillId="0" borderId="0" xfId="1" applyFont="1" applyAlignment="1">
      <alignment horizontal="center"/>
    </xf>
    <xf numFmtId="0" fontId="65" fillId="0" borderId="0" xfId="0" applyFont="1" applyAlignment="1">
      <alignment horizontal="center" wrapText="1"/>
    </xf>
    <xf numFmtId="0" fontId="60" fillId="12" borderId="0" xfId="0" applyFont="1" applyFill="1"/>
    <xf numFmtId="44" fontId="60" fillId="0" borderId="0" xfId="1" applyFont="1"/>
    <xf numFmtId="44" fontId="76" fillId="0" borderId="0" xfId="1" applyFont="1"/>
    <xf numFmtId="0" fontId="76" fillId="0" borderId="0" xfId="0" applyFont="1" applyAlignment="1">
      <alignment wrapText="1"/>
    </xf>
    <xf numFmtId="3" fontId="65" fillId="0" borderId="0" xfId="0" applyNumberFormat="1" applyFont="1" applyAlignment="1">
      <alignment horizontal="center" vertical="center"/>
    </xf>
    <xf numFmtId="0" fontId="77" fillId="0" borderId="0" xfId="0" applyFont="1" applyAlignment="1">
      <alignment wrapText="1"/>
    </xf>
    <xf numFmtId="44" fontId="77" fillId="0" borderId="0" xfId="1" applyFont="1"/>
    <xf numFmtId="44" fontId="65" fillId="0" borderId="19" xfId="1" applyFont="1" applyBorder="1"/>
    <xf numFmtId="164" fontId="60" fillId="0" borderId="0" xfId="1" applyNumberFormat="1" applyFont="1"/>
    <xf numFmtId="44" fontId="60" fillId="0" borderId="0" xfId="0" applyNumberFormat="1" applyFont="1"/>
    <xf numFmtId="0" fontId="60" fillId="0" borderId="0" xfId="0" applyFont="1" applyAlignment="1">
      <alignment vertical="center"/>
    </xf>
    <xf numFmtId="0" fontId="60" fillId="0" borderId="0" xfId="0" applyFont="1" applyAlignment="1">
      <alignment vertical="center" wrapText="1"/>
    </xf>
    <xf numFmtId="44" fontId="60" fillId="0" borderId="0" xfId="1" applyFont="1" applyAlignment="1">
      <alignment vertical="center"/>
    </xf>
    <xf numFmtId="0" fontId="60" fillId="12" borderId="0" xfId="0" applyFont="1" applyFill="1" applyAlignment="1">
      <alignment vertical="center"/>
    </xf>
    <xf numFmtId="44" fontId="60" fillId="0" borderId="0" xfId="1" applyFont="1" applyAlignment="1"/>
    <xf numFmtId="172" fontId="60" fillId="0" borderId="0" xfId="4" applyNumberFormat="1" applyFont="1"/>
    <xf numFmtId="172" fontId="60" fillId="0" borderId="0" xfId="4" applyNumberFormat="1" applyFont="1" applyAlignment="1">
      <alignment vertical="center"/>
    </xf>
    <xf numFmtId="172" fontId="60" fillId="0" borderId="0" xfId="4" applyNumberFormat="1" applyFont="1" applyAlignment="1"/>
    <xf numFmtId="0" fontId="65" fillId="12" borderId="0" xfId="0" applyFont="1" applyFill="1" applyAlignment="1">
      <alignment horizontal="center" vertical="center"/>
    </xf>
    <xf numFmtId="172" fontId="60" fillId="12" borderId="0" xfId="4" applyNumberFormat="1" applyFont="1" applyFill="1"/>
    <xf numFmtId="172" fontId="60" fillId="12" borderId="0" xfId="4" applyNumberFormat="1" applyFont="1" applyFill="1" applyAlignment="1">
      <alignment vertical="center"/>
    </xf>
    <xf numFmtId="172" fontId="60" fillId="12" borderId="0" xfId="4" applyNumberFormat="1" applyFont="1" applyFill="1" applyAlignment="1"/>
    <xf numFmtId="0" fontId="65" fillId="31" borderId="0" xfId="0" applyFont="1" applyFill="1"/>
    <xf numFmtId="172" fontId="65" fillId="31" borderId="0" xfId="4" applyNumberFormat="1" applyFont="1" applyFill="1" applyAlignment="1"/>
    <xf numFmtId="172" fontId="79" fillId="0" borderId="0" xfId="4" applyNumberFormat="1" applyFont="1"/>
    <xf numFmtId="0" fontId="78" fillId="0" borderId="0" xfId="0" applyFont="1" applyAlignment="1">
      <alignment horizontal="center"/>
    </xf>
    <xf numFmtId="0" fontId="59" fillId="0" borderId="0" xfId="0" applyFont="1" applyAlignment="1">
      <alignment horizontal="left" vertical="center" wrapText="1"/>
    </xf>
    <xf numFmtId="44" fontId="76" fillId="0" borderId="0" xfId="1" applyFont="1" applyAlignment="1">
      <alignment horizontal="left" vertical="center"/>
    </xf>
    <xf numFmtId="0" fontId="60" fillId="12" borderId="0" xfId="0" applyFont="1" applyFill="1" applyAlignment="1">
      <alignment horizontal="left" vertical="center"/>
    </xf>
    <xf numFmtId="172" fontId="60" fillId="12" borderId="0" xfId="4" applyNumberFormat="1" applyFont="1" applyFill="1" applyAlignment="1">
      <alignment horizontal="left" vertical="center"/>
    </xf>
    <xf numFmtId="0" fontId="60" fillId="0" borderId="0" xfId="0" applyFont="1" applyAlignment="1">
      <alignment horizontal="left" vertical="center"/>
    </xf>
    <xf numFmtId="172" fontId="60" fillId="0" borderId="0" xfId="4" applyNumberFormat="1" applyFont="1" applyAlignment="1">
      <alignment horizontal="left" vertical="center"/>
    </xf>
    <xf numFmtId="0" fontId="65" fillId="32" borderId="0" xfId="0" applyFont="1" applyFill="1"/>
    <xf numFmtId="172" fontId="65" fillId="32" borderId="0" xfId="4" applyNumberFormat="1" applyFont="1" applyFill="1" applyAlignment="1"/>
    <xf numFmtId="9" fontId="23" fillId="0" borderId="13" xfId="3" applyFont="1" applyFill="1" applyBorder="1" applyAlignment="1">
      <alignment horizontal="center" vertical="center"/>
    </xf>
    <xf numFmtId="164" fontId="46" fillId="0" borderId="13" xfId="1" applyNumberFormat="1" applyFont="1" applyFill="1" applyBorder="1" applyAlignment="1">
      <alignment horizontal="left" vertical="center"/>
    </xf>
    <xf numFmtId="44" fontId="47" fillId="0" borderId="13" xfId="1" applyFont="1" applyFill="1" applyBorder="1" applyAlignment="1">
      <alignment horizontal="left" vertical="center"/>
    </xf>
    <xf numFmtId="9" fontId="46" fillId="0" borderId="4" xfId="3" applyFont="1" applyFill="1" applyBorder="1" applyAlignment="1">
      <alignment horizontal="center" vertical="center"/>
    </xf>
    <xf numFmtId="44" fontId="46" fillId="0" borderId="4" xfId="1" applyFont="1" applyFill="1" applyBorder="1" applyAlignment="1">
      <alignment horizontal="left" vertical="center"/>
    </xf>
    <xf numFmtId="171" fontId="47" fillId="0" borderId="13" xfId="1" applyNumberFormat="1" applyFont="1" applyFill="1" applyBorder="1" applyAlignment="1">
      <alignment horizontal="left" vertical="center"/>
    </xf>
    <xf numFmtId="171" fontId="46" fillId="0" borderId="4" xfId="1" applyNumberFormat="1" applyFont="1" applyFill="1" applyBorder="1" applyAlignment="1">
      <alignment horizontal="left" vertical="center"/>
    </xf>
    <xf numFmtId="171" fontId="49" fillId="0" borderId="13" xfId="1" applyNumberFormat="1" applyFont="1" applyFill="1" applyBorder="1" applyAlignment="1">
      <alignment vertical="center" wrapText="1"/>
    </xf>
    <xf numFmtId="44" fontId="0" fillId="13" borderId="13" xfId="1" applyFont="1" applyFill="1" applyBorder="1" applyAlignment="1">
      <alignment horizontal="left" vertical="center"/>
    </xf>
    <xf numFmtId="0" fontId="12" fillId="13" borderId="2" xfId="0" applyFont="1" applyFill="1" applyBorder="1" applyAlignment="1">
      <alignment vertical="center"/>
    </xf>
    <xf numFmtId="2" fontId="29" fillId="0" borderId="1" xfId="0" applyNumberFormat="1" applyFont="1" applyBorder="1" applyAlignment="1">
      <alignment vertical="center"/>
    </xf>
    <xf numFmtId="0" fontId="29" fillId="0" borderId="40" xfId="0" applyFont="1" applyBorder="1" applyAlignment="1">
      <alignment vertical="center"/>
    </xf>
    <xf numFmtId="0" fontId="29" fillId="0" borderId="41" xfId="0" applyFont="1" applyBorder="1" applyAlignment="1">
      <alignment vertical="center" wrapText="1"/>
    </xf>
    <xf numFmtId="44" fontId="30" fillId="0" borderId="4" xfId="1" applyFont="1" applyBorder="1" applyAlignment="1">
      <alignment vertical="center"/>
    </xf>
    <xf numFmtId="44" fontId="29" fillId="0" borderId="4" xfId="0" applyNumberFormat="1" applyFont="1" applyBorder="1" applyAlignment="1">
      <alignment vertical="center"/>
    </xf>
    <xf numFmtId="164" fontId="29" fillId="0" borderId="4" xfId="0" applyNumberFormat="1" applyFont="1" applyBorder="1" applyAlignment="1">
      <alignment vertical="center"/>
    </xf>
    <xf numFmtId="164" fontId="29" fillId="0" borderId="47" xfId="0" applyNumberFormat="1" applyFont="1" applyBorder="1" applyAlignment="1">
      <alignment vertical="center"/>
    </xf>
    <xf numFmtId="2" fontId="29" fillId="7" borderId="40" xfId="0" applyNumberFormat="1" applyFont="1" applyFill="1" applyBorder="1" applyAlignment="1">
      <alignment vertical="center"/>
    </xf>
    <xf numFmtId="0" fontId="29" fillId="0" borderId="30" xfId="0" applyFont="1" applyBorder="1" applyAlignment="1">
      <alignment vertical="center"/>
    </xf>
    <xf numFmtId="2" fontId="29" fillId="0" borderId="51" xfId="0" applyNumberFormat="1" applyFont="1" applyBorder="1" applyAlignment="1">
      <alignment vertical="center"/>
    </xf>
    <xf numFmtId="0" fontId="29" fillId="0" borderId="23" xfId="0" applyFont="1" applyBorder="1" applyAlignment="1">
      <alignment vertical="center"/>
    </xf>
    <xf numFmtId="0" fontId="29" fillId="0" borderId="20" xfId="0" applyFont="1" applyBorder="1" applyAlignment="1">
      <alignment vertical="center" wrapText="1"/>
    </xf>
    <xf numFmtId="44" fontId="29" fillId="0" borderId="2" xfId="1" applyFont="1" applyBorder="1" applyAlignment="1">
      <alignment vertical="center"/>
    </xf>
    <xf numFmtId="44" fontId="29" fillId="0" borderId="2" xfId="0" applyNumberFormat="1" applyFont="1" applyBorder="1" applyAlignment="1">
      <alignment vertical="center"/>
    </xf>
    <xf numFmtId="164" fontId="29" fillId="0" borderId="2" xfId="0" applyNumberFormat="1" applyFont="1" applyBorder="1" applyAlignment="1">
      <alignment vertical="center"/>
    </xf>
    <xf numFmtId="164" fontId="29" fillId="0" borderId="5" xfId="0" applyNumberFormat="1" applyFont="1" applyBorder="1" applyAlignment="1">
      <alignment vertical="center"/>
    </xf>
    <xf numFmtId="2" fontId="29" fillId="0" borderId="23" xfId="0" applyNumberFormat="1" applyFont="1" applyBorder="1" applyAlignment="1">
      <alignment vertical="center"/>
    </xf>
    <xf numFmtId="0" fontId="29" fillId="0" borderId="24" xfId="0" applyFont="1" applyBorder="1" applyAlignment="1">
      <alignment vertical="center"/>
    </xf>
    <xf numFmtId="0" fontId="29" fillId="0" borderId="31" xfId="0" applyFont="1" applyBorder="1" applyAlignment="1">
      <alignment vertical="center"/>
    </xf>
    <xf numFmtId="0" fontId="29" fillId="0" borderId="33" xfId="0" applyFont="1" applyBorder="1" applyAlignment="1">
      <alignment vertical="center" wrapText="1"/>
    </xf>
    <xf numFmtId="44" fontId="29" fillId="0" borderId="7" xfId="0" applyNumberFormat="1" applyFont="1" applyBorder="1" applyAlignment="1">
      <alignment vertical="center"/>
    </xf>
    <xf numFmtId="164" fontId="29" fillId="0" borderId="7" xfId="0" applyNumberFormat="1" applyFont="1" applyBorder="1" applyAlignment="1">
      <alignment vertical="center"/>
    </xf>
    <xf numFmtId="164" fontId="29" fillId="0" borderId="48" xfId="0" applyNumberFormat="1" applyFont="1" applyBorder="1" applyAlignment="1">
      <alignment vertical="center"/>
    </xf>
    <xf numFmtId="2" fontId="29" fillId="0" borderId="31" xfId="0" applyNumberFormat="1" applyFont="1" applyBorder="1" applyAlignment="1">
      <alignment vertical="center"/>
    </xf>
    <xf numFmtId="0" fontId="29" fillId="0" borderId="32" xfId="0" applyFont="1" applyBorder="1" applyAlignment="1">
      <alignment vertical="center"/>
    </xf>
    <xf numFmtId="2" fontId="29" fillId="0" borderId="52" xfId="0" applyNumberFormat="1" applyFont="1" applyBorder="1" applyAlignment="1">
      <alignment vertical="center"/>
    </xf>
    <xf numFmtId="0" fontId="29" fillId="0" borderId="11" xfId="0" applyFont="1" applyBorder="1" applyAlignment="1">
      <alignment vertical="center"/>
    </xf>
    <xf numFmtId="0" fontId="29" fillId="0" borderId="34" xfId="0" applyFont="1" applyBorder="1" applyAlignment="1">
      <alignment vertical="center" wrapText="1"/>
    </xf>
    <xf numFmtId="44" fontId="29" fillId="0" borderId="12" xfId="0" applyNumberFormat="1" applyFont="1" applyBorder="1" applyAlignment="1">
      <alignment vertical="center"/>
    </xf>
    <xf numFmtId="164" fontId="29" fillId="0" borderId="12" xfId="0" applyNumberFormat="1" applyFont="1" applyBorder="1" applyAlignment="1">
      <alignment vertical="center"/>
    </xf>
    <xf numFmtId="164" fontId="29" fillId="0" borderId="49" xfId="0" applyNumberFormat="1" applyFont="1" applyBorder="1" applyAlignment="1">
      <alignment vertical="center"/>
    </xf>
    <xf numFmtId="2" fontId="29" fillId="0" borderId="11" xfId="0" applyNumberFormat="1" applyFont="1" applyBorder="1" applyAlignment="1">
      <alignment vertical="center"/>
    </xf>
    <xf numFmtId="0" fontId="29" fillId="0" borderId="25" xfId="0" applyFont="1" applyBorder="1" applyAlignment="1">
      <alignment vertical="center"/>
    </xf>
    <xf numFmtId="0" fontId="77" fillId="0" borderId="0" xfId="0" applyFont="1"/>
    <xf numFmtId="0" fontId="65" fillId="0" borderId="0" xfId="0" applyFont="1"/>
    <xf numFmtId="0" fontId="65" fillId="0" borderId="0" xfId="0" applyFont="1" applyAlignment="1">
      <alignment wrapText="1"/>
    </xf>
    <xf numFmtId="0" fontId="60" fillId="9" borderId="0" xfId="0" applyFont="1" applyFill="1"/>
    <xf numFmtId="0" fontId="65" fillId="9" borderId="0" xfId="0" applyFont="1" applyFill="1"/>
    <xf numFmtId="0" fontId="76" fillId="0" borderId="0" xfId="0" applyFont="1"/>
    <xf numFmtId="164" fontId="65" fillId="0" borderId="0" xfId="1" applyNumberFormat="1" applyFont="1" applyAlignment="1">
      <alignment horizontal="left"/>
    </xf>
    <xf numFmtId="0" fontId="60" fillId="0" borderId="0" xfId="0" applyFont="1" applyAlignment="1">
      <alignment horizontal="left"/>
    </xf>
    <xf numFmtId="167" fontId="76" fillId="0" borderId="0" xfId="0" applyNumberFormat="1" applyFont="1"/>
    <xf numFmtId="0" fontId="70" fillId="0" borderId="0" xfId="0" applyFont="1" applyAlignment="1">
      <alignment horizontal="center"/>
    </xf>
    <xf numFmtId="0" fontId="65" fillId="8" borderId="2" xfId="0" applyFont="1" applyFill="1" applyBorder="1" applyAlignment="1">
      <alignment horizontal="center" wrapText="1"/>
    </xf>
    <xf numFmtId="0" fontId="68" fillId="8" borderId="2" xfId="0" applyFont="1" applyFill="1" applyBorder="1" applyAlignment="1">
      <alignment horizontal="center" wrapText="1"/>
    </xf>
    <xf numFmtId="44" fontId="65" fillId="8" borderId="2" xfId="1" applyFont="1" applyFill="1" applyBorder="1" applyAlignment="1">
      <alignment horizontal="center" wrapText="1"/>
    </xf>
    <xf numFmtId="44" fontId="65" fillId="8" borderId="2" xfId="1" applyFont="1" applyFill="1" applyBorder="1" applyAlignment="1">
      <alignment horizontal="center"/>
    </xf>
    <xf numFmtId="0" fontId="70" fillId="6" borderId="2" xfId="0" applyFont="1" applyFill="1" applyBorder="1" applyAlignment="1">
      <alignment horizontal="center" wrapText="1"/>
    </xf>
    <xf numFmtId="0" fontId="70" fillId="6" borderId="4" xfId="0" applyFont="1" applyFill="1" applyBorder="1" applyAlignment="1">
      <alignment horizontal="center" wrapText="1"/>
    </xf>
    <xf numFmtId="0" fontId="65" fillId="18" borderId="2" xfId="0" applyFont="1" applyFill="1" applyBorder="1" applyAlignment="1">
      <alignment horizontal="center"/>
    </xf>
    <xf numFmtId="2" fontId="60" fillId="0" borderId="0" xfId="0" applyNumberFormat="1" applyFont="1"/>
    <xf numFmtId="44" fontId="60" fillId="0" borderId="2" xfId="1" applyFont="1" applyBorder="1"/>
    <xf numFmtId="44" fontId="60" fillId="0" borderId="2" xfId="0" applyNumberFormat="1" applyFont="1" applyBorder="1"/>
    <xf numFmtId="164" fontId="60" fillId="0" borderId="2" xfId="0" applyNumberFormat="1" applyFont="1" applyBorder="1"/>
    <xf numFmtId="2" fontId="60" fillId="0" borderId="2" xfId="0" applyNumberFormat="1" applyFont="1" applyBorder="1"/>
    <xf numFmtId="44" fontId="76" fillId="0" borderId="2" xfId="1" applyFont="1" applyBorder="1"/>
    <xf numFmtId="0" fontId="76" fillId="0" borderId="2" xfId="0" applyFont="1" applyBorder="1"/>
    <xf numFmtId="0" fontId="60" fillId="0" borderId="2" xfId="0" applyFont="1" applyBorder="1" applyAlignment="1">
      <alignment horizontal="center"/>
    </xf>
    <xf numFmtId="169" fontId="60" fillId="0" borderId="0" xfId="1" applyNumberFormat="1" applyFont="1"/>
    <xf numFmtId="168" fontId="60" fillId="0" borderId="0" xfId="0" applyNumberFormat="1" applyFont="1"/>
    <xf numFmtId="2" fontId="82" fillId="0" borderId="0" xfId="0" applyNumberFormat="1" applyFont="1" applyAlignment="1">
      <alignment horizontal="center"/>
    </xf>
    <xf numFmtId="2" fontId="77" fillId="0" borderId="0" xfId="0" applyNumberFormat="1" applyFont="1"/>
    <xf numFmtId="44" fontId="76" fillId="0" borderId="2" xfId="0" applyNumberFormat="1" applyFont="1" applyBorder="1"/>
    <xf numFmtId="0" fontId="60" fillId="0" borderId="2" xfId="0" applyFont="1" applyBorder="1" applyAlignment="1">
      <alignment wrapText="1"/>
    </xf>
    <xf numFmtId="0" fontId="59" fillId="0" borderId="0" xfId="0" applyFont="1"/>
    <xf numFmtId="44" fontId="76" fillId="0" borderId="0" xfId="1" applyFont="1" applyBorder="1"/>
    <xf numFmtId="164" fontId="60" fillId="0" borderId="0" xfId="0" applyNumberFormat="1" applyFont="1"/>
    <xf numFmtId="164" fontId="65" fillId="0" borderId="0" xfId="0" applyNumberFormat="1" applyFont="1"/>
    <xf numFmtId="0" fontId="83" fillId="0" borderId="0" xfId="0" applyFont="1"/>
    <xf numFmtId="44" fontId="60" fillId="0" borderId="0" xfId="1" applyFont="1" applyBorder="1"/>
    <xf numFmtId="44" fontId="76" fillId="0" borderId="0" xfId="0" applyNumberFormat="1" applyFont="1"/>
    <xf numFmtId="44" fontId="65" fillId="0" borderId="26" xfId="1" applyFont="1" applyBorder="1"/>
    <xf numFmtId="164" fontId="65" fillId="0" borderId="26" xfId="1" applyNumberFormat="1" applyFont="1" applyBorder="1"/>
    <xf numFmtId="9" fontId="77" fillId="0" borderId="0" xfId="0" applyNumberFormat="1" applyFont="1"/>
    <xf numFmtId="164" fontId="65" fillId="0" borderId="19" xfId="0" applyNumberFormat="1" applyFont="1" applyBorder="1"/>
    <xf numFmtId="44" fontId="76" fillId="0" borderId="2" xfId="1" applyFont="1" applyFill="1" applyBorder="1"/>
    <xf numFmtId="44" fontId="60" fillId="0" borderId="2" xfId="1" applyFont="1" applyFill="1" applyBorder="1"/>
    <xf numFmtId="9" fontId="76" fillId="0" borderId="0" xfId="0" applyNumberFormat="1" applyFont="1"/>
    <xf numFmtId="0" fontId="76" fillId="11" borderId="2" xfId="0" applyFont="1" applyFill="1" applyBorder="1"/>
    <xf numFmtId="44" fontId="76" fillId="11" borderId="2" xfId="1" applyFont="1" applyFill="1" applyBorder="1"/>
    <xf numFmtId="0" fontId="84" fillId="0" borderId="0" xfId="0" applyFont="1" applyAlignment="1">
      <alignment vertical="center"/>
    </xf>
    <xf numFmtId="164" fontId="84" fillId="0" borderId="0" xfId="1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60" fillId="18" borderId="0" xfId="0" applyFont="1" applyFill="1"/>
    <xf numFmtId="3" fontId="60" fillId="0" borderId="0" xfId="0" applyNumberFormat="1" applyFont="1"/>
    <xf numFmtId="0" fontId="76" fillId="0" borderId="0" xfId="0" applyFont="1" applyAlignment="1">
      <alignment horizontal="center" vertical="center"/>
    </xf>
    <xf numFmtId="0" fontId="87" fillId="0" borderId="0" xfId="0" applyFont="1" applyAlignment="1">
      <alignment vertical="center"/>
    </xf>
    <xf numFmtId="164" fontId="76" fillId="0" borderId="0" xfId="0" applyNumberFormat="1" applyFont="1"/>
    <xf numFmtId="0" fontId="88" fillId="0" borderId="0" xfId="0" applyFont="1" applyAlignment="1">
      <alignment vertical="center"/>
    </xf>
    <xf numFmtId="0" fontId="83" fillId="0" borderId="0" xfId="0" applyFont="1" applyAlignment="1">
      <alignment horizontal="center" vertical="center"/>
    </xf>
    <xf numFmtId="0" fontId="76" fillId="0" borderId="0" xfId="0" applyFont="1" applyAlignment="1">
      <alignment vertical="center"/>
    </xf>
    <xf numFmtId="0" fontId="87" fillId="3" borderId="0" xfId="0" applyFont="1" applyFill="1" applyAlignment="1">
      <alignment vertical="center"/>
    </xf>
    <xf numFmtId="0" fontId="65" fillId="18" borderId="0" xfId="0" applyFont="1" applyFill="1"/>
    <xf numFmtId="0" fontId="90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77" fillId="3" borderId="0" xfId="0" applyFont="1" applyFill="1"/>
    <xf numFmtId="0" fontId="60" fillId="3" borderId="0" xfId="0" applyFont="1" applyFill="1"/>
    <xf numFmtId="0" fontId="65" fillId="3" borderId="0" xfId="0" applyFont="1" applyFill="1"/>
    <xf numFmtId="0" fontId="92" fillId="0" borderId="0" xfId="0" applyFont="1" applyAlignment="1">
      <alignment vertical="center"/>
    </xf>
    <xf numFmtId="0" fontId="93" fillId="0" borderId="0" xfId="0" applyFont="1" applyAlignment="1">
      <alignment vertical="center"/>
    </xf>
    <xf numFmtId="0" fontId="77" fillId="0" borderId="2" xfId="0" applyFont="1" applyBorder="1"/>
    <xf numFmtId="164" fontId="77" fillId="0" borderId="0" xfId="0" applyNumberFormat="1" applyFont="1"/>
    <xf numFmtId="164" fontId="94" fillId="0" borderId="19" xfId="0" applyNumberFormat="1" applyFont="1" applyBorder="1"/>
    <xf numFmtId="0" fontId="101" fillId="0" borderId="0" xfId="0" applyFont="1" applyAlignment="1">
      <alignment vertical="center"/>
    </xf>
    <xf numFmtId="0" fontId="102" fillId="0" borderId="2" xfId="0" applyFont="1" applyBorder="1"/>
    <xf numFmtId="0" fontId="103" fillId="0" borderId="0" xfId="0" applyFont="1"/>
    <xf numFmtId="44" fontId="103" fillId="0" borderId="0" xfId="1" applyFont="1" applyBorder="1"/>
    <xf numFmtId="164" fontId="103" fillId="0" borderId="2" xfId="0" applyNumberFormat="1" applyFont="1" applyBorder="1"/>
    <xf numFmtId="164" fontId="103" fillId="0" borderId="0" xfId="0" applyNumberFormat="1" applyFont="1"/>
    <xf numFmtId="0" fontId="60" fillId="11" borderId="0" xfId="0" applyFont="1" applyFill="1"/>
    <xf numFmtId="0" fontId="59" fillId="0" borderId="2" xfId="0" applyFont="1" applyBorder="1"/>
    <xf numFmtId="0" fontId="105" fillId="0" borderId="2" xfId="0" applyFont="1" applyBorder="1"/>
    <xf numFmtId="0" fontId="105" fillId="0" borderId="0" xfId="0" applyFont="1"/>
    <xf numFmtId="44" fontId="105" fillId="0" borderId="0" xfId="1" applyFont="1" applyBorder="1"/>
    <xf numFmtId="164" fontId="105" fillId="0" borderId="2" xfId="0" applyNumberFormat="1" applyFont="1" applyBorder="1"/>
    <xf numFmtId="164" fontId="105" fillId="0" borderId="0" xfId="0" applyNumberFormat="1" applyFont="1"/>
    <xf numFmtId="0" fontId="105" fillId="11" borderId="0" xfId="0" applyFont="1" applyFill="1"/>
    <xf numFmtId="164" fontId="105" fillId="0" borderId="0" xfId="1" applyNumberFormat="1" applyFont="1" applyBorder="1"/>
    <xf numFmtId="0" fontId="77" fillId="0" borderId="0" xfId="0" applyFont="1" applyAlignment="1">
      <alignment horizontal="right"/>
    </xf>
    <xf numFmtId="9" fontId="60" fillId="0" borderId="0" xfId="3" applyFont="1"/>
    <xf numFmtId="0" fontId="106" fillId="22" borderId="19" xfId="0" applyFont="1" applyFill="1" applyBorder="1"/>
    <xf numFmtId="0" fontId="106" fillId="22" borderId="0" xfId="0" applyFont="1" applyFill="1"/>
    <xf numFmtId="0" fontId="60" fillId="22" borderId="0" xfId="0" applyFont="1" applyFill="1"/>
    <xf numFmtId="44" fontId="60" fillId="11" borderId="0" xfId="1" applyFont="1" applyFill="1"/>
    <xf numFmtId="0" fontId="60" fillId="0" borderId="0" xfId="0" applyFont="1" applyAlignment="1">
      <alignment horizontal="center"/>
    </xf>
    <xf numFmtId="0" fontId="77" fillId="3" borderId="2" xfId="0" applyFont="1" applyFill="1" applyBorder="1" applyAlignment="1">
      <alignment wrapText="1"/>
    </xf>
    <xf numFmtId="0" fontId="107" fillId="0" borderId="0" xfId="0" applyFont="1" applyAlignment="1">
      <alignment vertical="top" wrapText="1"/>
    </xf>
    <xf numFmtId="0" fontId="60" fillId="0" borderId="0" xfId="0" applyFont="1" applyAlignment="1">
      <alignment wrapText="1"/>
    </xf>
    <xf numFmtId="166" fontId="60" fillId="0" borderId="0" xfId="1" applyNumberFormat="1" applyFont="1" applyFill="1" applyAlignment="1">
      <alignment horizontal="center"/>
    </xf>
    <xf numFmtId="0" fontId="68" fillId="8" borderId="35" xfId="0" applyFont="1" applyFill="1" applyBorder="1" applyAlignment="1">
      <alignment horizontal="center" wrapText="1"/>
    </xf>
    <xf numFmtId="0" fontId="65" fillId="8" borderId="27" xfId="0" applyFont="1" applyFill="1" applyBorder="1" applyAlignment="1">
      <alignment horizontal="center" wrapText="1"/>
    </xf>
    <xf numFmtId="0" fontId="68" fillId="8" borderId="27" xfId="0" applyFont="1" applyFill="1" applyBorder="1" applyAlignment="1">
      <alignment horizontal="center" wrapText="1"/>
    </xf>
    <xf numFmtId="44" fontId="65" fillId="8" borderId="27" xfId="1" applyFont="1" applyFill="1" applyBorder="1" applyAlignment="1">
      <alignment horizontal="center" wrapText="1"/>
    </xf>
    <xf numFmtId="44" fontId="65" fillId="8" borderId="27" xfId="1" applyFont="1" applyFill="1" applyBorder="1" applyAlignment="1">
      <alignment horizontal="center"/>
    </xf>
    <xf numFmtId="44" fontId="65" fillId="8" borderId="55" xfId="1" applyFont="1" applyFill="1" applyBorder="1" applyAlignment="1">
      <alignment horizontal="center" wrapText="1"/>
    </xf>
    <xf numFmtId="0" fontId="70" fillId="6" borderId="31" xfId="0" applyFont="1" applyFill="1" applyBorder="1" applyAlignment="1">
      <alignment horizontal="center" wrapText="1"/>
    </xf>
    <xf numFmtId="0" fontId="70" fillId="6" borderId="22" xfId="0" applyFont="1" applyFill="1" applyBorder="1" applyAlignment="1">
      <alignment horizontal="center" wrapText="1"/>
    </xf>
    <xf numFmtId="0" fontId="70" fillId="14" borderId="31" xfId="0" applyFont="1" applyFill="1" applyBorder="1" applyAlignment="1">
      <alignment horizontal="center" wrapText="1"/>
    </xf>
    <xf numFmtId="0" fontId="70" fillId="14" borderId="22" xfId="0" applyFont="1" applyFill="1" applyBorder="1" applyAlignment="1">
      <alignment horizontal="center" wrapText="1"/>
    </xf>
    <xf numFmtId="2" fontId="61" fillId="0" borderId="8" xfId="0" applyNumberFormat="1" applyFont="1" applyBorder="1"/>
    <xf numFmtId="0" fontId="63" fillId="0" borderId="9" xfId="0" applyFont="1" applyBorder="1" applyAlignment="1">
      <alignment wrapText="1"/>
    </xf>
    <xf numFmtId="0" fontId="63" fillId="0" borderId="9" xfId="0" applyFont="1" applyBorder="1" applyAlignment="1">
      <alignment horizontal="center" wrapText="1"/>
    </xf>
    <xf numFmtId="44" fontId="60" fillId="0" borderId="9" xfId="1" applyFont="1" applyBorder="1"/>
    <xf numFmtId="44" fontId="60" fillId="0" borderId="9" xfId="0" applyNumberFormat="1" applyFont="1" applyBorder="1"/>
    <xf numFmtId="164" fontId="60" fillId="0" borderId="28" xfId="0" applyNumberFormat="1" applyFont="1" applyBorder="1"/>
    <xf numFmtId="164" fontId="60" fillId="0" borderId="35" xfId="0" applyNumberFormat="1" applyFont="1" applyBorder="1"/>
    <xf numFmtId="165" fontId="108" fillId="0" borderId="9" xfId="0" applyNumberFormat="1" applyFont="1" applyBorder="1" applyAlignment="1">
      <alignment horizontal="center" vertical="center" wrapText="1"/>
    </xf>
    <xf numFmtId="0" fontId="60" fillId="0" borderId="28" xfId="0" applyFont="1" applyBorder="1"/>
    <xf numFmtId="2" fontId="60" fillId="0" borderId="9" xfId="0" applyNumberFormat="1" applyFont="1" applyBorder="1"/>
    <xf numFmtId="0" fontId="60" fillId="0" borderId="10" xfId="0" applyFont="1" applyBorder="1"/>
    <xf numFmtId="0" fontId="60" fillId="0" borderId="9" xfId="0" applyFont="1" applyBorder="1"/>
    <xf numFmtId="2" fontId="61" fillId="0" borderId="23" xfId="0" applyNumberFormat="1" applyFont="1" applyBorder="1"/>
    <xf numFmtId="0" fontId="63" fillId="0" borderId="2" xfId="0" applyFont="1" applyBorder="1" applyAlignment="1">
      <alignment horizontal="center" wrapText="1"/>
    </xf>
    <xf numFmtId="164" fontId="60" fillId="0" borderId="5" xfId="0" applyNumberFormat="1" applyFont="1" applyBorder="1"/>
    <xf numFmtId="165" fontId="108" fillId="0" borderId="2" xfId="0" applyNumberFormat="1" applyFont="1" applyBorder="1" applyAlignment="1">
      <alignment horizontal="center" vertical="center" wrapText="1"/>
    </xf>
    <xf numFmtId="0" fontId="60" fillId="0" borderId="5" xfId="0" applyFont="1" applyBorder="1"/>
    <xf numFmtId="0" fontId="60" fillId="0" borderId="24" xfId="0" applyFont="1" applyBorder="1"/>
    <xf numFmtId="44" fontId="60" fillId="0" borderId="20" xfId="0" applyNumberFormat="1" applyFont="1" applyBorder="1"/>
    <xf numFmtId="2" fontId="61" fillId="0" borderId="11" xfId="0" applyNumberFormat="1" applyFont="1" applyBorder="1"/>
    <xf numFmtId="0" fontId="63" fillId="0" borderId="12" xfId="0" applyFont="1" applyBorder="1" applyAlignment="1">
      <alignment wrapText="1"/>
    </xf>
    <xf numFmtId="0" fontId="63" fillId="0" borderId="12" xfId="0" applyFont="1" applyBorder="1" applyAlignment="1">
      <alignment horizontal="center" wrapText="1"/>
    </xf>
    <xf numFmtId="44" fontId="60" fillId="0" borderId="12" xfId="0" applyNumberFormat="1" applyFont="1" applyBorder="1"/>
    <xf numFmtId="164" fontId="60" fillId="0" borderId="49" xfId="0" applyNumberFormat="1" applyFont="1" applyBorder="1"/>
    <xf numFmtId="164" fontId="60" fillId="0" borderId="40" xfId="0" applyNumberFormat="1" applyFont="1" applyBorder="1"/>
    <xf numFmtId="165" fontId="108" fillId="0" borderId="12" xfId="0" applyNumberFormat="1" applyFont="1" applyBorder="1" applyAlignment="1">
      <alignment horizontal="center" vertical="center" wrapText="1"/>
    </xf>
    <xf numFmtId="0" fontId="60" fillId="0" borderId="49" xfId="0" applyFont="1" applyBorder="1"/>
    <xf numFmtId="2" fontId="60" fillId="0" borderId="12" xfId="0" applyNumberFormat="1" applyFont="1" applyBorder="1"/>
    <xf numFmtId="0" fontId="60" fillId="0" borderId="25" xfId="0" applyFont="1" applyBorder="1"/>
    <xf numFmtId="0" fontId="60" fillId="0" borderId="12" xfId="0" applyFont="1" applyBorder="1"/>
    <xf numFmtId="44" fontId="60" fillId="0" borderId="12" xfId="1" applyFont="1" applyBorder="1"/>
    <xf numFmtId="44" fontId="60" fillId="0" borderId="34" xfId="0" applyNumberFormat="1" applyFont="1" applyBorder="1"/>
    <xf numFmtId="164" fontId="60" fillId="0" borderId="56" xfId="0" applyNumberFormat="1" applyFont="1" applyBorder="1"/>
    <xf numFmtId="0" fontId="60" fillId="0" borderId="9" xfId="0" applyFont="1" applyBorder="1" applyAlignment="1">
      <alignment horizontal="center"/>
    </xf>
    <xf numFmtId="0" fontId="60" fillId="0" borderId="4" xfId="0" applyFont="1" applyBorder="1"/>
    <xf numFmtId="0" fontId="60" fillId="0" borderId="30" xfId="0" applyFont="1" applyBorder="1"/>
    <xf numFmtId="44" fontId="60" fillId="0" borderId="40" xfId="0" applyNumberFormat="1" applyFont="1" applyBorder="1"/>
    <xf numFmtId="44" fontId="60" fillId="0" borderId="8" xfId="0" applyNumberFormat="1" applyFont="1" applyBorder="1"/>
    <xf numFmtId="2" fontId="61" fillId="0" borderId="40" xfId="0" applyNumberFormat="1" applyFont="1" applyBorder="1"/>
    <xf numFmtId="0" fontId="63" fillId="0" borderId="4" xfId="0" applyFont="1" applyBorder="1" applyAlignment="1">
      <alignment wrapText="1"/>
    </xf>
    <xf numFmtId="0" fontId="60" fillId="0" borderId="4" xfId="0" applyFont="1" applyBorder="1" applyAlignment="1">
      <alignment horizontal="center"/>
    </xf>
    <xf numFmtId="164" fontId="60" fillId="0" borderId="47" xfId="0" applyNumberFormat="1" applyFont="1" applyBorder="1"/>
    <xf numFmtId="0" fontId="60" fillId="0" borderId="23" xfId="0" applyFont="1" applyBorder="1"/>
    <xf numFmtId="44" fontId="60" fillId="0" borderId="23" xfId="0" applyNumberFormat="1" applyFont="1" applyBorder="1"/>
    <xf numFmtId="164" fontId="60" fillId="0" borderId="23" xfId="0" applyNumberFormat="1" applyFont="1" applyBorder="1"/>
    <xf numFmtId="0" fontId="60" fillId="0" borderId="12" xfId="0" applyFont="1" applyBorder="1" applyAlignment="1">
      <alignment horizontal="center"/>
    </xf>
    <xf numFmtId="164" fontId="60" fillId="0" borderId="11" xfId="0" applyNumberFormat="1" applyFont="1" applyBorder="1"/>
    <xf numFmtId="44" fontId="60" fillId="0" borderId="11" xfId="0" applyNumberFormat="1" applyFont="1" applyBorder="1"/>
    <xf numFmtId="2" fontId="61" fillId="0" borderId="0" xfId="0" applyNumberFormat="1" applyFont="1"/>
    <xf numFmtId="0" fontId="63" fillId="0" borderId="0" xfId="0" applyFont="1" applyAlignment="1">
      <alignment wrapText="1"/>
    </xf>
    <xf numFmtId="164" fontId="60" fillId="0" borderId="19" xfId="0" applyNumberFormat="1" applyFont="1" applyBorder="1"/>
    <xf numFmtId="0" fontId="105" fillId="0" borderId="5" xfId="0" applyFont="1" applyBorder="1"/>
    <xf numFmtId="0" fontId="105" fillId="0" borderId="53" xfId="0" applyFont="1" applyBorder="1"/>
    <xf numFmtId="44" fontId="105" fillId="0" borderId="53" xfId="1" applyFont="1" applyBorder="1"/>
    <xf numFmtId="164" fontId="105" fillId="0" borderId="53" xfId="0" applyNumberFormat="1" applyFont="1" applyBorder="1"/>
    <xf numFmtId="0" fontId="105" fillId="0" borderId="20" xfId="0" applyFont="1" applyBorder="1"/>
    <xf numFmtId="44" fontId="65" fillId="0" borderId="0" xfId="1" applyFont="1" applyBorder="1"/>
    <xf numFmtId="0" fontId="60" fillId="0" borderId="35" xfId="0" applyFont="1" applyBorder="1"/>
    <xf numFmtId="2" fontId="61" fillId="0" borderId="31" xfId="0" applyNumberFormat="1" applyFont="1" applyBorder="1"/>
    <xf numFmtId="0" fontId="63" fillId="0" borderId="7" xfId="0" applyFont="1" applyBorder="1" applyAlignment="1">
      <alignment wrapText="1"/>
    </xf>
    <xf numFmtId="0" fontId="63" fillId="0" borderId="7" xfId="0" applyFont="1" applyBorder="1" applyAlignment="1">
      <alignment horizontal="center" wrapText="1"/>
    </xf>
    <xf numFmtId="44" fontId="60" fillId="0" borderId="7" xfId="0" applyNumberFormat="1" applyFont="1" applyBorder="1"/>
    <xf numFmtId="164" fontId="60" fillId="0" borderId="48" xfId="0" applyNumberFormat="1" applyFont="1" applyBorder="1"/>
    <xf numFmtId="164" fontId="60" fillId="0" borderId="57" xfId="0" applyNumberFormat="1" applyFont="1" applyBorder="1"/>
    <xf numFmtId="165" fontId="108" fillId="0" borderId="7" xfId="0" applyNumberFormat="1" applyFont="1" applyBorder="1" applyAlignment="1">
      <alignment horizontal="center" vertical="center" wrapText="1"/>
    </xf>
    <xf numFmtId="0" fontId="60" fillId="0" borderId="32" xfId="0" applyFont="1" applyBorder="1"/>
    <xf numFmtId="2" fontId="60" fillId="0" borderId="7" xfId="0" applyNumberFormat="1" applyFont="1" applyBorder="1"/>
    <xf numFmtId="164" fontId="60" fillId="0" borderId="8" xfId="0" applyNumberFormat="1" applyFont="1" applyBorder="1"/>
    <xf numFmtId="44" fontId="105" fillId="0" borderId="0" xfId="1" applyFont="1"/>
    <xf numFmtId="0" fontId="109" fillId="0" borderId="0" xfId="0" applyFont="1" applyAlignment="1">
      <alignment vertical="center"/>
    </xf>
    <xf numFmtId="44" fontId="60" fillId="0" borderId="9" xfId="1" applyFont="1" applyFill="1" applyBorder="1"/>
    <xf numFmtId="2" fontId="108" fillId="0" borderId="37" xfId="0" applyNumberFormat="1" applyFont="1" applyBorder="1" applyAlignment="1">
      <alignment horizontal="center" vertical="center" wrapText="1"/>
    </xf>
    <xf numFmtId="0" fontId="60" fillId="0" borderId="61" xfId="0" applyFont="1" applyBorder="1"/>
    <xf numFmtId="2" fontId="108" fillId="0" borderId="2" xfId="0" applyNumberFormat="1" applyFont="1" applyBorder="1" applyAlignment="1">
      <alignment horizontal="center" vertical="center" wrapText="1"/>
    </xf>
    <xf numFmtId="170" fontId="108" fillId="0" borderId="2" xfId="0" applyNumberFormat="1" applyFont="1" applyBorder="1" applyAlignment="1">
      <alignment horizontal="center" vertical="center" wrapText="1"/>
    </xf>
    <xf numFmtId="2" fontId="60" fillId="0" borderId="4" xfId="0" applyNumberFormat="1" applyFont="1" applyBorder="1"/>
    <xf numFmtId="0" fontId="60" fillId="0" borderId="53" xfId="0" applyFont="1" applyBorder="1"/>
    <xf numFmtId="0" fontId="60" fillId="0" borderId="20" xfId="0" applyFont="1" applyBorder="1"/>
    <xf numFmtId="0" fontId="65" fillId="3" borderId="0" xfId="0" applyFont="1" applyFill="1" applyAlignment="1">
      <alignment wrapText="1"/>
    </xf>
    <xf numFmtId="0" fontId="110" fillId="0" borderId="5" xfId="0" applyFont="1" applyBorder="1"/>
    <xf numFmtId="0" fontId="111" fillId="0" borderId="2" xfId="0" applyFont="1" applyBorder="1"/>
    <xf numFmtId="0" fontId="110" fillId="0" borderId="53" xfId="0" applyFont="1" applyBorder="1"/>
    <xf numFmtId="44" fontId="110" fillId="0" borderId="53" xfId="1" applyFont="1" applyBorder="1"/>
    <xf numFmtId="164" fontId="110" fillId="0" borderId="2" xfId="0" applyNumberFormat="1" applyFont="1" applyBorder="1"/>
    <xf numFmtId="164" fontId="110" fillId="0" borderId="53" xfId="0" applyNumberFormat="1" applyFont="1" applyBorder="1"/>
    <xf numFmtId="0" fontId="110" fillId="0" borderId="20" xfId="0" applyFont="1" applyBorder="1"/>
    <xf numFmtId="0" fontId="110" fillId="0" borderId="0" xfId="0" applyFont="1"/>
    <xf numFmtId="0" fontId="110" fillId="11" borderId="0" xfId="0" applyFont="1" applyFill="1"/>
    <xf numFmtId="44" fontId="110" fillId="0" borderId="0" xfId="1" applyFont="1"/>
    <xf numFmtId="2" fontId="65" fillId="0" borderId="0" xfId="0" applyNumberFormat="1" applyFont="1"/>
    <xf numFmtId="44" fontId="65" fillId="0" borderId="19" xfId="0" applyNumberFormat="1" applyFont="1" applyBorder="1"/>
    <xf numFmtId="3" fontId="60" fillId="0" borderId="19" xfId="0" applyNumberFormat="1" applyFont="1" applyBorder="1"/>
    <xf numFmtId="0" fontId="82" fillId="0" borderId="0" xfId="0" applyFont="1" applyAlignment="1">
      <alignment horizontal="center"/>
    </xf>
    <xf numFmtId="164" fontId="60" fillId="0" borderId="7" xfId="0" applyNumberFormat="1" applyFont="1" applyBorder="1"/>
    <xf numFmtId="0" fontId="77" fillId="11" borderId="2" xfId="0" applyFont="1" applyFill="1" applyBorder="1" applyAlignment="1">
      <alignment wrapText="1"/>
    </xf>
    <xf numFmtId="44" fontId="60" fillId="0" borderId="19" xfId="0" applyNumberFormat="1" applyFont="1" applyBorder="1"/>
    <xf numFmtId="0" fontId="60" fillId="0" borderId="19" xfId="0" applyFont="1" applyBorder="1"/>
    <xf numFmtId="2" fontId="60" fillId="0" borderId="19" xfId="0" applyNumberFormat="1" applyFont="1" applyBorder="1"/>
    <xf numFmtId="0" fontId="77" fillId="11" borderId="2" xfId="0" applyFont="1" applyFill="1" applyBorder="1"/>
    <xf numFmtId="164" fontId="65" fillId="0" borderId="0" xfId="1" applyNumberFormat="1" applyFont="1"/>
    <xf numFmtId="0" fontId="77" fillId="3" borderId="2" xfId="0" applyFont="1" applyFill="1" applyBorder="1"/>
    <xf numFmtId="0" fontId="112" fillId="0" borderId="2" xfId="0" applyFont="1" applyBorder="1"/>
    <xf numFmtId="0" fontId="113" fillId="0" borderId="0" xfId="0" applyFont="1"/>
    <xf numFmtId="44" fontId="113" fillId="0" borderId="0" xfId="1" applyFont="1" applyBorder="1"/>
    <xf numFmtId="164" fontId="113" fillId="0" borderId="2" xfId="0" applyNumberFormat="1" applyFont="1" applyBorder="1"/>
    <xf numFmtId="164" fontId="113" fillId="0" borderId="0" xfId="0" applyNumberFormat="1" applyFont="1"/>
    <xf numFmtId="0" fontId="114" fillId="0" borderId="0" xfId="0" applyFont="1"/>
    <xf numFmtId="0" fontId="114" fillId="0" borderId="0" xfId="0" applyFont="1" applyAlignment="1">
      <alignment horizontal="center" vertical="center"/>
    </xf>
    <xf numFmtId="164" fontId="114" fillId="0" borderId="0" xfId="1" applyNumberFormat="1" applyFont="1"/>
    <xf numFmtId="0" fontId="114" fillId="0" borderId="0" xfId="0" applyFont="1" applyAlignment="1">
      <alignment horizontal="center"/>
    </xf>
    <xf numFmtId="0" fontId="114" fillId="0" borderId="2" xfId="0" applyFont="1" applyBorder="1" applyAlignment="1">
      <alignment horizontal="center"/>
    </xf>
    <xf numFmtId="164" fontId="114" fillId="0" borderId="2" xfId="1" applyNumberFormat="1" applyFont="1" applyBorder="1"/>
    <xf numFmtId="44" fontId="114" fillId="0" borderId="2" xfId="1" applyFont="1" applyBorder="1"/>
    <xf numFmtId="164" fontId="116" fillId="0" borderId="0" xfId="0" applyNumberFormat="1" applyFont="1"/>
    <xf numFmtId="0" fontId="116" fillId="0" borderId="0" xfId="0" applyFont="1"/>
    <xf numFmtId="0" fontId="117" fillId="0" borderId="0" xfId="0" applyFont="1"/>
    <xf numFmtId="164" fontId="116" fillId="0" borderId="0" xfId="1" applyNumberFormat="1" applyFont="1"/>
    <xf numFmtId="164" fontId="114" fillId="0" borderId="0" xfId="1" applyNumberFormat="1" applyFont="1" applyBorder="1"/>
    <xf numFmtId="164" fontId="115" fillId="0" borderId="0" xfId="1" applyNumberFormat="1" applyFont="1" applyBorder="1" applyAlignment="1">
      <alignment horizontal="left" vertical="center"/>
    </xf>
    <xf numFmtId="164" fontId="115" fillId="0" borderId="59" xfId="1" applyNumberFormat="1" applyFont="1" applyBorder="1"/>
    <xf numFmtId="164" fontId="117" fillId="0" borderId="0" xfId="1" applyNumberFormat="1" applyFont="1"/>
    <xf numFmtId="0" fontId="115" fillId="0" borderId="59" xfId="0" applyFont="1" applyBorder="1" applyAlignment="1">
      <alignment horizontal="center"/>
    </xf>
    <xf numFmtId="0" fontId="114" fillId="0" borderId="23" xfId="0" applyFont="1" applyBorder="1"/>
    <xf numFmtId="0" fontId="114" fillId="0" borderId="11" xfId="0" applyFont="1" applyBorder="1"/>
    <xf numFmtId="0" fontId="114" fillId="0" borderId="12" xfId="0" applyFont="1" applyBorder="1" applyAlignment="1">
      <alignment horizontal="center"/>
    </xf>
    <xf numFmtId="164" fontId="114" fillId="0" borderId="12" xfId="1" applyNumberFormat="1" applyFont="1" applyBorder="1"/>
    <xf numFmtId="0" fontId="114" fillId="0" borderId="40" xfId="0" applyFont="1" applyBorder="1"/>
    <xf numFmtId="0" fontId="114" fillId="0" borderId="4" xfId="0" applyFont="1" applyBorder="1" applyAlignment="1">
      <alignment horizontal="center"/>
    </xf>
    <xf numFmtId="164" fontId="114" fillId="0" borderId="4" xfId="1" applyNumberFormat="1" applyFont="1" applyBorder="1"/>
    <xf numFmtId="44" fontId="114" fillId="0" borderId="4" xfId="1" applyFont="1" applyBorder="1"/>
    <xf numFmtId="0" fontId="115" fillId="0" borderId="42" xfId="0" applyFont="1" applyBorder="1" applyAlignment="1">
      <alignment horizontal="center" vertical="center"/>
    </xf>
    <xf numFmtId="0" fontId="115" fillId="0" borderId="44" xfId="0" applyFont="1" applyBorder="1" applyAlignment="1">
      <alignment horizontal="center" vertical="center"/>
    </xf>
    <xf numFmtId="0" fontId="115" fillId="0" borderId="44" xfId="0" applyFont="1" applyBorder="1" applyAlignment="1">
      <alignment horizontal="center" vertical="center" wrapText="1"/>
    </xf>
    <xf numFmtId="0" fontId="115" fillId="0" borderId="45" xfId="0" applyFont="1" applyBorder="1" applyAlignment="1">
      <alignment horizontal="center" vertical="center" wrapText="1"/>
    </xf>
    <xf numFmtId="164" fontId="44" fillId="0" borderId="2" xfId="1" applyNumberFormat="1" applyFont="1" applyFill="1" applyBorder="1" applyAlignment="1">
      <alignment horizontal="center" vertical="center" wrapText="1"/>
    </xf>
    <xf numFmtId="0" fontId="12" fillId="0" borderId="5" xfId="0" applyFont="1" applyBorder="1"/>
    <xf numFmtId="44" fontId="63" fillId="19" borderId="2" xfId="1" applyFont="1" applyFill="1" applyBorder="1" applyAlignment="1">
      <alignment vertical="center" wrapText="1"/>
    </xf>
    <xf numFmtId="44" fontId="63" fillId="0" borderId="2" xfId="1" applyFont="1" applyBorder="1" applyAlignment="1">
      <alignment vertical="center" wrapText="1"/>
    </xf>
    <xf numFmtId="49" fontId="63" fillId="0" borderId="2" xfId="0" applyNumberFormat="1" applyFont="1" applyBorder="1" applyAlignment="1">
      <alignment horizontal="center" vertical="center" wrapText="1"/>
    </xf>
    <xf numFmtId="49" fontId="63" fillId="0" borderId="2" xfId="0" applyNumberFormat="1" applyFont="1" applyBorder="1" applyAlignment="1">
      <alignment horizontal="right" vertical="center"/>
    </xf>
    <xf numFmtId="0" fontId="119" fillId="0" borderId="2" xfId="0" applyFont="1" applyBorder="1" applyAlignment="1">
      <alignment vertical="center" wrapText="1"/>
    </xf>
    <xf numFmtId="0" fontId="63" fillId="0" borderId="2" xfId="0" applyFont="1" applyBorder="1" applyAlignment="1">
      <alignment horizontal="center" vertical="center" wrapText="1"/>
    </xf>
    <xf numFmtId="0" fontId="63" fillId="0" borderId="2" xfId="0" applyFont="1" applyBorder="1" applyAlignment="1">
      <alignment vertical="center" wrapText="1"/>
    </xf>
    <xf numFmtId="0" fontId="63" fillId="0" borderId="0" xfId="0" applyFont="1" applyAlignment="1">
      <alignment vertical="center" wrapText="1"/>
    </xf>
    <xf numFmtId="164" fontId="63" fillId="0" borderId="0" xfId="1" applyNumberFormat="1" applyFont="1" applyAlignment="1">
      <alignment vertical="center" wrapText="1"/>
    </xf>
    <xf numFmtId="0" fontId="63" fillId="9" borderId="4" xfId="0" applyFont="1" applyFill="1" applyBorder="1" applyAlignment="1">
      <alignment horizontal="center" vertical="center" wrapText="1"/>
    </xf>
    <xf numFmtId="49" fontId="63" fillId="0" borderId="4" xfId="0" applyNumberFormat="1" applyFont="1" applyBorder="1" applyAlignment="1">
      <alignment horizontal="center" vertical="center" wrapText="1"/>
    </xf>
    <xf numFmtId="0" fontId="69" fillId="5" borderId="16" xfId="0" applyFont="1" applyFill="1" applyBorder="1" applyAlignment="1">
      <alignment horizontal="center" vertical="center" wrapText="1"/>
    </xf>
    <xf numFmtId="0" fontId="69" fillId="5" borderId="63" xfId="0" applyFont="1" applyFill="1" applyBorder="1" applyAlignment="1">
      <alignment horizontal="center" vertical="center" wrapText="1"/>
    </xf>
    <xf numFmtId="0" fontId="69" fillId="5" borderId="17" xfId="0" applyFont="1" applyFill="1" applyBorder="1" applyAlignment="1">
      <alignment horizontal="center" vertical="center" wrapText="1"/>
    </xf>
    <xf numFmtId="44" fontId="69" fillId="5" borderId="17" xfId="1" applyFont="1" applyFill="1" applyBorder="1" applyAlignment="1">
      <alignment horizontal="center" vertical="center" wrapText="1"/>
    </xf>
    <xf numFmtId="44" fontId="69" fillId="5" borderId="18" xfId="1" applyFont="1" applyFill="1" applyBorder="1" applyAlignment="1">
      <alignment horizontal="center" vertical="center" wrapText="1"/>
    </xf>
    <xf numFmtId="44" fontId="69" fillId="5" borderId="39" xfId="1" applyFont="1" applyFill="1" applyBorder="1" applyAlignment="1">
      <alignment horizontal="center" vertical="center" wrapText="1"/>
    </xf>
    <xf numFmtId="0" fontId="69" fillId="0" borderId="0" xfId="0" applyFont="1" applyAlignment="1">
      <alignment horizontal="center" vertical="center" wrapText="1"/>
    </xf>
    <xf numFmtId="49" fontId="63" fillId="32" borderId="4" xfId="0" applyNumberFormat="1" applyFont="1" applyFill="1" applyBorder="1" applyAlignment="1">
      <alignment horizontal="center" vertical="center" wrapText="1"/>
    </xf>
    <xf numFmtId="49" fontId="63" fillId="32" borderId="4" xfId="0" applyNumberFormat="1" applyFont="1" applyFill="1" applyBorder="1" applyAlignment="1">
      <alignment horizontal="right" vertical="center"/>
    </xf>
    <xf numFmtId="0" fontId="75" fillId="32" borderId="4" xfId="0" applyFont="1" applyFill="1" applyBorder="1" applyAlignment="1">
      <alignment vertical="center" wrapText="1"/>
    </xf>
    <xf numFmtId="0" fontId="63" fillId="32" borderId="2" xfId="0" applyFont="1" applyFill="1" applyBorder="1" applyAlignment="1">
      <alignment horizontal="center" vertical="center" wrapText="1"/>
    </xf>
    <xf numFmtId="44" fontId="63" fillId="32" borderId="2" xfId="1" applyFont="1" applyFill="1" applyBorder="1" applyAlignment="1">
      <alignment vertical="center" wrapText="1"/>
    </xf>
    <xf numFmtId="0" fontId="63" fillId="32" borderId="2" xfId="0" applyFont="1" applyFill="1" applyBorder="1" applyAlignment="1">
      <alignment vertical="center" wrapText="1"/>
    </xf>
    <xf numFmtId="0" fontId="87" fillId="0" borderId="0" xfId="0" applyFont="1" applyAlignment="1">
      <alignment horizontal="center" vertical="center"/>
    </xf>
    <xf numFmtId="49" fontId="63" fillId="9" borderId="2" xfId="0" applyNumberFormat="1" applyFont="1" applyFill="1" applyBorder="1" applyAlignment="1">
      <alignment horizontal="center" vertical="center" wrapText="1"/>
    </xf>
    <xf numFmtId="0" fontId="64" fillId="0" borderId="2" xfId="0" applyFont="1" applyBorder="1" applyAlignment="1">
      <alignment vertical="center" wrapText="1"/>
    </xf>
    <xf numFmtId="0" fontId="73" fillId="0" borderId="0" xfId="0" applyFont="1" applyAlignment="1">
      <alignment vertical="center" wrapText="1"/>
    </xf>
    <xf numFmtId="0" fontId="63" fillId="0" borderId="0" xfId="0" applyFont="1" applyAlignment="1">
      <alignment horizontal="center" vertical="center" wrapText="1"/>
    </xf>
    <xf numFmtId="0" fontId="63" fillId="29" borderId="0" xfId="0" applyFont="1" applyFill="1" applyAlignment="1">
      <alignment vertical="center" wrapText="1"/>
    </xf>
    <xf numFmtId="44" fontId="63" fillId="0" borderId="0" xfId="1" applyFont="1" applyAlignment="1">
      <alignment vertical="center" wrapText="1"/>
    </xf>
    <xf numFmtId="0" fontId="63" fillId="0" borderId="4" xfId="0" applyFont="1" applyBorder="1" applyAlignment="1">
      <alignment vertical="center" wrapText="1"/>
    </xf>
    <xf numFmtId="44" fontId="63" fillId="0" borderId="4" xfId="1" applyFont="1" applyBorder="1" applyAlignment="1">
      <alignment vertical="center" wrapText="1"/>
    </xf>
    <xf numFmtId="0" fontId="63" fillId="0" borderId="4" xfId="0" applyFont="1" applyBorder="1" applyAlignment="1">
      <alignment horizontal="center" vertical="center" wrapText="1"/>
    </xf>
    <xf numFmtId="44" fontId="71" fillId="0" borderId="2" xfId="1" applyFont="1" applyBorder="1" applyAlignment="1">
      <alignment vertical="center" wrapText="1"/>
    </xf>
    <xf numFmtId="0" fontId="63" fillId="0" borderId="41" xfId="0" applyFont="1" applyBorder="1" applyAlignment="1">
      <alignment vertical="center" wrapText="1"/>
    </xf>
    <xf numFmtId="44" fontId="63" fillId="0" borderId="2" xfId="1" applyFont="1" applyFill="1" applyBorder="1" applyAlignment="1">
      <alignment vertical="center" wrapText="1"/>
    </xf>
    <xf numFmtId="0" fontId="63" fillId="0" borderId="2" xfId="0" applyFont="1" applyBorder="1" applyAlignment="1">
      <alignment vertical="center"/>
    </xf>
    <xf numFmtId="0" fontId="63" fillId="22" borderId="2" xfId="0" applyFont="1" applyFill="1" applyBorder="1" applyAlignment="1">
      <alignment vertical="center"/>
    </xf>
    <xf numFmtId="0" fontId="63" fillId="11" borderId="2" xfId="0" applyFont="1" applyFill="1" applyBorder="1" applyAlignment="1">
      <alignment vertical="center" wrapText="1"/>
    </xf>
    <xf numFmtId="44" fontId="73" fillId="0" borderId="2" xfId="1" applyFont="1" applyBorder="1" applyAlignment="1">
      <alignment vertical="center" wrapText="1"/>
    </xf>
    <xf numFmtId="44" fontId="64" fillId="0" borderId="2" xfId="1" applyFont="1" applyBorder="1" applyAlignment="1">
      <alignment vertical="center" wrapText="1"/>
    </xf>
    <xf numFmtId="164" fontId="63" fillId="0" borderId="0" xfId="1" applyNumberFormat="1" applyFont="1" applyFill="1" applyAlignment="1">
      <alignment vertical="center" wrapText="1"/>
    </xf>
    <xf numFmtId="0" fontId="63" fillId="3" borderId="2" xfId="0" applyFont="1" applyFill="1" applyBorder="1" applyAlignment="1">
      <alignment vertical="center" wrapText="1"/>
    </xf>
    <xf numFmtId="0" fontId="63" fillId="0" borderId="0" xfId="0" applyFont="1" applyAlignment="1">
      <alignment vertical="center"/>
    </xf>
    <xf numFmtId="0" fontId="63" fillId="14" borderId="0" xfId="0" applyFont="1" applyFill="1" applyAlignment="1">
      <alignment vertical="center" wrapText="1"/>
    </xf>
    <xf numFmtId="49" fontId="63" fillId="0" borderId="0" xfId="0" applyNumberFormat="1" applyFont="1" applyAlignment="1">
      <alignment horizontal="center" vertical="center"/>
    </xf>
    <xf numFmtId="49" fontId="63" fillId="0" borderId="4" xfId="0" applyNumberFormat="1" applyFont="1" applyBorder="1" applyAlignment="1">
      <alignment horizontal="right" vertical="center" wrapText="1"/>
    </xf>
    <xf numFmtId="44" fontId="74" fillId="0" borderId="2" xfId="1" applyFont="1" applyBorder="1" applyAlignment="1">
      <alignment vertical="center" wrapText="1"/>
    </xf>
    <xf numFmtId="49" fontId="63" fillId="0" borderId="7" xfId="0" applyNumberFormat="1" applyFont="1" applyBorder="1" applyAlignment="1">
      <alignment horizontal="center" vertical="center" wrapText="1"/>
    </xf>
    <xf numFmtId="49" fontId="63" fillId="0" borderId="27" xfId="0" applyNumberFormat="1" applyFont="1" applyBorder="1" applyAlignment="1">
      <alignment horizontal="right" vertical="center" wrapText="1"/>
    </xf>
    <xf numFmtId="49" fontId="63" fillId="0" borderId="2" xfId="0" applyNumberFormat="1" applyFont="1" applyBorder="1" applyAlignment="1">
      <alignment horizontal="center" vertical="center"/>
    </xf>
    <xf numFmtId="49" fontId="63" fillId="0" borderId="2" xfId="0" applyNumberFormat="1" applyFont="1" applyBorder="1" applyAlignment="1">
      <alignment horizontal="right" vertical="center" wrapText="1"/>
    </xf>
    <xf numFmtId="0" fontId="63" fillId="17" borderId="2" xfId="0" applyFont="1" applyFill="1" applyBorder="1" applyAlignment="1">
      <alignment vertical="center" wrapText="1"/>
    </xf>
    <xf numFmtId="0" fontId="63" fillId="17" borderId="0" xfId="0" applyFont="1" applyFill="1" applyAlignment="1">
      <alignment vertical="center" wrapText="1"/>
    </xf>
    <xf numFmtId="164" fontId="63" fillId="17" borderId="0" xfId="1" applyNumberFormat="1" applyFont="1" applyFill="1" applyAlignment="1">
      <alignment vertical="center" wrapText="1"/>
    </xf>
    <xf numFmtId="164" fontId="73" fillId="0" borderId="0" xfId="1" applyNumberFormat="1" applyFont="1" applyAlignment="1">
      <alignment vertical="center" wrapText="1"/>
    </xf>
    <xf numFmtId="0" fontId="63" fillId="32" borderId="4" xfId="0" applyFont="1" applyFill="1" applyBorder="1" applyAlignment="1">
      <alignment horizontal="center" vertical="center" wrapText="1"/>
    </xf>
    <xf numFmtId="0" fontId="63" fillId="32" borderId="4" xfId="0" applyFont="1" applyFill="1" applyBorder="1" applyAlignment="1">
      <alignment vertical="center" wrapText="1"/>
    </xf>
    <xf numFmtId="0" fontId="63" fillId="3" borderId="9" xfId="0" applyFont="1" applyFill="1" applyBorder="1" applyAlignment="1">
      <alignment vertical="center" wrapText="1"/>
    </xf>
    <xf numFmtId="0" fontId="63" fillId="3" borderId="2" xfId="0" applyFont="1" applyFill="1" applyBorder="1" applyAlignment="1">
      <alignment horizontal="center" vertical="center" wrapText="1"/>
    </xf>
    <xf numFmtId="44" fontId="63" fillId="3" borderId="2" xfId="1" applyFont="1" applyFill="1" applyBorder="1" applyAlignment="1">
      <alignment vertical="center" wrapText="1"/>
    </xf>
    <xf numFmtId="0" fontId="69" fillId="6" borderId="0" xfId="0" applyFont="1" applyFill="1" applyAlignment="1">
      <alignment horizontal="center" vertical="center" wrapText="1"/>
    </xf>
    <xf numFmtId="44" fontId="69" fillId="6" borderId="0" xfId="1" applyFont="1" applyFill="1" applyAlignment="1">
      <alignment horizontal="center" vertical="center" wrapText="1"/>
    </xf>
    <xf numFmtId="0" fontId="63" fillId="9" borderId="2" xfId="0" applyFont="1" applyFill="1" applyBorder="1" applyAlignment="1">
      <alignment horizontal="center" vertical="center" wrapText="1"/>
    </xf>
    <xf numFmtId="0" fontId="64" fillId="29" borderId="2" xfId="0" applyFont="1" applyFill="1" applyBorder="1" applyAlignment="1">
      <alignment vertical="center" wrapText="1"/>
    </xf>
    <xf numFmtId="49" fontId="63" fillId="9" borderId="2" xfId="0" applyNumberFormat="1" applyFont="1" applyFill="1" applyBorder="1" applyAlignment="1">
      <alignment horizontal="center" vertical="center"/>
    </xf>
    <xf numFmtId="49" fontId="63" fillId="9" borderId="0" xfId="0" applyNumberFormat="1" applyFont="1" applyFill="1" applyAlignment="1">
      <alignment horizontal="center" vertical="center"/>
    </xf>
    <xf numFmtId="0" fontId="63" fillId="29" borderId="2" xfId="0" applyFont="1" applyFill="1" applyBorder="1" applyAlignment="1">
      <alignment vertical="center" wrapText="1"/>
    </xf>
    <xf numFmtId="0" fontId="73" fillId="3" borderId="2" xfId="0" applyFont="1" applyFill="1" applyBorder="1" applyAlignment="1">
      <alignment vertical="center" wrapText="1"/>
    </xf>
    <xf numFmtId="0" fontId="64" fillId="9" borderId="2" xfId="0" applyFont="1" applyFill="1" applyBorder="1" applyAlignment="1">
      <alignment horizontal="center" vertical="center" wrapText="1"/>
    </xf>
    <xf numFmtId="0" fontId="64" fillId="9" borderId="2" xfId="0" applyFont="1" applyFill="1" applyBorder="1" applyAlignment="1">
      <alignment vertical="center" wrapText="1"/>
    </xf>
    <xf numFmtId="44" fontId="63" fillId="9" borderId="2" xfId="1" applyFont="1" applyFill="1" applyBorder="1" applyAlignment="1">
      <alignment vertical="center" wrapText="1"/>
    </xf>
    <xf numFmtId="0" fontId="73" fillId="9" borderId="2" xfId="0" applyFont="1" applyFill="1" applyBorder="1" applyAlignment="1">
      <alignment vertical="center" wrapText="1"/>
    </xf>
    <xf numFmtId="0" fontId="74" fillId="0" borderId="2" xfId="0" applyFont="1" applyBorder="1" applyAlignment="1">
      <alignment vertical="center" wrapText="1"/>
    </xf>
    <xf numFmtId="0" fontId="63" fillId="24" borderId="2" xfId="0" applyFont="1" applyFill="1" applyBorder="1" applyAlignment="1">
      <alignment vertical="center" wrapText="1"/>
    </xf>
    <xf numFmtId="44" fontId="63" fillId="24" borderId="2" xfId="1" applyFont="1" applyFill="1" applyBorder="1" applyAlignment="1">
      <alignment vertical="center" wrapText="1"/>
    </xf>
    <xf numFmtId="0" fontId="63" fillId="9" borderId="27" xfId="0" applyFont="1" applyFill="1" applyBorder="1" applyAlignment="1">
      <alignment horizontal="center" vertical="center" wrapText="1"/>
    </xf>
    <xf numFmtId="0" fontId="63" fillId="22" borderId="2" xfId="0" applyFont="1" applyFill="1" applyBorder="1" applyAlignment="1">
      <alignment vertical="center" wrapText="1"/>
    </xf>
    <xf numFmtId="0" fontId="63" fillId="0" borderId="7" xfId="0" applyFont="1" applyBorder="1" applyAlignment="1">
      <alignment vertical="center" wrapText="1"/>
    </xf>
    <xf numFmtId="0" fontId="63" fillId="9" borderId="0" xfId="0" applyFont="1" applyFill="1" applyAlignment="1">
      <alignment vertical="center" wrapText="1"/>
    </xf>
    <xf numFmtId="0" fontId="73" fillId="0" borderId="2" xfId="0" applyFont="1" applyBorder="1" applyAlignment="1">
      <alignment horizontal="center" vertical="center" wrapText="1"/>
    </xf>
    <xf numFmtId="0" fontId="73" fillId="0" borderId="4" xfId="0" applyFont="1" applyBorder="1" applyAlignment="1">
      <alignment vertical="center" wrapText="1"/>
    </xf>
    <xf numFmtId="49" fontId="63" fillId="9" borderId="0" xfId="0" applyNumberFormat="1" applyFont="1" applyFill="1" applyAlignment="1">
      <alignment horizontal="right" vertical="center"/>
    </xf>
    <xf numFmtId="44" fontId="63" fillId="0" borderId="7" xfId="1" applyFont="1" applyBorder="1" applyAlignment="1">
      <alignment vertical="center" wrapText="1"/>
    </xf>
    <xf numFmtId="0" fontId="63" fillId="3" borderId="0" xfId="0" applyFont="1" applyFill="1" applyAlignment="1">
      <alignment vertical="center" wrapText="1"/>
    </xf>
    <xf numFmtId="49" fontId="63" fillId="0" borderId="0" xfId="0" applyNumberFormat="1" applyFont="1" applyAlignment="1">
      <alignment horizontal="right" vertical="center"/>
    </xf>
    <xf numFmtId="0" fontId="63" fillId="23" borderId="2" xfId="0" applyFont="1" applyFill="1" applyBorder="1" applyAlignment="1">
      <alignment vertical="center" wrapText="1"/>
    </xf>
    <xf numFmtId="44" fontId="63" fillId="17" borderId="2" xfId="1" applyFont="1" applyFill="1" applyBorder="1" applyAlignment="1">
      <alignment vertical="center" wrapText="1"/>
    </xf>
    <xf numFmtId="164" fontId="63" fillId="32" borderId="2" xfId="1" applyNumberFormat="1" applyFont="1" applyFill="1" applyBorder="1" applyAlignment="1">
      <alignment vertical="center" wrapText="1"/>
    </xf>
    <xf numFmtId="0" fontId="64" fillId="0" borderId="2" xfId="0" applyFont="1" applyBorder="1" applyAlignment="1">
      <alignment horizontal="center" vertical="center" wrapText="1"/>
    </xf>
    <xf numFmtId="0" fontId="63" fillId="24" borderId="2" xfId="0" applyFont="1" applyFill="1" applyBorder="1" applyAlignment="1">
      <alignment horizontal="center" vertical="center" wrapText="1"/>
    </xf>
    <xf numFmtId="0" fontId="63" fillId="0" borderId="7" xfId="0" applyFont="1" applyBorder="1" applyAlignment="1">
      <alignment horizontal="center" vertical="center" wrapText="1"/>
    </xf>
    <xf numFmtId="44" fontId="1" fillId="8" borderId="46" xfId="1" applyFont="1" applyFill="1" applyBorder="1" applyAlignment="1">
      <alignment horizontal="center" wrapText="1"/>
    </xf>
    <xf numFmtId="0" fontId="1" fillId="6" borderId="42" xfId="0" applyFont="1" applyFill="1" applyBorder="1" applyAlignment="1">
      <alignment horizontal="center" wrapText="1"/>
    </xf>
    <xf numFmtId="0" fontId="1" fillId="6" borderId="45" xfId="0" applyFont="1" applyFill="1" applyBorder="1" applyAlignment="1">
      <alignment horizontal="center" wrapText="1"/>
    </xf>
    <xf numFmtId="2" fontId="58" fillId="0" borderId="1" xfId="0" applyNumberFormat="1" applyFont="1" applyBorder="1"/>
    <xf numFmtId="0" fontId="58" fillId="0" borderId="40" xfId="0" applyFont="1" applyBorder="1"/>
    <xf numFmtId="0" fontId="58" fillId="0" borderId="41" xfId="0" applyFont="1" applyBorder="1" applyAlignment="1">
      <alignment wrapText="1"/>
    </xf>
    <xf numFmtId="44" fontId="120" fillId="0" borderId="4" xfId="1" applyFont="1" applyBorder="1"/>
    <xf numFmtId="44" fontId="58" fillId="0" borderId="4" xfId="0" applyNumberFormat="1" applyFont="1" applyBorder="1"/>
    <xf numFmtId="164" fontId="58" fillId="0" borderId="4" xfId="0" applyNumberFormat="1" applyFont="1" applyBorder="1"/>
    <xf numFmtId="164" fontId="58" fillId="0" borderId="47" xfId="0" applyNumberFormat="1" applyFont="1" applyBorder="1"/>
    <xf numFmtId="2" fontId="58" fillId="7" borderId="40" xfId="0" applyNumberFormat="1" applyFont="1" applyFill="1" applyBorder="1"/>
    <xf numFmtId="0" fontId="58" fillId="0" borderId="30" xfId="0" applyFont="1" applyBorder="1"/>
    <xf numFmtId="0" fontId="58" fillId="0" borderId="0" xfId="0" applyFont="1"/>
    <xf numFmtId="2" fontId="58" fillId="0" borderId="51" xfId="0" applyNumberFormat="1" applyFont="1" applyBorder="1"/>
    <xf numFmtId="0" fontId="58" fillId="0" borderId="23" xfId="0" applyFont="1" applyBorder="1"/>
    <xf numFmtId="0" fontId="58" fillId="0" borderId="20" xfId="0" applyFont="1" applyBorder="1" applyAlignment="1">
      <alignment wrapText="1"/>
    </xf>
    <xf numFmtId="44" fontId="58" fillId="0" borderId="2" xfId="1" applyFont="1" applyBorder="1"/>
    <xf numFmtId="44" fontId="58" fillId="0" borderId="2" xfId="0" applyNumberFormat="1" applyFont="1" applyBorder="1"/>
    <xf numFmtId="164" fontId="58" fillId="0" borderId="2" xfId="0" applyNumberFormat="1" applyFont="1" applyBorder="1"/>
    <xf numFmtId="164" fontId="58" fillId="0" borderId="5" xfId="0" applyNumberFormat="1" applyFont="1" applyBorder="1"/>
    <xf numFmtId="2" fontId="58" fillId="0" borderId="23" xfId="0" applyNumberFormat="1" applyFont="1" applyBorder="1"/>
    <xf numFmtId="0" fontId="58" fillId="0" borderId="24" xfId="0" applyFont="1" applyBorder="1"/>
    <xf numFmtId="0" fontId="58" fillId="0" borderId="31" xfId="0" applyFont="1" applyBorder="1"/>
    <xf numFmtId="0" fontId="58" fillId="0" borderId="33" xfId="0" applyFont="1" applyBorder="1" applyAlignment="1">
      <alignment wrapText="1"/>
    </xf>
    <xf numFmtId="44" fontId="58" fillId="0" borderId="7" xfId="0" applyNumberFormat="1" applyFont="1" applyBorder="1"/>
    <xf numFmtId="164" fontId="58" fillId="0" borderId="7" xfId="0" applyNumberFormat="1" applyFont="1" applyBorder="1"/>
    <xf numFmtId="164" fontId="58" fillId="0" borderId="48" xfId="0" applyNumberFormat="1" applyFont="1" applyBorder="1"/>
    <xf numFmtId="2" fontId="58" fillId="0" borderId="31" xfId="0" applyNumberFormat="1" applyFont="1" applyBorder="1"/>
    <xf numFmtId="0" fontId="58" fillId="0" borderId="32" xfId="0" applyFont="1" applyBorder="1"/>
    <xf numFmtId="2" fontId="58" fillId="0" borderId="52" xfId="0" applyNumberFormat="1" applyFont="1" applyBorder="1"/>
    <xf numFmtId="0" fontId="58" fillId="0" borderId="11" xfId="0" applyFont="1" applyBorder="1"/>
    <xf numFmtId="0" fontId="58" fillId="0" borderId="34" xfId="0" applyFont="1" applyBorder="1" applyAlignment="1">
      <alignment wrapText="1"/>
    </xf>
    <xf numFmtId="44" fontId="58" fillId="0" borderId="12" xfId="0" applyNumberFormat="1" applyFont="1" applyBorder="1"/>
    <xf numFmtId="164" fontId="58" fillId="0" borderId="12" xfId="0" applyNumberFormat="1" applyFont="1" applyBorder="1"/>
    <xf numFmtId="164" fontId="58" fillId="0" borderId="49" xfId="0" applyNumberFormat="1" applyFont="1" applyBorder="1"/>
    <xf numFmtId="2" fontId="58" fillId="0" borderId="11" xfId="0" applyNumberFormat="1" applyFont="1" applyBorder="1"/>
    <xf numFmtId="0" fontId="58" fillId="0" borderId="25" xfId="0" applyFont="1" applyBorder="1"/>
    <xf numFmtId="44" fontId="114" fillId="0" borderId="0" xfId="1" applyFont="1"/>
    <xf numFmtId="0" fontId="115" fillId="0" borderId="0" xfId="0" applyFont="1" applyAlignment="1">
      <alignment wrapText="1"/>
    </xf>
    <xf numFmtId="0" fontId="115" fillId="0" borderId="0" xfId="0" applyFont="1"/>
    <xf numFmtId="0" fontId="123" fillId="0" borderId="0" xfId="0" applyFont="1"/>
    <xf numFmtId="164" fontId="115" fillId="0" borderId="0" xfId="1" applyNumberFormat="1" applyFont="1" applyAlignment="1">
      <alignment horizontal="left"/>
    </xf>
    <xf numFmtId="0" fontId="114" fillId="0" borderId="0" xfId="0" applyFont="1" applyAlignment="1">
      <alignment horizontal="left"/>
    </xf>
    <xf numFmtId="167" fontId="124" fillId="0" borderId="0" xfId="0" applyNumberFormat="1" applyFont="1"/>
    <xf numFmtId="0" fontId="115" fillId="0" borderId="0" xfId="0" applyFont="1" applyAlignment="1">
      <alignment horizontal="center" wrapText="1"/>
    </xf>
    <xf numFmtId="0" fontId="114" fillId="0" borderId="2" xfId="0" applyFont="1" applyBorder="1"/>
    <xf numFmtId="0" fontId="115" fillId="0" borderId="0" xfId="0" applyFont="1" applyAlignment="1">
      <alignment horizontal="center"/>
    </xf>
    <xf numFmtId="0" fontId="115" fillId="8" borderId="2" xfId="0" applyFont="1" applyFill="1" applyBorder="1" applyAlignment="1">
      <alignment horizontal="center" wrapText="1"/>
    </xf>
    <xf numFmtId="44" fontId="115" fillId="8" borderId="2" xfId="1" applyFont="1" applyFill="1" applyBorder="1" applyAlignment="1">
      <alignment horizontal="center" wrapText="1"/>
    </xf>
    <xf numFmtId="44" fontId="115" fillId="8" borderId="2" xfId="1" applyFont="1" applyFill="1" applyBorder="1" applyAlignment="1">
      <alignment horizontal="center"/>
    </xf>
    <xf numFmtId="0" fontId="115" fillId="6" borderId="2" xfId="0" applyFont="1" applyFill="1" applyBorder="1" applyAlignment="1">
      <alignment horizontal="center" wrapText="1"/>
    </xf>
    <xf numFmtId="0" fontId="115" fillId="6" borderId="4" xfId="0" applyFont="1" applyFill="1" applyBorder="1" applyAlignment="1">
      <alignment horizontal="center" wrapText="1"/>
    </xf>
    <xf numFmtId="44" fontId="114" fillId="0" borderId="2" xfId="0" applyNumberFormat="1" applyFont="1" applyBorder="1" applyAlignment="1">
      <alignment horizontal="center"/>
    </xf>
    <xf numFmtId="2" fontId="114" fillId="0" borderId="2" xfId="0" applyNumberFormat="1" applyFont="1" applyBorder="1" applyAlignment="1">
      <alignment horizontal="center"/>
    </xf>
    <xf numFmtId="44" fontId="114" fillId="0" borderId="2" xfId="1" applyFont="1" applyBorder="1" applyAlignment="1">
      <alignment wrapText="1"/>
    </xf>
    <xf numFmtId="164" fontId="114" fillId="0" borderId="2" xfId="0" applyNumberFormat="1" applyFont="1" applyBorder="1"/>
    <xf numFmtId="44" fontId="114" fillId="0" borderId="2" xfId="0" applyNumberFormat="1" applyFont="1" applyBorder="1"/>
    <xf numFmtId="2" fontId="114" fillId="0" borderId="2" xfId="0" applyNumberFormat="1" applyFont="1" applyBorder="1"/>
    <xf numFmtId="0" fontId="124" fillId="0" borderId="2" xfId="0" applyFont="1" applyBorder="1"/>
    <xf numFmtId="0" fontId="114" fillId="0" borderId="2" xfId="0" applyFont="1" applyBorder="1" applyAlignment="1">
      <alignment wrapText="1"/>
    </xf>
    <xf numFmtId="0" fontId="124" fillId="0" borderId="2" xfId="0" applyFont="1" applyBorder="1" applyAlignment="1">
      <alignment horizontal="center"/>
    </xf>
    <xf numFmtId="44" fontId="124" fillId="0" borderId="2" xfId="1" applyFont="1" applyBorder="1"/>
    <xf numFmtId="44" fontId="124" fillId="0" borderId="2" xfId="1" applyFont="1" applyFill="1" applyBorder="1"/>
    <xf numFmtId="0" fontId="124" fillId="0" borderId="0" xfId="0" applyFont="1"/>
    <xf numFmtId="44" fontId="124" fillId="0" borderId="0" xfId="1" applyFont="1" applyBorder="1"/>
    <xf numFmtId="44" fontId="114" fillId="0" borderId="0" xfId="0" applyNumberFormat="1" applyFont="1"/>
    <xf numFmtId="164" fontId="114" fillId="0" borderId="0" xfId="0" applyNumberFormat="1" applyFont="1"/>
    <xf numFmtId="44" fontId="124" fillId="0" borderId="0" xfId="0" applyNumberFormat="1" applyFont="1"/>
    <xf numFmtId="164" fontId="115" fillId="0" borderId="0" xfId="0" applyNumberFormat="1" applyFont="1"/>
    <xf numFmtId="0" fontId="125" fillId="0" borderId="0" xfId="0" applyFont="1"/>
    <xf numFmtId="0" fontId="126" fillId="0" borderId="2" xfId="0" applyFont="1" applyBorder="1"/>
    <xf numFmtId="0" fontId="127" fillId="0" borderId="0" xfId="0" applyFont="1"/>
    <xf numFmtId="44" fontId="127" fillId="0" borderId="0" xfId="1" applyFont="1" applyBorder="1"/>
    <xf numFmtId="164" fontId="127" fillId="0" borderId="2" xfId="0" applyNumberFormat="1" applyFont="1" applyBorder="1"/>
    <xf numFmtId="164" fontId="127" fillId="0" borderId="0" xfId="0" applyNumberFormat="1" applyFont="1"/>
    <xf numFmtId="44" fontId="115" fillId="0" borderId="26" xfId="1" applyFont="1" applyBorder="1"/>
    <xf numFmtId="164" fontId="115" fillId="0" borderId="26" xfId="1" applyNumberFormat="1" applyFont="1" applyBorder="1"/>
    <xf numFmtId="164" fontId="123" fillId="0" borderId="0" xfId="0" applyNumberFormat="1" applyFont="1"/>
    <xf numFmtId="9" fontId="124" fillId="0" borderId="0" xfId="0" applyNumberFormat="1" applyFont="1"/>
    <xf numFmtId="164" fontId="124" fillId="0" borderId="0" xfId="0" applyNumberFormat="1" applyFont="1"/>
    <xf numFmtId="164" fontId="115" fillId="0" borderId="19" xfId="0" applyNumberFormat="1" applyFont="1" applyBorder="1"/>
    <xf numFmtId="0" fontId="113" fillId="0" borderId="2" xfId="0" applyFont="1" applyBorder="1"/>
    <xf numFmtId="0" fontId="80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65" fillId="0" borderId="0" xfId="0" applyFont="1" applyAlignment="1">
      <alignment vertical="center"/>
    </xf>
    <xf numFmtId="0" fontId="76" fillId="0" borderId="2" xfId="0" applyFont="1" applyBorder="1" applyAlignment="1">
      <alignment vertical="center" wrapText="1"/>
    </xf>
    <xf numFmtId="164" fontId="60" fillId="0" borderId="0" xfId="1" applyNumberFormat="1" applyFont="1" applyAlignment="1">
      <alignment vertical="center"/>
    </xf>
    <xf numFmtId="0" fontId="65" fillId="0" borderId="0" xfId="0" applyFont="1" applyAlignment="1">
      <alignment vertical="center" wrapText="1"/>
    </xf>
    <xf numFmtId="0" fontId="60" fillId="9" borderId="0" xfId="0" applyFont="1" applyFill="1" applyAlignment="1">
      <alignment vertical="center"/>
    </xf>
    <xf numFmtId="0" fontId="65" fillId="9" borderId="0" xfId="0" applyFont="1" applyFill="1" applyAlignment="1">
      <alignment vertical="center"/>
    </xf>
    <xf numFmtId="164" fontId="65" fillId="0" borderId="0" xfId="1" applyNumberFormat="1" applyFont="1" applyAlignment="1">
      <alignment horizontal="left" vertical="center"/>
    </xf>
    <xf numFmtId="167" fontId="76" fillId="0" borderId="0" xfId="0" applyNumberFormat="1" applyFont="1" applyAlignment="1">
      <alignment vertical="center"/>
    </xf>
    <xf numFmtId="0" fontId="65" fillId="0" borderId="0" xfId="0" applyFont="1" applyAlignment="1">
      <alignment horizontal="center" vertical="center" wrapText="1"/>
    </xf>
    <xf numFmtId="0" fontId="60" fillId="0" borderId="2" xfId="0" applyFont="1" applyBorder="1" applyAlignment="1">
      <alignment vertical="center"/>
    </xf>
    <xf numFmtId="0" fontId="70" fillId="0" borderId="0" xfId="0" applyFont="1" applyAlignment="1">
      <alignment horizontal="center" vertical="center"/>
    </xf>
    <xf numFmtId="0" fontId="65" fillId="8" borderId="2" xfId="0" applyFont="1" applyFill="1" applyBorder="1" applyAlignment="1">
      <alignment horizontal="center" vertical="center" wrapText="1"/>
    </xf>
    <xf numFmtId="0" fontId="68" fillId="8" borderId="2" xfId="0" applyFont="1" applyFill="1" applyBorder="1" applyAlignment="1">
      <alignment horizontal="center" vertical="center" wrapText="1"/>
    </xf>
    <xf numFmtId="44" fontId="65" fillId="8" borderId="2" xfId="1" applyFont="1" applyFill="1" applyBorder="1" applyAlignment="1">
      <alignment horizontal="center" vertical="center" wrapText="1"/>
    </xf>
    <xf numFmtId="44" fontId="65" fillId="8" borderId="2" xfId="1" applyFont="1" applyFill="1" applyBorder="1" applyAlignment="1">
      <alignment horizontal="center" vertical="center"/>
    </xf>
    <xf numFmtId="0" fontId="70" fillId="6" borderId="2" xfId="0" applyFont="1" applyFill="1" applyBorder="1" applyAlignment="1">
      <alignment horizontal="center" vertical="center" wrapText="1"/>
    </xf>
    <xf numFmtId="0" fontId="70" fillId="6" borderId="4" xfId="0" applyFont="1" applyFill="1" applyBorder="1" applyAlignment="1">
      <alignment horizontal="center" vertical="center" wrapText="1"/>
    </xf>
    <xf numFmtId="0" fontId="65" fillId="18" borderId="2" xfId="0" applyFont="1" applyFill="1" applyBorder="1" applyAlignment="1">
      <alignment horizontal="center" vertical="center"/>
    </xf>
    <xf numFmtId="164" fontId="65" fillId="18" borderId="2" xfId="1" applyNumberFormat="1" applyFont="1" applyFill="1" applyBorder="1" applyAlignment="1">
      <alignment horizontal="center" vertical="center"/>
    </xf>
    <xf numFmtId="2" fontId="60" fillId="0" borderId="0" xfId="0" applyNumberFormat="1" applyFont="1" applyAlignment="1">
      <alignment vertical="center"/>
    </xf>
    <xf numFmtId="44" fontId="60" fillId="0" borderId="2" xfId="1" applyFont="1" applyBorder="1" applyAlignment="1">
      <alignment vertical="center"/>
    </xf>
    <xf numFmtId="44" fontId="60" fillId="0" borderId="2" xfId="0" applyNumberFormat="1" applyFont="1" applyBorder="1" applyAlignment="1">
      <alignment vertical="center"/>
    </xf>
    <xf numFmtId="164" fontId="60" fillId="0" borderId="2" xfId="0" applyNumberFormat="1" applyFont="1" applyBorder="1" applyAlignment="1">
      <alignment vertical="center"/>
    </xf>
    <xf numFmtId="2" fontId="60" fillId="0" borderId="2" xfId="0" applyNumberFormat="1" applyFont="1" applyBorder="1" applyAlignment="1">
      <alignment vertical="center"/>
    </xf>
    <xf numFmtId="164" fontId="60" fillId="0" borderId="2" xfId="1" applyNumberFormat="1" applyFont="1" applyBorder="1" applyAlignment="1">
      <alignment vertical="center"/>
    </xf>
    <xf numFmtId="44" fontId="76" fillId="0" borderId="2" xfId="1" applyFont="1" applyBorder="1" applyAlignment="1">
      <alignment vertical="center"/>
    </xf>
    <xf numFmtId="0" fontId="76" fillId="0" borderId="2" xfId="0" applyFont="1" applyBorder="1" applyAlignment="1">
      <alignment vertical="center"/>
    </xf>
    <xf numFmtId="168" fontId="60" fillId="0" borderId="2" xfId="0" applyNumberFormat="1" applyFont="1" applyBorder="1" applyAlignment="1">
      <alignment vertical="center"/>
    </xf>
    <xf numFmtId="0" fontId="60" fillId="0" borderId="2" xfId="0" applyFont="1" applyBorder="1" applyAlignment="1">
      <alignment horizontal="center" vertical="center"/>
    </xf>
    <xf numFmtId="44" fontId="60" fillId="0" borderId="0" xfId="0" applyNumberFormat="1" applyFont="1" applyAlignment="1">
      <alignment vertical="center"/>
    </xf>
    <xf numFmtId="169" fontId="60" fillId="0" borderId="0" xfId="1" applyNumberFormat="1" applyFont="1" applyAlignment="1">
      <alignment vertical="center"/>
    </xf>
    <xf numFmtId="168" fontId="60" fillId="0" borderId="0" xfId="0" applyNumberFormat="1" applyFont="1" applyAlignment="1">
      <alignment vertical="center"/>
    </xf>
    <xf numFmtId="2" fontId="82" fillId="0" borderId="0" xfId="0" applyNumberFormat="1" applyFont="1" applyAlignment="1">
      <alignment horizontal="center" vertical="center"/>
    </xf>
    <xf numFmtId="2" fontId="77" fillId="0" borderId="0" xfId="0" applyNumberFormat="1" applyFont="1" applyAlignment="1">
      <alignment vertical="center"/>
    </xf>
    <xf numFmtId="44" fontId="76" fillId="0" borderId="2" xfId="0" applyNumberFormat="1" applyFont="1" applyBorder="1" applyAlignment="1">
      <alignment vertical="center"/>
    </xf>
    <xf numFmtId="0" fontId="60" fillId="0" borderId="2" xfId="0" applyFont="1" applyBorder="1" applyAlignment="1">
      <alignment vertical="center" wrapText="1"/>
    </xf>
    <xf numFmtId="0" fontId="59" fillId="0" borderId="0" xfId="0" applyFont="1" applyAlignment="1">
      <alignment vertical="center"/>
    </xf>
    <xf numFmtId="44" fontId="76" fillId="0" borderId="0" xfId="1" applyFont="1" applyBorder="1" applyAlignment="1">
      <alignment vertical="center"/>
    </xf>
    <xf numFmtId="164" fontId="60" fillId="0" borderId="0" xfId="0" applyNumberFormat="1" applyFont="1" applyAlignment="1">
      <alignment vertical="center"/>
    </xf>
    <xf numFmtId="164" fontId="65" fillId="0" borderId="0" xfId="0" applyNumberFormat="1" applyFont="1" applyAlignment="1">
      <alignment vertical="center"/>
    </xf>
    <xf numFmtId="0" fontId="83" fillId="0" borderId="0" xfId="0" applyFont="1" applyAlignment="1">
      <alignment vertical="center"/>
    </xf>
    <xf numFmtId="164" fontId="65" fillId="0" borderId="19" xfId="1" applyNumberFormat="1" applyFont="1" applyBorder="1" applyAlignment="1">
      <alignment vertical="center"/>
    </xf>
    <xf numFmtId="0" fontId="102" fillId="0" borderId="2" xfId="0" applyFont="1" applyBorder="1" applyAlignment="1">
      <alignment vertical="center"/>
    </xf>
    <xf numFmtId="0" fontId="103" fillId="0" borderId="0" xfId="0" applyFont="1" applyAlignment="1">
      <alignment vertical="center"/>
    </xf>
    <xf numFmtId="44" fontId="103" fillId="0" borderId="0" xfId="1" applyFont="1" applyBorder="1" applyAlignment="1">
      <alignment vertical="center"/>
    </xf>
    <xf numFmtId="164" fontId="103" fillId="0" borderId="2" xfId="0" applyNumberFormat="1" applyFont="1" applyBorder="1" applyAlignment="1">
      <alignment vertical="center"/>
    </xf>
    <xf numFmtId="164" fontId="103" fillId="0" borderId="0" xfId="0" applyNumberFormat="1" applyFont="1" applyAlignment="1">
      <alignment vertical="center"/>
    </xf>
    <xf numFmtId="44" fontId="76" fillId="0" borderId="0" xfId="0" applyNumberFormat="1" applyFont="1" applyAlignment="1">
      <alignment vertical="center"/>
    </xf>
    <xf numFmtId="44" fontId="65" fillId="0" borderId="26" xfId="1" applyFont="1" applyBorder="1" applyAlignment="1">
      <alignment vertical="center"/>
    </xf>
    <xf numFmtId="164" fontId="65" fillId="0" borderId="26" xfId="1" applyNumberFormat="1" applyFont="1" applyBorder="1" applyAlignment="1">
      <alignment vertical="center"/>
    </xf>
    <xf numFmtId="9" fontId="77" fillId="0" borderId="0" xfId="0" applyNumberFormat="1" applyFont="1" applyAlignment="1">
      <alignment vertical="center"/>
    </xf>
    <xf numFmtId="164" fontId="65" fillId="0" borderId="19" xfId="0" applyNumberFormat="1" applyFont="1" applyBorder="1" applyAlignment="1">
      <alignment vertical="center"/>
    </xf>
    <xf numFmtId="0" fontId="77" fillId="0" borderId="0" xfId="0" applyFont="1" applyAlignment="1">
      <alignment vertical="center" wrapText="1"/>
    </xf>
    <xf numFmtId="44" fontId="76" fillId="0" borderId="2" xfId="1" applyFont="1" applyFill="1" applyBorder="1" applyAlignment="1">
      <alignment vertical="center"/>
    </xf>
    <xf numFmtId="44" fontId="60" fillId="0" borderId="2" xfId="1" applyFont="1" applyFill="1" applyBorder="1" applyAlignment="1">
      <alignment vertical="center"/>
    </xf>
    <xf numFmtId="9" fontId="76" fillId="0" borderId="0" xfId="0" applyNumberFormat="1" applyFont="1" applyAlignment="1">
      <alignment vertical="center"/>
    </xf>
    <xf numFmtId="0" fontId="66" fillId="0" borderId="2" xfId="0" applyFont="1" applyBorder="1" applyAlignment="1">
      <alignment vertical="center" wrapText="1"/>
    </xf>
    <xf numFmtId="0" fontId="61" fillId="17" borderId="2" xfId="0" applyFont="1" applyFill="1" applyBorder="1" applyAlignment="1">
      <alignment vertical="center" wrapText="1"/>
    </xf>
    <xf numFmtId="0" fontId="76" fillId="17" borderId="2" xfId="0" applyFont="1" applyFill="1" applyBorder="1" applyAlignment="1">
      <alignment vertical="center"/>
    </xf>
    <xf numFmtId="44" fontId="76" fillId="17" borderId="2" xfId="1" applyFont="1" applyFill="1" applyBorder="1" applyAlignment="1">
      <alignment vertical="center"/>
    </xf>
    <xf numFmtId="0" fontId="61" fillId="0" borderId="2" xfId="0" applyFont="1" applyBorder="1" applyAlignment="1">
      <alignment vertical="center" wrapText="1"/>
    </xf>
    <xf numFmtId="44" fontId="65" fillId="0" borderId="0" xfId="0" applyNumberFormat="1" applyFont="1" applyAlignment="1">
      <alignment vertical="center"/>
    </xf>
    <xf numFmtId="0" fontId="76" fillId="11" borderId="2" xfId="0" applyFont="1" applyFill="1" applyBorder="1" applyAlignment="1">
      <alignment vertical="center" wrapText="1"/>
    </xf>
    <xf numFmtId="0" fontId="76" fillId="11" borderId="2" xfId="0" applyFont="1" applyFill="1" applyBorder="1" applyAlignment="1">
      <alignment vertical="center"/>
    </xf>
    <xf numFmtId="44" fontId="76" fillId="11" borderId="2" xfId="1" applyFont="1" applyFill="1" applyBorder="1" applyAlignment="1">
      <alignment vertical="center"/>
    </xf>
    <xf numFmtId="164" fontId="76" fillId="0" borderId="2" xfId="0" applyNumberFormat="1" applyFont="1" applyBorder="1" applyAlignment="1">
      <alignment vertical="center"/>
    </xf>
    <xf numFmtId="2" fontId="76" fillId="0" borderId="2" xfId="0" applyNumberFormat="1" applyFont="1" applyBorder="1" applyAlignment="1">
      <alignment vertical="center"/>
    </xf>
    <xf numFmtId="164" fontId="76" fillId="0" borderId="2" xfId="1" applyNumberFormat="1" applyFont="1" applyBorder="1" applyAlignment="1">
      <alignment vertical="center"/>
    </xf>
    <xf numFmtId="0" fontId="76" fillId="17" borderId="2" xfId="0" applyFont="1" applyFill="1" applyBorder="1" applyAlignment="1">
      <alignment vertical="center" wrapText="1"/>
    </xf>
    <xf numFmtId="0" fontId="60" fillId="18" borderId="0" xfId="0" applyFont="1" applyFill="1" applyAlignment="1">
      <alignment vertical="center"/>
    </xf>
    <xf numFmtId="3" fontId="60" fillId="0" borderId="0" xfId="0" applyNumberFormat="1" applyFont="1" applyAlignment="1">
      <alignment vertical="center"/>
    </xf>
    <xf numFmtId="0" fontId="60" fillId="29" borderId="0" xfId="0" applyFont="1" applyFill="1" applyAlignment="1">
      <alignment horizontal="left" vertical="center"/>
    </xf>
    <xf numFmtId="170" fontId="60" fillId="0" borderId="2" xfId="0" applyNumberFormat="1" applyFont="1" applyBorder="1" applyAlignment="1">
      <alignment vertical="center"/>
    </xf>
    <xf numFmtId="0" fontId="60" fillId="11" borderId="2" xfId="0" applyFont="1" applyFill="1" applyBorder="1" applyAlignment="1">
      <alignment vertical="center" wrapText="1"/>
    </xf>
    <xf numFmtId="44" fontId="60" fillId="11" borderId="2" xfId="0" applyNumberFormat="1" applyFont="1" applyFill="1" applyBorder="1" applyAlignment="1">
      <alignment vertical="center"/>
    </xf>
    <xf numFmtId="0" fontId="60" fillId="14" borderId="2" xfId="0" applyFont="1" applyFill="1" applyBorder="1" applyAlignment="1">
      <alignment vertical="center"/>
    </xf>
    <xf numFmtId="164" fontId="76" fillId="0" borderId="0" xfId="0" applyNumberFormat="1" applyFont="1" applyAlignment="1">
      <alignment vertical="center"/>
    </xf>
    <xf numFmtId="0" fontId="83" fillId="9" borderId="0" xfId="0" applyFont="1" applyFill="1" applyAlignment="1">
      <alignment vertical="center"/>
    </xf>
    <xf numFmtId="0" fontId="104" fillId="0" borderId="0" xfId="0" applyFont="1" applyAlignment="1">
      <alignment vertical="center"/>
    </xf>
    <xf numFmtId="44" fontId="103" fillId="0" borderId="0" xfId="0" applyNumberFormat="1" applyFont="1" applyAlignment="1">
      <alignment vertical="center"/>
    </xf>
    <xf numFmtId="0" fontId="76" fillId="0" borderId="0" xfId="0" applyFont="1" applyAlignment="1">
      <alignment horizontal="left" vertical="center"/>
    </xf>
    <xf numFmtId="0" fontId="65" fillId="18" borderId="0" xfId="0" applyFont="1" applyFill="1" applyAlignment="1">
      <alignment vertical="center"/>
    </xf>
    <xf numFmtId="0" fontId="89" fillId="9" borderId="0" xfId="0" applyFont="1" applyFill="1" applyAlignment="1">
      <alignment vertical="center"/>
    </xf>
    <xf numFmtId="0" fontId="67" fillId="17" borderId="2" xfId="0" applyFont="1" applyFill="1" applyBorder="1" applyAlignment="1">
      <alignment vertical="center" wrapText="1"/>
    </xf>
    <xf numFmtId="0" fontId="77" fillId="3" borderId="0" xfId="0" applyFont="1" applyFill="1" applyAlignment="1">
      <alignment vertical="center"/>
    </xf>
    <xf numFmtId="166" fontId="60" fillId="0" borderId="2" xfId="0" applyNumberFormat="1" applyFont="1" applyBorder="1" applyAlignment="1">
      <alignment vertical="center"/>
    </xf>
    <xf numFmtId="0" fontId="60" fillId="3" borderId="0" xfId="0" applyFont="1" applyFill="1" applyAlignment="1">
      <alignment horizontal="left" vertical="center"/>
    </xf>
    <xf numFmtId="0" fontId="60" fillId="3" borderId="2" xfId="0" applyFont="1" applyFill="1" applyBorder="1" applyAlignment="1">
      <alignment vertical="center"/>
    </xf>
    <xf numFmtId="164" fontId="77" fillId="3" borderId="0" xfId="0" applyNumberFormat="1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5" fillId="3" borderId="0" xfId="0" applyFont="1" applyFill="1" applyAlignment="1">
      <alignment vertical="center"/>
    </xf>
    <xf numFmtId="44" fontId="60" fillId="3" borderId="2" xfId="1" applyFont="1" applyFill="1" applyBorder="1" applyAlignment="1">
      <alignment vertical="center"/>
    </xf>
    <xf numFmtId="0" fontId="76" fillId="3" borderId="2" xfId="0" applyFont="1" applyFill="1" applyBorder="1" applyAlignment="1">
      <alignment vertical="center"/>
    </xf>
    <xf numFmtId="0" fontId="91" fillId="0" borderId="0" xfId="0" applyFont="1" applyAlignment="1">
      <alignment vertical="center"/>
    </xf>
    <xf numFmtId="0" fontId="90" fillId="0" borderId="2" xfId="0" applyFont="1" applyBorder="1" applyAlignment="1">
      <alignment vertical="center" wrapText="1"/>
    </xf>
    <xf numFmtId="0" fontId="121" fillId="0" borderId="2" xfId="0" applyFont="1" applyBorder="1" applyAlignment="1">
      <alignment vertical="center"/>
    </xf>
    <xf numFmtId="0" fontId="122" fillId="0" borderId="0" xfId="0" applyFont="1" applyAlignment="1">
      <alignment vertical="center"/>
    </xf>
    <xf numFmtId="44" fontId="122" fillId="0" borderId="0" xfId="1" applyFont="1" applyBorder="1" applyAlignment="1">
      <alignment vertical="center"/>
    </xf>
    <xf numFmtId="164" fontId="122" fillId="0" borderId="2" xfId="0" applyNumberFormat="1" applyFont="1" applyBorder="1" applyAlignment="1">
      <alignment vertical="center"/>
    </xf>
    <xf numFmtId="164" fontId="122" fillId="0" borderId="0" xfId="0" applyNumberFormat="1" applyFont="1" applyAlignment="1">
      <alignment vertical="center"/>
    </xf>
    <xf numFmtId="0" fontId="76" fillId="9" borderId="2" xfId="0" applyFont="1" applyFill="1" applyBorder="1" applyAlignment="1">
      <alignment vertical="center"/>
    </xf>
    <xf numFmtId="0" fontId="60" fillId="0" borderId="2" xfId="1" applyNumberFormat="1" applyFont="1" applyBorder="1" applyAlignment="1">
      <alignment vertical="center"/>
    </xf>
    <xf numFmtId="164" fontId="83" fillId="0" borderId="19" xfId="0" applyNumberFormat="1" applyFont="1" applyBorder="1" applyAlignment="1">
      <alignment vertical="center"/>
    </xf>
    <xf numFmtId="0" fontId="59" fillId="0" borderId="2" xfId="0" applyFont="1" applyBorder="1" applyAlignment="1">
      <alignment vertical="center" wrapText="1"/>
    </xf>
    <xf numFmtId="0" fontId="67" fillId="11" borderId="2" xfId="0" applyFont="1" applyFill="1" applyBorder="1" applyAlignment="1">
      <alignment vertical="center" wrapText="1"/>
    </xf>
    <xf numFmtId="0" fontId="128" fillId="0" borderId="0" xfId="0" applyFont="1" applyAlignment="1">
      <alignment vertical="center"/>
    </xf>
    <xf numFmtId="44" fontId="122" fillId="0" borderId="0" xfId="0" applyNumberFormat="1" applyFont="1" applyAlignment="1">
      <alignment vertical="center"/>
    </xf>
    <xf numFmtId="0" fontId="65" fillId="9" borderId="0" xfId="0" applyFont="1" applyFill="1" applyAlignment="1">
      <alignment horizontal="left" vertical="center"/>
    </xf>
    <xf numFmtId="0" fontId="94" fillId="0" borderId="0" xfId="0" applyFont="1" applyAlignment="1">
      <alignment vertical="center" wrapText="1"/>
    </xf>
    <xf numFmtId="0" fontId="94" fillId="0" borderId="0" xfId="0" applyFont="1" applyAlignment="1">
      <alignment vertical="center"/>
    </xf>
    <xf numFmtId="164" fontId="77" fillId="0" borderId="0" xfId="1" applyNumberFormat="1" applyFont="1" applyAlignment="1">
      <alignment vertical="center"/>
    </xf>
    <xf numFmtId="0" fontId="77" fillId="18" borderId="0" xfId="0" applyFont="1" applyFill="1" applyAlignment="1">
      <alignment vertical="center"/>
    </xf>
    <xf numFmtId="0" fontId="94" fillId="18" borderId="0" xfId="0" applyFont="1" applyFill="1" applyAlignment="1">
      <alignment vertical="center"/>
    </xf>
    <xf numFmtId="164" fontId="94" fillId="0" borderId="0" xfId="1" applyNumberFormat="1" applyFont="1" applyAlignment="1">
      <alignment horizontal="left" vertical="center"/>
    </xf>
    <xf numFmtId="0" fontId="77" fillId="0" borderId="0" xfId="0" applyFont="1" applyAlignment="1">
      <alignment horizontal="left" vertical="center"/>
    </xf>
    <xf numFmtId="167" fontId="77" fillId="0" borderId="0" xfId="0" applyNumberFormat="1" applyFont="1" applyAlignment="1">
      <alignment vertical="center"/>
    </xf>
    <xf numFmtId="0" fontId="94" fillId="0" borderId="0" xfId="0" applyFont="1" applyAlignment="1">
      <alignment horizontal="center" vertical="center" wrapText="1"/>
    </xf>
    <xf numFmtId="0" fontId="77" fillId="0" borderId="2" xfId="0" applyFont="1" applyBorder="1" applyAlignment="1">
      <alignment vertical="center"/>
    </xf>
    <xf numFmtId="0" fontId="95" fillId="0" borderId="0" xfId="0" applyFont="1" applyAlignment="1">
      <alignment horizontal="center" vertical="center"/>
    </xf>
    <xf numFmtId="0" fontId="94" fillId="8" borderId="2" xfId="0" applyFont="1" applyFill="1" applyBorder="1" applyAlignment="1">
      <alignment horizontal="center" vertical="center" wrapText="1"/>
    </xf>
    <xf numFmtId="0" fontId="96" fillId="8" borderId="2" xfId="0" applyFont="1" applyFill="1" applyBorder="1" applyAlignment="1">
      <alignment horizontal="center" vertical="center" wrapText="1"/>
    </xf>
    <xf numFmtId="44" fontId="94" fillId="8" borderId="2" xfId="1" applyFont="1" applyFill="1" applyBorder="1" applyAlignment="1">
      <alignment horizontal="center" vertical="center" wrapText="1"/>
    </xf>
    <xf numFmtId="44" fontId="94" fillId="8" borderId="2" xfId="1" applyFont="1" applyFill="1" applyBorder="1" applyAlignment="1">
      <alignment horizontal="center" vertical="center"/>
    </xf>
    <xf numFmtId="0" fontId="95" fillId="6" borderId="2" xfId="0" applyFont="1" applyFill="1" applyBorder="1" applyAlignment="1">
      <alignment horizontal="center" vertical="center" wrapText="1"/>
    </xf>
    <xf numFmtId="0" fontId="95" fillId="6" borderId="4" xfId="0" applyFont="1" applyFill="1" applyBorder="1" applyAlignment="1">
      <alignment horizontal="center" vertical="center" wrapText="1"/>
    </xf>
    <xf numFmtId="0" fontId="94" fillId="18" borderId="2" xfId="0" applyFont="1" applyFill="1" applyBorder="1" applyAlignment="1">
      <alignment horizontal="center" vertical="center"/>
    </xf>
    <xf numFmtId="164" fontId="94" fillId="18" borderId="2" xfId="1" applyNumberFormat="1" applyFont="1" applyFill="1" applyBorder="1" applyAlignment="1">
      <alignment horizontal="center" vertical="center"/>
    </xf>
    <xf numFmtId="44" fontId="77" fillId="0" borderId="2" xfId="1" applyFont="1" applyBorder="1" applyAlignment="1">
      <alignment vertical="center"/>
    </xf>
    <xf numFmtId="44" fontId="77" fillId="0" borderId="2" xfId="0" applyNumberFormat="1" applyFont="1" applyBorder="1" applyAlignment="1">
      <alignment vertical="center"/>
    </xf>
    <xf numFmtId="164" fontId="77" fillId="0" borderId="2" xfId="0" applyNumberFormat="1" applyFont="1" applyBorder="1" applyAlignment="1">
      <alignment vertical="center"/>
    </xf>
    <xf numFmtId="2" fontId="77" fillId="0" borderId="2" xfId="0" applyNumberFormat="1" applyFont="1" applyBorder="1" applyAlignment="1">
      <alignment vertical="center"/>
    </xf>
    <xf numFmtId="164" fontId="77" fillId="0" borderId="2" xfId="1" applyNumberFormat="1" applyFont="1" applyBorder="1" applyAlignment="1">
      <alignment vertical="center"/>
    </xf>
    <xf numFmtId="0" fontId="77" fillId="0" borderId="2" xfId="0" applyFont="1" applyBorder="1" applyAlignment="1">
      <alignment vertical="center" wrapText="1"/>
    </xf>
    <xf numFmtId="0" fontId="77" fillId="0" borderId="2" xfId="0" applyFont="1" applyBorder="1" applyAlignment="1">
      <alignment horizontal="center" vertical="center"/>
    </xf>
    <xf numFmtId="44" fontId="77" fillId="0" borderId="0" xfId="0" applyNumberFormat="1" applyFont="1" applyAlignment="1">
      <alignment vertical="center"/>
    </xf>
    <xf numFmtId="169" fontId="77" fillId="0" borderId="0" xfId="1" applyNumberFormat="1" applyFont="1" applyAlignment="1">
      <alignment vertical="center"/>
    </xf>
    <xf numFmtId="168" fontId="77" fillId="0" borderId="0" xfId="0" applyNumberFormat="1" applyFont="1" applyAlignment="1">
      <alignment vertical="center"/>
    </xf>
    <xf numFmtId="2" fontId="77" fillId="0" borderId="0" xfId="0" applyNumberFormat="1" applyFont="1" applyAlignment="1">
      <alignment horizontal="center" vertical="center"/>
    </xf>
    <xf numFmtId="0" fontId="62" fillId="0" borderId="0" xfId="0" applyFont="1" applyAlignment="1">
      <alignment vertical="center"/>
    </xf>
    <xf numFmtId="44" fontId="77" fillId="0" borderId="0" xfId="1" applyFont="1" applyBorder="1" applyAlignment="1">
      <alignment vertical="center"/>
    </xf>
    <xf numFmtId="164" fontId="77" fillId="0" borderId="0" xfId="0" applyNumberFormat="1" applyFont="1" applyAlignment="1">
      <alignment vertical="center"/>
    </xf>
    <xf numFmtId="164" fontId="94" fillId="0" borderId="0" xfId="0" applyNumberFormat="1" applyFont="1" applyAlignment="1">
      <alignment vertical="center"/>
    </xf>
    <xf numFmtId="164" fontId="94" fillId="0" borderId="19" xfId="1" applyNumberFormat="1" applyFont="1" applyBorder="1" applyAlignment="1">
      <alignment vertical="center"/>
    </xf>
    <xf numFmtId="44" fontId="77" fillId="0" borderId="0" xfId="1" applyFont="1" applyAlignment="1">
      <alignment vertical="center"/>
    </xf>
    <xf numFmtId="44" fontId="94" fillId="0" borderId="26" xfId="1" applyFont="1" applyBorder="1" applyAlignment="1">
      <alignment vertical="center"/>
    </xf>
    <xf numFmtId="164" fontId="94" fillId="0" borderId="26" xfId="1" applyNumberFormat="1" applyFont="1" applyBorder="1" applyAlignment="1">
      <alignment vertical="center"/>
    </xf>
    <xf numFmtId="164" fontId="94" fillId="0" borderId="19" xfId="0" applyNumberFormat="1" applyFont="1" applyBorder="1" applyAlignment="1">
      <alignment vertical="center"/>
    </xf>
    <xf numFmtId="0" fontId="97" fillId="0" borderId="0" xfId="0" applyFont="1" applyAlignment="1">
      <alignment vertical="center"/>
    </xf>
    <xf numFmtId="0" fontId="83" fillId="0" borderId="0" xfId="0" applyFont="1" applyAlignment="1">
      <alignment vertical="center" wrapText="1"/>
    </xf>
    <xf numFmtId="164" fontId="76" fillId="0" borderId="0" xfId="1" applyNumberFormat="1" applyFont="1" applyAlignment="1">
      <alignment vertical="center"/>
    </xf>
    <xf numFmtId="0" fontId="76" fillId="30" borderId="0" xfId="0" applyFont="1" applyFill="1" applyAlignment="1">
      <alignment vertical="center" wrapText="1"/>
    </xf>
    <xf numFmtId="0" fontId="83" fillId="18" borderId="0" xfId="0" applyFont="1" applyFill="1" applyAlignment="1">
      <alignment vertical="center"/>
    </xf>
    <xf numFmtId="164" fontId="83" fillId="0" borderId="0" xfId="1" applyNumberFormat="1" applyFont="1" applyAlignment="1">
      <alignment horizontal="left" vertical="center"/>
    </xf>
    <xf numFmtId="0" fontId="98" fillId="0" borderId="0" xfId="0" applyFont="1" applyAlignment="1">
      <alignment horizontal="center" vertical="center" wrapText="1"/>
    </xf>
    <xf numFmtId="0" fontId="99" fillId="0" borderId="0" xfId="0" applyFont="1" applyAlignment="1">
      <alignment horizontal="center" vertical="center"/>
    </xf>
    <xf numFmtId="0" fontId="83" fillId="8" borderId="2" xfId="0" applyFont="1" applyFill="1" applyBorder="1" applyAlignment="1">
      <alignment horizontal="center" vertical="center" wrapText="1"/>
    </xf>
    <xf numFmtId="0" fontId="72" fillId="8" borderId="2" xfId="0" applyFont="1" applyFill="1" applyBorder="1" applyAlignment="1">
      <alignment horizontal="center" vertical="center" wrapText="1"/>
    </xf>
    <xf numFmtId="44" fontId="83" fillId="8" borderId="2" xfId="1" applyFont="1" applyFill="1" applyBorder="1" applyAlignment="1">
      <alignment horizontal="center" vertical="center" wrapText="1"/>
    </xf>
    <xf numFmtId="44" fontId="83" fillId="8" borderId="2" xfId="1" applyFont="1" applyFill="1" applyBorder="1" applyAlignment="1">
      <alignment horizontal="center" vertical="center"/>
    </xf>
    <xf numFmtId="0" fontId="100" fillId="6" borderId="2" xfId="0" applyFont="1" applyFill="1" applyBorder="1" applyAlignment="1">
      <alignment horizontal="center" vertical="center" wrapText="1"/>
    </xf>
    <xf numFmtId="0" fontId="100" fillId="6" borderId="4" xfId="0" applyFont="1" applyFill="1" applyBorder="1" applyAlignment="1">
      <alignment horizontal="center" vertical="center" wrapText="1"/>
    </xf>
    <xf numFmtId="0" fontId="83" fillId="18" borderId="2" xfId="0" applyFont="1" applyFill="1" applyBorder="1" applyAlignment="1">
      <alignment horizontal="center" vertical="center"/>
    </xf>
    <xf numFmtId="164" fontId="83" fillId="18" borderId="2" xfId="1" applyNumberFormat="1" applyFont="1" applyFill="1" applyBorder="1" applyAlignment="1">
      <alignment horizontal="center" vertical="center"/>
    </xf>
    <xf numFmtId="2" fontId="97" fillId="0" borderId="0" xfId="0" applyNumberFormat="1" applyFont="1" applyAlignment="1">
      <alignment vertical="center"/>
    </xf>
    <xf numFmtId="0" fontId="76" fillId="0" borderId="2" xfId="0" applyFont="1" applyBorder="1" applyAlignment="1">
      <alignment horizontal="center" vertical="center"/>
    </xf>
    <xf numFmtId="169" fontId="76" fillId="0" borderId="0" xfId="1" applyNumberFormat="1" applyFont="1" applyAlignment="1">
      <alignment vertical="center"/>
    </xf>
    <xf numFmtId="44" fontId="76" fillId="3" borderId="2" xfId="0" applyNumberFormat="1" applyFont="1" applyFill="1" applyBorder="1" applyAlignment="1">
      <alignment vertical="center"/>
    </xf>
    <xf numFmtId="164" fontId="76" fillId="3" borderId="2" xfId="0" applyNumberFormat="1" applyFont="1" applyFill="1" applyBorder="1" applyAlignment="1">
      <alignment vertical="center"/>
    </xf>
    <xf numFmtId="0" fontId="76" fillId="0" borderId="2" xfId="1" applyNumberFormat="1" applyFont="1" applyBorder="1" applyAlignment="1">
      <alignment vertical="center"/>
    </xf>
    <xf numFmtId="0" fontId="97" fillId="0" borderId="2" xfId="0" applyFont="1" applyBorder="1" applyAlignment="1">
      <alignment vertical="center" wrapText="1"/>
    </xf>
    <xf numFmtId="44" fontId="97" fillId="0" borderId="2" xfId="0" applyNumberFormat="1" applyFont="1" applyBorder="1" applyAlignment="1">
      <alignment vertical="center"/>
    </xf>
    <xf numFmtId="164" fontId="97" fillId="0" borderId="2" xfId="0" applyNumberFormat="1" applyFont="1" applyBorder="1" applyAlignment="1">
      <alignment vertical="center"/>
    </xf>
    <xf numFmtId="0" fontId="97" fillId="0" borderId="2" xfId="0" applyFont="1" applyBorder="1" applyAlignment="1">
      <alignment vertical="center"/>
    </xf>
    <xf numFmtId="2" fontId="97" fillId="0" borderId="2" xfId="0" applyNumberFormat="1" applyFont="1" applyBorder="1" applyAlignment="1">
      <alignment vertical="center"/>
    </xf>
    <xf numFmtId="164" fontId="97" fillId="0" borderId="2" xfId="1" applyNumberFormat="1" applyFont="1" applyBorder="1" applyAlignment="1">
      <alignment vertical="center"/>
    </xf>
    <xf numFmtId="44" fontId="97" fillId="0" borderId="2" xfId="1" applyFont="1" applyBorder="1" applyAlignment="1">
      <alignment vertical="center"/>
    </xf>
    <xf numFmtId="164" fontId="83" fillId="0" borderId="0" xfId="0" applyNumberFormat="1" applyFont="1" applyAlignment="1">
      <alignment vertical="center"/>
    </xf>
    <xf numFmtId="164" fontId="83" fillId="0" borderId="19" xfId="1" applyNumberFormat="1" applyFont="1" applyBorder="1" applyAlignment="1">
      <alignment vertical="center"/>
    </xf>
    <xf numFmtId="44" fontId="76" fillId="0" borderId="0" xfId="1" applyFont="1" applyAlignment="1">
      <alignment vertical="center"/>
    </xf>
    <xf numFmtId="44" fontId="83" fillId="0" borderId="26" xfId="1" applyFont="1" applyBorder="1" applyAlignment="1">
      <alignment vertical="center"/>
    </xf>
    <xf numFmtId="164" fontId="83" fillId="0" borderId="26" xfId="1" applyNumberFormat="1" applyFont="1" applyBorder="1" applyAlignment="1">
      <alignment vertical="center"/>
    </xf>
    <xf numFmtId="44" fontId="97" fillId="0" borderId="0" xfId="1" applyFont="1" applyAlignment="1">
      <alignment vertical="center"/>
    </xf>
    <xf numFmtId="164" fontId="97" fillId="0" borderId="0" xfId="1" applyNumberFormat="1" applyFont="1" applyAlignment="1">
      <alignment vertical="center"/>
    </xf>
    <xf numFmtId="0" fontId="60" fillId="33" borderId="2" xfId="0" applyFont="1" applyFill="1" applyBorder="1" applyAlignment="1">
      <alignment vertical="center"/>
    </xf>
    <xf numFmtId="0" fontId="65" fillId="33" borderId="2" xfId="0" applyFont="1" applyFill="1" applyBorder="1" applyAlignment="1">
      <alignment horizontal="center" vertical="center" wrapText="1"/>
    </xf>
    <xf numFmtId="0" fontId="68" fillId="33" borderId="2" xfId="0" applyFont="1" applyFill="1" applyBorder="1" applyAlignment="1">
      <alignment horizontal="center" vertical="center" wrapText="1"/>
    </xf>
    <xf numFmtId="44" fontId="65" fillId="33" borderId="2" xfId="1" applyFont="1" applyFill="1" applyBorder="1" applyAlignment="1">
      <alignment horizontal="center" vertical="center" wrapText="1"/>
    </xf>
    <xf numFmtId="44" fontId="65" fillId="33" borderId="2" xfId="1" applyFont="1" applyFill="1" applyBorder="1" applyAlignment="1">
      <alignment horizontal="center" vertical="center"/>
    </xf>
    <xf numFmtId="0" fontId="70" fillId="34" borderId="2" xfId="0" applyFont="1" applyFill="1" applyBorder="1" applyAlignment="1">
      <alignment horizontal="center" vertical="center" wrapText="1"/>
    </xf>
    <xf numFmtId="0" fontId="70" fillId="34" borderId="4" xfId="0" applyFont="1" applyFill="1" applyBorder="1" applyAlignment="1">
      <alignment horizontal="center" vertical="center" wrapText="1"/>
    </xf>
    <xf numFmtId="2" fontId="60" fillId="34" borderId="2" xfId="0" applyNumberFormat="1" applyFont="1" applyFill="1" applyBorder="1" applyAlignment="1">
      <alignment vertical="center"/>
    </xf>
    <xf numFmtId="0" fontId="60" fillId="34" borderId="2" xfId="0" applyFont="1" applyFill="1" applyBorder="1" applyAlignment="1">
      <alignment vertical="center"/>
    </xf>
    <xf numFmtId="0" fontId="76" fillId="34" borderId="2" xfId="0" applyFont="1" applyFill="1" applyBorder="1" applyAlignment="1">
      <alignment vertical="center"/>
    </xf>
    <xf numFmtId="0" fontId="102" fillId="0" borderId="0" xfId="0" applyFont="1" applyAlignment="1">
      <alignment vertical="center"/>
    </xf>
    <xf numFmtId="44" fontId="102" fillId="0" borderId="0" xfId="1" applyFont="1" applyBorder="1" applyAlignment="1">
      <alignment vertical="center"/>
    </xf>
    <xf numFmtId="164" fontId="102" fillId="0" borderId="2" xfId="0" applyNumberFormat="1" applyFont="1" applyBorder="1" applyAlignment="1">
      <alignment vertical="center"/>
    </xf>
    <xf numFmtId="164" fontId="102" fillId="0" borderId="0" xfId="0" applyNumberFormat="1" applyFont="1" applyAlignment="1">
      <alignment vertical="center"/>
    </xf>
    <xf numFmtId="0" fontId="65" fillId="0" borderId="0" xfId="0" applyFont="1" applyAlignment="1">
      <alignment horizontal="left" vertical="center"/>
    </xf>
    <xf numFmtId="0" fontId="70" fillId="12" borderId="2" xfId="0" applyFont="1" applyFill="1" applyBorder="1" applyAlignment="1">
      <alignment horizontal="center" vertical="center" wrapText="1"/>
    </xf>
    <xf numFmtId="0" fontId="70" fillId="12" borderId="4" xfId="0" applyFont="1" applyFill="1" applyBorder="1" applyAlignment="1">
      <alignment horizontal="center" vertical="center" wrapText="1"/>
    </xf>
    <xf numFmtId="2" fontId="60" fillId="12" borderId="2" xfId="0" applyNumberFormat="1" applyFont="1" applyFill="1" applyBorder="1" applyAlignment="1">
      <alignment vertical="center"/>
    </xf>
    <xf numFmtId="0" fontId="60" fillId="12" borderId="2" xfId="0" applyFont="1" applyFill="1" applyBorder="1" applyAlignment="1">
      <alignment vertical="center"/>
    </xf>
    <xf numFmtId="0" fontId="76" fillId="12" borderId="2" xfId="0" applyFont="1" applyFill="1" applyBorder="1" applyAlignment="1">
      <alignment vertical="center"/>
    </xf>
    <xf numFmtId="0" fontId="114" fillId="0" borderId="0" xfId="0" applyFont="1" applyAlignment="1">
      <alignment horizontal="center" vertical="center" wrapText="1"/>
    </xf>
    <xf numFmtId="0" fontId="114" fillId="0" borderId="0" xfId="0" applyFont="1" applyAlignment="1">
      <alignment vertical="center"/>
    </xf>
    <xf numFmtId="0" fontId="114" fillId="0" borderId="11" xfId="0" applyFont="1" applyBorder="1" applyAlignment="1">
      <alignment wrapText="1"/>
    </xf>
    <xf numFmtId="0" fontId="114" fillId="0" borderId="2" xfId="0" applyFont="1" applyBorder="1" applyAlignment="1">
      <alignment horizontal="center" vertical="center"/>
    </xf>
    <xf numFmtId="0" fontId="114" fillId="0" borderId="23" xfId="0" applyFont="1" applyBorder="1" applyAlignment="1">
      <alignment horizontal="left" vertical="center" wrapText="1"/>
    </xf>
    <xf numFmtId="164" fontId="114" fillId="0" borderId="2" xfId="1" applyNumberFormat="1" applyFont="1" applyBorder="1" applyAlignment="1">
      <alignment horizontal="center" vertical="center"/>
    </xf>
    <xf numFmtId="44" fontId="114" fillId="0" borderId="2" xfId="1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164" fontId="114" fillId="0" borderId="12" xfId="1" applyNumberFormat="1" applyFont="1" applyBorder="1" applyAlignment="1"/>
    <xf numFmtId="44" fontId="65" fillId="0" borderId="0" xfId="1" applyFont="1"/>
    <xf numFmtId="44" fontId="114" fillId="0" borderId="12" xfId="1" applyFont="1" applyBorder="1" applyAlignment="1">
      <alignment horizontal="center" vertical="center"/>
    </xf>
    <xf numFmtId="0" fontId="121" fillId="0" borderId="0" xfId="0" applyFont="1" applyAlignment="1">
      <alignment vertical="center"/>
    </xf>
    <xf numFmtId="164" fontId="121" fillId="0" borderId="0" xfId="0" applyNumberFormat="1" applyFont="1" applyAlignment="1">
      <alignment vertical="center"/>
    </xf>
    <xf numFmtId="172" fontId="65" fillId="0" borderId="0" xfId="4" applyNumberFormat="1" applyFont="1"/>
    <xf numFmtId="0" fontId="65" fillId="8" borderId="2" xfId="0" applyFont="1" applyFill="1" applyBorder="1" applyAlignment="1">
      <alignment horizontal="center" vertical="center"/>
    </xf>
    <xf numFmtId="0" fontId="60" fillId="6" borderId="5" xfId="0" applyFont="1" applyFill="1" applyBorder="1" applyAlignment="1">
      <alignment horizontal="center" vertical="center"/>
    </xf>
    <xf numFmtId="0" fontId="60" fillId="6" borderId="20" xfId="0" applyFont="1" applyFill="1" applyBorder="1" applyAlignment="1">
      <alignment horizontal="center" vertical="center"/>
    </xf>
    <xf numFmtId="0" fontId="81" fillId="0" borderId="0" xfId="0" applyFont="1" applyAlignment="1">
      <alignment horizontal="center" vertical="center" wrapText="1"/>
    </xf>
    <xf numFmtId="0" fontId="65" fillId="33" borderId="2" xfId="0" applyFont="1" applyFill="1" applyBorder="1" applyAlignment="1">
      <alignment horizontal="center" vertical="center"/>
    </xf>
    <xf numFmtId="0" fontId="60" fillId="34" borderId="5" xfId="0" applyFont="1" applyFill="1" applyBorder="1" applyAlignment="1">
      <alignment horizontal="center" vertical="center"/>
    </xf>
    <xf numFmtId="0" fontId="60" fillId="34" borderId="20" xfId="0" applyFont="1" applyFill="1" applyBorder="1" applyAlignment="1">
      <alignment horizontal="center" vertical="center"/>
    </xf>
    <xf numFmtId="0" fontId="60" fillId="12" borderId="5" xfId="0" applyFont="1" applyFill="1" applyBorder="1" applyAlignment="1">
      <alignment horizontal="center" vertical="center"/>
    </xf>
    <xf numFmtId="0" fontId="60" fillId="12" borderId="20" xfId="0" applyFont="1" applyFill="1" applyBorder="1" applyAlignment="1">
      <alignment horizontal="center" vertical="center"/>
    </xf>
    <xf numFmtId="0" fontId="86" fillId="0" borderId="58" xfId="0" applyFont="1" applyBorder="1" applyAlignment="1">
      <alignment horizontal="center" vertical="center"/>
    </xf>
    <xf numFmtId="0" fontId="65" fillId="8" borderId="5" xfId="0" applyFont="1" applyFill="1" applyBorder="1" applyAlignment="1">
      <alignment horizontal="center" vertical="center"/>
    </xf>
    <xf numFmtId="0" fontId="65" fillId="8" borderId="53" xfId="0" applyFont="1" applyFill="1" applyBorder="1" applyAlignment="1">
      <alignment horizontal="center" vertical="center"/>
    </xf>
    <xf numFmtId="0" fontId="65" fillId="8" borderId="20" xfId="0" applyFont="1" applyFill="1" applyBorder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94" fillId="8" borderId="2" xfId="0" applyFont="1" applyFill="1" applyBorder="1" applyAlignment="1">
      <alignment horizontal="center" vertical="center"/>
    </xf>
    <xf numFmtId="0" fontId="77" fillId="6" borderId="5" xfId="0" applyFont="1" applyFill="1" applyBorder="1" applyAlignment="1">
      <alignment horizontal="center" vertical="center"/>
    </xf>
    <xf numFmtId="0" fontId="77" fillId="6" borderId="20" xfId="0" applyFont="1" applyFill="1" applyBorder="1" applyAlignment="1">
      <alignment horizontal="center" vertical="center"/>
    </xf>
    <xf numFmtId="0" fontId="83" fillId="8" borderId="2" xfId="0" applyFont="1" applyFill="1" applyBorder="1" applyAlignment="1">
      <alignment horizontal="center" vertical="center"/>
    </xf>
    <xf numFmtId="0" fontId="76" fillId="6" borderId="5" xfId="0" applyFont="1" applyFill="1" applyBorder="1" applyAlignment="1">
      <alignment horizontal="center" vertical="center"/>
    </xf>
    <xf numFmtId="0" fontId="76" fillId="6" borderId="20" xfId="0" applyFont="1" applyFill="1" applyBorder="1" applyAlignment="1">
      <alignment horizontal="center" vertical="center"/>
    </xf>
    <xf numFmtId="164" fontId="35" fillId="3" borderId="16" xfId="1" applyNumberFormat="1" applyFont="1" applyFill="1" applyBorder="1" applyAlignment="1">
      <alignment horizontal="center"/>
    </xf>
    <xf numFmtId="164" fontId="35" fillId="3" borderId="17" xfId="1" applyNumberFormat="1" applyFont="1" applyFill="1" applyBorder="1" applyAlignment="1">
      <alignment horizontal="center"/>
    </xf>
    <xf numFmtId="164" fontId="35" fillId="3" borderId="18" xfId="1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164" fontId="44" fillId="6" borderId="16" xfId="1" applyNumberFormat="1" applyFont="1" applyFill="1" applyBorder="1" applyAlignment="1">
      <alignment horizontal="center"/>
    </xf>
    <xf numFmtId="164" fontId="44" fillId="6" borderId="17" xfId="1" applyNumberFormat="1" applyFont="1" applyFill="1" applyBorder="1" applyAlignment="1">
      <alignment horizontal="center"/>
    </xf>
    <xf numFmtId="164" fontId="44" fillId="6" borderId="18" xfId="1" applyNumberFormat="1" applyFont="1" applyFill="1" applyBorder="1" applyAlignment="1">
      <alignment horizontal="center"/>
    </xf>
    <xf numFmtId="164" fontId="44" fillId="26" borderId="16" xfId="1" applyNumberFormat="1" applyFont="1" applyFill="1" applyBorder="1" applyAlignment="1">
      <alignment horizontal="center"/>
    </xf>
    <xf numFmtId="164" fontId="44" fillId="26" borderId="17" xfId="1" applyNumberFormat="1" applyFont="1" applyFill="1" applyBorder="1" applyAlignment="1">
      <alignment horizontal="center"/>
    </xf>
    <xf numFmtId="164" fontId="44" fillId="26" borderId="18" xfId="1" applyNumberFormat="1" applyFont="1" applyFill="1" applyBorder="1" applyAlignment="1">
      <alignment horizontal="center"/>
    </xf>
    <xf numFmtId="164" fontId="44" fillId="27" borderId="16" xfId="1" applyNumberFormat="1" applyFont="1" applyFill="1" applyBorder="1" applyAlignment="1">
      <alignment horizontal="center"/>
    </xf>
    <xf numFmtId="164" fontId="44" fillId="27" borderId="17" xfId="1" applyNumberFormat="1" applyFont="1" applyFill="1" applyBorder="1" applyAlignment="1">
      <alignment horizontal="center"/>
    </xf>
    <xf numFmtId="164" fontId="44" fillId="27" borderId="18" xfId="1" applyNumberFormat="1" applyFont="1" applyFill="1" applyBorder="1" applyAlignment="1">
      <alignment horizontal="center"/>
    </xf>
    <xf numFmtId="0" fontId="40" fillId="14" borderId="16" xfId="0" applyFont="1" applyFill="1" applyBorder="1" applyAlignment="1">
      <alignment horizontal="center" wrapText="1"/>
    </xf>
    <xf numFmtId="0" fontId="40" fillId="14" borderId="17" xfId="0" applyFont="1" applyFill="1" applyBorder="1" applyAlignment="1">
      <alignment horizontal="center" wrapText="1"/>
    </xf>
    <xf numFmtId="0" fontId="40" fillId="14" borderId="18" xfId="0" applyFont="1" applyFill="1" applyBorder="1" applyAlignment="1">
      <alignment horizontal="center" wrapText="1"/>
    </xf>
    <xf numFmtId="164" fontId="44" fillId="6" borderId="0" xfId="1" applyNumberFormat="1" applyFont="1" applyFill="1" applyAlignment="1">
      <alignment horizontal="center"/>
    </xf>
    <xf numFmtId="164" fontId="44" fillId="6" borderId="62" xfId="1" applyNumberFormat="1" applyFont="1" applyFill="1" applyBorder="1" applyAlignment="1">
      <alignment horizontal="center"/>
    </xf>
    <xf numFmtId="164" fontId="44" fillId="26" borderId="0" xfId="1" applyNumberFormat="1" applyFont="1" applyFill="1" applyAlignment="1">
      <alignment horizontal="center"/>
    </xf>
    <xf numFmtId="164" fontId="44" fillId="26" borderId="62" xfId="1" applyNumberFormat="1" applyFont="1" applyFill="1" applyBorder="1" applyAlignment="1">
      <alignment horizontal="center"/>
    </xf>
    <xf numFmtId="164" fontId="44" fillId="27" borderId="0" xfId="1" applyNumberFormat="1" applyFont="1" applyFill="1" applyAlignment="1">
      <alignment horizontal="center"/>
    </xf>
    <xf numFmtId="164" fontId="44" fillId="27" borderId="62" xfId="1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" fillId="11" borderId="16" xfId="0" applyFont="1" applyFill="1" applyBorder="1" applyAlignment="1">
      <alignment horizontal="center" wrapText="1"/>
    </xf>
    <xf numFmtId="0" fontId="1" fillId="11" borderId="17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 wrapText="1"/>
    </xf>
    <xf numFmtId="0" fontId="1" fillId="8" borderId="2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164" fontId="9" fillId="0" borderId="7" xfId="1" applyNumberFormat="1" applyFont="1" applyBorder="1" applyAlignment="1">
      <alignment horizontal="center" vertical="center" wrapText="1"/>
    </xf>
    <xf numFmtId="164" fontId="9" fillId="0" borderId="4" xfId="1" applyNumberFormat="1" applyFont="1" applyBorder="1" applyAlignment="1">
      <alignment horizontal="center" vertical="center" wrapText="1"/>
    </xf>
    <xf numFmtId="44" fontId="63" fillId="0" borderId="2" xfId="1" applyFont="1" applyBorder="1" applyAlignment="1">
      <alignment horizontal="center" vertical="center" wrapText="1"/>
    </xf>
    <xf numFmtId="0" fontId="118" fillId="0" borderId="0" xfId="0" applyFont="1" applyAlignment="1">
      <alignment horizontal="left" vertical="center" wrapText="1"/>
    </xf>
    <xf numFmtId="0" fontId="63" fillId="9" borderId="7" xfId="0" applyFont="1" applyFill="1" applyBorder="1" applyAlignment="1">
      <alignment horizontal="center" vertical="center" wrapText="1"/>
    </xf>
    <xf numFmtId="0" fontId="63" fillId="9" borderId="4" xfId="0" applyFont="1" applyFill="1" applyBorder="1" applyAlignment="1">
      <alignment horizontal="center" vertical="center" wrapText="1"/>
    </xf>
    <xf numFmtId="49" fontId="63" fillId="0" borderId="7" xfId="0" applyNumberFormat="1" applyFont="1" applyBorder="1" applyAlignment="1">
      <alignment horizontal="center" vertical="center" wrapText="1"/>
    </xf>
    <xf numFmtId="49" fontId="63" fillId="0" borderId="4" xfId="0" applyNumberFormat="1" applyFont="1" applyBorder="1" applyAlignment="1">
      <alignment horizontal="center" vertical="center" wrapText="1"/>
    </xf>
    <xf numFmtId="3" fontId="65" fillId="0" borderId="0" xfId="0" applyNumberFormat="1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115" fillId="8" borderId="2" xfId="0" applyFont="1" applyFill="1" applyBorder="1" applyAlignment="1">
      <alignment horizontal="center"/>
    </xf>
    <xf numFmtId="0" fontId="114" fillId="6" borderId="5" xfId="0" applyFont="1" applyFill="1" applyBorder="1" applyAlignment="1">
      <alignment horizontal="center"/>
    </xf>
    <xf numFmtId="0" fontId="114" fillId="6" borderId="20" xfId="0" applyFont="1" applyFill="1" applyBorder="1" applyAlignment="1">
      <alignment horizontal="center"/>
    </xf>
    <xf numFmtId="0" fontId="65" fillId="8" borderId="2" xfId="0" applyFont="1" applyFill="1" applyBorder="1" applyAlignment="1">
      <alignment horizontal="center"/>
    </xf>
    <xf numFmtId="0" fontId="60" fillId="6" borderId="5" xfId="0" applyFont="1" applyFill="1" applyBorder="1" applyAlignment="1">
      <alignment horizontal="center"/>
    </xf>
    <xf numFmtId="0" fontId="60" fillId="6" borderId="20" xfId="0" applyFont="1" applyFill="1" applyBorder="1" applyAlignment="1">
      <alignment horizontal="center"/>
    </xf>
    <xf numFmtId="164" fontId="115" fillId="0" borderId="22" xfId="1" applyNumberFormat="1" applyFont="1" applyBorder="1" applyAlignment="1">
      <alignment horizontal="left" vertical="center"/>
    </xf>
    <xf numFmtId="164" fontId="115" fillId="0" borderId="65" xfId="1" applyNumberFormat="1" applyFont="1" applyBorder="1" applyAlignment="1">
      <alignment horizontal="left" vertical="center"/>
    </xf>
    <xf numFmtId="0" fontId="65" fillId="14" borderId="54" xfId="0" applyFont="1" applyFill="1" applyBorder="1" applyAlignment="1">
      <alignment horizontal="center"/>
    </xf>
    <xf numFmtId="0" fontId="65" fillId="14" borderId="29" xfId="0" applyFont="1" applyFill="1" applyBorder="1" applyAlignment="1">
      <alignment horizontal="center"/>
    </xf>
    <xf numFmtId="44" fontId="60" fillId="0" borderId="9" xfId="1" applyFont="1" applyBorder="1" applyAlignment="1">
      <alignment horizontal="center" vertical="center"/>
    </xf>
    <xf numFmtId="44" fontId="60" fillId="0" borderId="2" xfId="1" applyFont="1" applyBorder="1" applyAlignment="1">
      <alignment horizontal="center" vertical="center"/>
    </xf>
    <xf numFmtId="0" fontId="65" fillId="8" borderId="42" xfId="0" applyFont="1" applyFill="1" applyBorder="1" applyAlignment="1">
      <alignment horizontal="center"/>
    </xf>
    <xf numFmtId="0" fontId="65" fillId="8" borderId="44" xfId="0" applyFont="1" applyFill="1" applyBorder="1" applyAlignment="1">
      <alignment horizontal="center"/>
    </xf>
    <xf numFmtId="0" fontId="65" fillId="8" borderId="46" xfId="0" applyFont="1" applyFill="1" applyBorder="1" applyAlignment="1">
      <alignment horizontal="center"/>
    </xf>
    <xf numFmtId="44" fontId="69" fillId="6" borderId="1" xfId="1" applyFont="1" applyFill="1" applyBorder="1" applyAlignment="1">
      <alignment horizontal="center" wrapText="1"/>
    </xf>
    <xf numFmtId="44" fontId="69" fillId="6" borderId="51" xfId="1" applyFont="1" applyFill="1" applyBorder="1" applyAlignment="1">
      <alignment horizontal="center" wrapText="1"/>
    </xf>
    <xf numFmtId="0" fontId="65" fillId="6" borderId="54" xfId="0" applyFont="1" applyFill="1" applyBorder="1" applyAlignment="1">
      <alignment horizontal="center"/>
    </xf>
    <xf numFmtId="0" fontId="65" fillId="6" borderId="29" xfId="0" applyFont="1" applyFill="1" applyBorder="1" applyAlignment="1">
      <alignment horizontal="center"/>
    </xf>
    <xf numFmtId="44" fontId="69" fillId="14" borderId="1" xfId="1" applyFont="1" applyFill="1" applyBorder="1" applyAlignment="1">
      <alignment horizontal="center" wrapText="1"/>
    </xf>
    <xf numFmtId="44" fontId="69" fillId="14" borderId="51" xfId="1" applyFont="1" applyFill="1" applyBorder="1" applyAlignment="1">
      <alignment horizontal="center" wrapText="1"/>
    </xf>
    <xf numFmtId="44" fontId="60" fillId="0" borderId="4" xfId="1" applyFont="1" applyBorder="1" applyAlignment="1">
      <alignment horizontal="center" vertical="center"/>
    </xf>
    <xf numFmtId="0" fontId="25" fillId="0" borderId="58" xfId="0" applyFont="1" applyBorder="1" applyAlignment="1">
      <alignment horizontal="center"/>
    </xf>
    <xf numFmtId="0" fontId="1" fillId="6" borderId="50" xfId="0" applyFont="1" applyFill="1" applyBorder="1" applyAlignment="1">
      <alignment horizontal="center"/>
    </xf>
    <xf numFmtId="0" fontId="1" fillId="6" borderId="39" xfId="0" applyFont="1" applyFill="1" applyBorder="1" applyAlignment="1">
      <alignment horizontal="center"/>
    </xf>
    <xf numFmtId="0" fontId="1" fillId="8" borderId="35" xfId="0" applyFont="1" applyFill="1" applyBorder="1" applyAlignment="1">
      <alignment horizontal="center"/>
    </xf>
    <xf numFmtId="0" fontId="1" fillId="8" borderId="36" xfId="0" applyFont="1" applyFill="1" applyBorder="1" applyAlignment="1">
      <alignment horizontal="center"/>
    </xf>
    <xf numFmtId="0" fontId="1" fillId="8" borderId="37" xfId="0" applyFont="1" applyFill="1" applyBorder="1" applyAlignment="1">
      <alignment horizontal="center"/>
    </xf>
    <xf numFmtId="0" fontId="86" fillId="0" borderId="58" xfId="0" applyFont="1" applyBorder="1" applyAlignment="1">
      <alignment horizontal="center"/>
    </xf>
    <xf numFmtId="0" fontId="83" fillId="0" borderId="58" xfId="0" applyFont="1" applyBorder="1" applyAlignment="1">
      <alignment horizontal="center"/>
    </xf>
  </cellXfs>
  <cellStyles count="11">
    <cellStyle name="Énfasis2" xfId="2" builtinId="33"/>
    <cellStyle name="Millares" xfId="4" builtinId="3"/>
    <cellStyle name="Millares 2" xfId="7" xr:uid="{74A0D5C1-4F12-42BB-B71C-49F638EBF82B}"/>
    <cellStyle name="Millares 3" xfId="9" xr:uid="{D6DF8380-FB1A-462D-9A71-4800BABBB7BF}"/>
    <cellStyle name="Moneda" xfId="1" builtinId="4"/>
    <cellStyle name="Moneda 2" xfId="10" xr:uid="{3E842697-8B08-4BDC-ABB6-751A86949348}"/>
    <cellStyle name="Moneda 3" xfId="5" xr:uid="{60612E85-3677-420B-B33D-E4B8E027F6D0}"/>
    <cellStyle name="Normal" xfId="0" builtinId="0"/>
    <cellStyle name="Normal 4" xfId="6" xr:uid="{E5DB4751-5A65-4004-A17F-2F40A0D6D19C}"/>
    <cellStyle name="Porcentaje" xfId="3" builtinId="5"/>
    <cellStyle name="Porcentaje 2" xfId="8" xr:uid="{D58F4D58-A8E0-4351-A4AD-F654692D6213}"/>
  </cellStyles>
  <dxfs count="310"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/>
        <i val="0"/>
        <color auto="1"/>
      </font>
      <fill>
        <patternFill>
          <fgColor auto="1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71" formatCode="#,##0.00_ ;[Red]\-#,##0.00\ "/>
      <fill>
        <patternFill patternType="none">
          <fgColor indexed="64"/>
          <bgColor auto="1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71" formatCode="#,##0.00_ ;[Red]\-#,##0.00\ "/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71" formatCode="#,##0.00_ ;[Red]\-#,##0.00\ "/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71" formatCode="#,##0.00_ ;[Red]\-#,##0.00\ "/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71" formatCode="#,##0.00_ ;[Red]\-#,##0.00\ "/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71" formatCode="#,##0.00_ ;[Red]\-#,##0.00\ "/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71" formatCode="#,##0.00_ ;[Red]\-#,##0.00\ "/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1" formatCode="#,##0.00_ ;[Red]\-#,##0.00\ 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rgb="FFFF0000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71" formatCode="#,##0.00_ ;[Red]\-#,##0.00\ "/>
      <fill>
        <patternFill patternType="none">
          <fgColor indexed="64"/>
          <bgColor auto="1"/>
        </patternFill>
      </fill>
      <alignment horizontal="left" vertical="bottom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71" formatCode="#,##0.00_ ;[Red]\-#,##0.00\ "/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71" formatCode="#,##0.00_ ;[Red]\-#,##0.00\ "/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71" formatCode="#,##0.00_ ;[Red]\-#,##0.00\ "/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71" formatCode="#,##0.00_ ;[Red]\-#,##0.00\ "/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71" formatCode="#,##0.00_ ;[Red]\-#,##0.00\ "/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71" formatCode="#,##0.00_ ;[Red]\-#,##0.00\ "/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1" formatCode="#,##0.00_ ;[Red]\-#,##0.00\ 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mruColors>
      <color rgb="FFCCFF66"/>
      <color rgb="FF00FF00"/>
      <color rgb="FF6666FF"/>
      <color rgb="FF99CC00"/>
      <color rgb="FF66CC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0.png"/><Relationship Id="rId18" Type="http://schemas.openxmlformats.org/officeDocument/2006/relationships/image" Target="../media/image25.png"/><Relationship Id="rId26" Type="http://schemas.openxmlformats.org/officeDocument/2006/relationships/image" Target="../media/image33.png"/><Relationship Id="rId39" Type="http://schemas.openxmlformats.org/officeDocument/2006/relationships/image" Target="../media/image46.png"/><Relationship Id="rId21" Type="http://schemas.openxmlformats.org/officeDocument/2006/relationships/image" Target="../media/image28.png"/><Relationship Id="rId34" Type="http://schemas.openxmlformats.org/officeDocument/2006/relationships/image" Target="../media/image41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6" Type="http://schemas.openxmlformats.org/officeDocument/2006/relationships/image" Target="../media/image23.png"/><Relationship Id="rId20" Type="http://schemas.openxmlformats.org/officeDocument/2006/relationships/image" Target="../media/image27.png"/><Relationship Id="rId29" Type="http://schemas.openxmlformats.org/officeDocument/2006/relationships/image" Target="../media/image36.png"/><Relationship Id="rId41" Type="http://schemas.openxmlformats.org/officeDocument/2006/relationships/image" Target="../media/image48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24" Type="http://schemas.openxmlformats.org/officeDocument/2006/relationships/image" Target="../media/image31.png"/><Relationship Id="rId32" Type="http://schemas.openxmlformats.org/officeDocument/2006/relationships/image" Target="../media/image39.png"/><Relationship Id="rId37" Type="http://schemas.openxmlformats.org/officeDocument/2006/relationships/image" Target="../media/image44.png"/><Relationship Id="rId40" Type="http://schemas.openxmlformats.org/officeDocument/2006/relationships/image" Target="../media/image47.png"/><Relationship Id="rId5" Type="http://schemas.openxmlformats.org/officeDocument/2006/relationships/image" Target="../media/image12.png"/><Relationship Id="rId15" Type="http://schemas.openxmlformats.org/officeDocument/2006/relationships/image" Target="../media/image22.png"/><Relationship Id="rId23" Type="http://schemas.openxmlformats.org/officeDocument/2006/relationships/image" Target="../media/image30.png"/><Relationship Id="rId28" Type="http://schemas.openxmlformats.org/officeDocument/2006/relationships/image" Target="../media/image35.png"/><Relationship Id="rId36" Type="http://schemas.openxmlformats.org/officeDocument/2006/relationships/image" Target="../media/image43.png"/><Relationship Id="rId10" Type="http://schemas.openxmlformats.org/officeDocument/2006/relationships/image" Target="../media/image17.png"/><Relationship Id="rId19" Type="http://schemas.openxmlformats.org/officeDocument/2006/relationships/image" Target="../media/image26.png"/><Relationship Id="rId31" Type="http://schemas.openxmlformats.org/officeDocument/2006/relationships/image" Target="../media/image38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Relationship Id="rId14" Type="http://schemas.openxmlformats.org/officeDocument/2006/relationships/image" Target="../media/image21.png"/><Relationship Id="rId22" Type="http://schemas.openxmlformats.org/officeDocument/2006/relationships/image" Target="../media/image29.png"/><Relationship Id="rId27" Type="http://schemas.openxmlformats.org/officeDocument/2006/relationships/image" Target="../media/image34.png"/><Relationship Id="rId30" Type="http://schemas.openxmlformats.org/officeDocument/2006/relationships/image" Target="../media/image37.png"/><Relationship Id="rId35" Type="http://schemas.openxmlformats.org/officeDocument/2006/relationships/image" Target="../media/image42.png"/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12" Type="http://schemas.openxmlformats.org/officeDocument/2006/relationships/image" Target="../media/image19.png"/><Relationship Id="rId17" Type="http://schemas.openxmlformats.org/officeDocument/2006/relationships/image" Target="../media/image24.png"/><Relationship Id="rId25" Type="http://schemas.openxmlformats.org/officeDocument/2006/relationships/image" Target="../media/image32.png"/><Relationship Id="rId33" Type="http://schemas.openxmlformats.org/officeDocument/2006/relationships/image" Target="../media/image40.png"/><Relationship Id="rId38" Type="http://schemas.openxmlformats.org/officeDocument/2006/relationships/image" Target="../media/image4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Relationship Id="rId4" Type="http://schemas.openxmlformats.org/officeDocument/2006/relationships/image" Target="../media/image5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Relationship Id="rId4" Type="http://schemas.openxmlformats.org/officeDocument/2006/relationships/image" Target="../media/image57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65.png"/><Relationship Id="rId3" Type="http://schemas.openxmlformats.org/officeDocument/2006/relationships/image" Target="../media/image60.png"/><Relationship Id="rId7" Type="http://schemas.openxmlformats.org/officeDocument/2006/relationships/image" Target="../media/image64.png"/><Relationship Id="rId2" Type="http://schemas.openxmlformats.org/officeDocument/2006/relationships/image" Target="../media/image59.png"/><Relationship Id="rId1" Type="http://schemas.openxmlformats.org/officeDocument/2006/relationships/image" Target="../media/image58.png"/><Relationship Id="rId6" Type="http://schemas.openxmlformats.org/officeDocument/2006/relationships/image" Target="../media/image63.png"/><Relationship Id="rId11" Type="http://schemas.openxmlformats.org/officeDocument/2006/relationships/image" Target="../media/image68.png"/><Relationship Id="rId5" Type="http://schemas.openxmlformats.org/officeDocument/2006/relationships/image" Target="../media/image62.png"/><Relationship Id="rId10" Type="http://schemas.openxmlformats.org/officeDocument/2006/relationships/image" Target="../media/image67.png"/><Relationship Id="rId4" Type="http://schemas.openxmlformats.org/officeDocument/2006/relationships/image" Target="../media/image61.png"/><Relationship Id="rId9" Type="http://schemas.openxmlformats.org/officeDocument/2006/relationships/image" Target="../media/image66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3.png"/><Relationship Id="rId1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693965</xdr:colOff>
      <xdr:row>47</xdr:row>
      <xdr:rowOff>147951</xdr:rowOff>
    </xdr:from>
    <xdr:to>
      <xdr:col>27</xdr:col>
      <xdr:colOff>472028</xdr:colOff>
      <xdr:row>54</xdr:row>
      <xdr:rowOff>68037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A941CB4-3AB9-CE14-2AD6-F3DF995F50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7423"/>
        <a:stretch/>
      </xdr:blipFill>
      <xdr:spPr>
        <a:xfrm>
          <a:off x="20070536" y="7196451"/>
          <a:ext cx="3451992" cy="12535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560294</xdr:colOff>
      <xdr:row>28</xdr:row>
      <xdr:rowOff>66233</xdr:rowOff>
    </xdr:from>
    <xdr:to>
      <xdr:col>15</xdr:col>
      <xdr:colOff>314114</xdr:colOff>
      <xdr:row>43</xdr:row>
      <xdr:rowOff>184384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F73BC7-C682-D26C-DBAF-B15A4B08C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8588" y="5153704"/>
          <a:ext cx="7743614" cy="2975651"/>
        </a:xfrm>
        <a:prstGeom prst="rect">
          <a:avLst/>
        </a:prstGeom>
      </xdr:spPr>
    </xdr:pic>
    <xdr:clientData/>
  </xdr:twoCellAnchor>
  <xdr:twoCellAnchor editAs="oneCell">
    <xdr:from>
      <xdr:col>15</xdr:col>
      <xdr:colOff>358587</xdr:colOff>
      <xdr:row>29</xdr:row>
      <xdr:rowOff>44826</xdr:rowOff>
    </xdr:from>
    <xdr:to>
      <xdr:col>21</xdr:col>
      <xdr:colOff>530414</xdr:colOff>
      <xdr:row>46</xdr:row>
      <xdr:rowOff>92040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94C739E-2788-D8E2-739A-036F0070F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6675" y="5322797"/>
          <a:ext cx="5942857" cy="32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566967</xdr:colOff>
      <xdr:row>71</xdr:row>
      <xdr:rowOff>56700</xdr:rowOff>
    </xdr:from>
    <xdr:to>
      <xdr:col>13</xdr:col>
      <xdr:colOff>390240</xdr:colOff>
      <xdr:row>93</xdr:row>
      <xdr:rowOff>127222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086E58-2BC1-F8A4-D95C-0AFAF968B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03" y="18687146"/>
          <a:ext cx="5923809" cy="4114286"/>
        </a:xfrm>
        <a:prstGeom prst="rect">
          <a:avLst/>
        </a:prstGeom>
      </xdr:spPr>
    </xdr:pic>
    <xdr:clientData/>
  </xdr:twoCellAnchor>
  <xdr:twoCellAnchor editAs="oneCell">
    <xdr:from>
      <xdr:col>5</xdr:col>
      <xdr:colOff>1201964</xdr:colOff>
      <xdr:row>28</xdr:row>
      <xdr:rowOff>4137</xdr:rowOff>
    </xdr:from>
    <xdr:to>
      <xdr:col>10</xdr:col>
      <xdr:colOff>430893</xdr:colOff>
      <xdr:row>33</xdr:row>
      <xdr:rowOff>341695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3224C6-4C6B-148D-ED63-769F805E5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59375" y="8236458"/>
          <a:ext cx="4547053" cy="13013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121831</xdr:rowOff>
    </xdr:from>
    <xdr:to>
      <xdr:col>4</xdr:col>
      <xdr:colOff>475110</xdr:colOff>
      <xdr:row>24</xdr:row>
      <xdr:rowOff>76070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5E7440-712F-EC97-BD3E-700E5979A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6395"/>
          <a:ext cx="3808860" cy="27785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176199</xdr:colOff>
      <xdr:row>42</xdr:row>
      <xdr:rowOff>280866</xdr:rowOff>
    </xdr:from>
    <xdr:to>
      <xdr:col>16</xdr:col>
      <xdr:colOff>634473</xdr:colOff>
      <xdr:row>55</xdr:row>
      <xdr:rowOff>253696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410A72-55E4-45A9-9EA0-25F20DB48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50718" y="13457116"/>
          <a:ext cx="5916831" cy="4100330"/>
        </a:xfrm>
        <a:prstGeom prst="rect">
          <a:avLst/>
        </a:prstGeom>
      </xdr:spPr>
    </xdr:pic>
    <xdr:clientData/>
  </xdr:twoCellAnchor>
  <xdr:twoCellAnchor editAs="oneCell">
    <xdr:from>
      <xdr:col>12</xdr:col>
      <xdr:colOff>334945</xdr:colOff>
      <xdr:row>40</xdr:row>
      <xdr:rowOff>77406</xdr:rowOff>
    </xdr:from>
    <xdr:to>
      <xdr:col>15</xdr:col>
      <xdr:colOff>174452</xdr:colOff>
      <xdr:row>44</xdr:row>
      <xdr:rowOff>121887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CF9DDF-3639-4C58-B2CD-BBD995A9E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29945" y="12838464"/>
          <a:ext cx="4540948" cy="1314481"/>
        </a:xfrm>
        <a:prstGeom prst="rect">
          <a:avLst/>
        </a:prstGeom>
      </xdr:spPr>
    </xdr:pic>
    <xdr:clientData/>
  </xdr:twoCellAnchor>
  <xdr:twoCellAnchor editAs="oneCell">
    <xdr:from>
      <xdr:col>12</xdr:col>
      <xdr:colOff>427403</xdr:colOff>
      <xdr:row>33</xdr:row>
      <xdr:rowOff>170962</xdr:rowOff>
    </xdr:from>
    <xdr:to>
      <xdr:col>16</xdr:col>
      <xdr:colOff>511703</xdr:colOff>
      <xdr:row>41</xdr:row>
      <xdr:rowOff>78581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4A5C7DB-1DBF-BC7D-0B20-1611AD19F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22403" y="10941539"/>
          <a:ext cx="5542857" cy="24476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68251</xdr:colOff>
      <xdr:row>401</xdr:row>
      <xdr:rowOff>13131</xdr:rowOff>
    </xdr:from>
    <xdr:to>
      <xdr:col>24</xdr:col>
      <xdr:colOff>692728</xdr:colOff>
      <xdr:row>426</xdr:row>
      <xdr:rowOff>48118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0999AD-0C95-993F-E31E-DC6EC2AFB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91774" y="85305176"/>
          <a:ext cx="9038226" cy="6168510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619126</xdr:colOff>
      <xdr:row>1168</xdr:row>
      <xdr:rowOff>80039</xdr:rowOff>
    </xdr:from>
    <xdr:to>
      <xdr:col>21</xdr:col>
      <xdr:colOff>360786</xdr:colOff>
      <xdr:row>1192</xdr:row>
      <xdr:rowOff>193590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CC590D9-BA63-4C75-C3C4-EF7E0E1C8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73680" y="232773521"/>
          <a:ext cx="6579246" cy="5724349"/>
        </a:xfrm>
        <a:prstGeom prst="rect">
          <a:avLst/>
        </a:prstGeom>
      </xdr:spPr>
    </xdr:pic>
    <xdr:clientData/>
  </xdr:twoCellAnchor>
  <xdr:twoCellAnchor editAs="oneCell">
    <xdr:from>
      <xdr:col>14</xdr:col>
      <xdr:colOff>625694</xdr:colOff>
      <xdr:row>79</xdr:row>
      <xdr:rowOff>15303</xdr:rowOff>
    </xdr:from>
    <xdr:to>
      <xdr:col>22</xdr:col>
      <xdr:colOff>439185</xdr:colOff>
      <xdr:row>96</xdr:row>
      <xdr:rowOff>198430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AC683B1-2FE7-D86B-6ADB-00604ED5F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46035" y="17867462"/>
          <a:ext cx="5932581" cy="4945628"/>
        </a:xfrm>
        <a:prstGeom prst="rect">
          <a:avLst/>
        </a:prstGeom>
      </xdr:spPr>
    </xdr:pic>
    <xdr:clientData/>
  </xdr:twoCellAnchor>
  <xdr:twoCellAnchor editAs="oneCell">
    <xdr:from>
      <xdr:col>13</xdr:col>
      <xdr:colOff>478407</xdr:colOff>
      <xdr:row>1523</xdr:row>
      <xdr:rowOff>101285</xdr:rowOff>
    </xdr:from>
    <xdr:to>
      <xdr:col>22</xdr:col>
      <xdr:colOff>181202</xdr:colOff>
      <xdr:row>1542</xdr:row>
      <xdr:rowOff>392774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9E53D98-0462-4942-C2E5-7B654ADE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87708" y="297533417"/>
          <a:ext cx="6510369" cy="5217408"/>
        </a:xfrm>
        <a:prstGeom prst="rect">
          <a:avLst/>
        </a:prstGeom>
      </xdr:spPr>
    </xdr:pic>
    <xdr:clientData/>
  </xdr:twoCellAnchor>
  <xdr:twoCellAnchor editAs="oneCell">
    <xdr:from>
      <xdr:col>13</xdr:col>
      <xdr:colOff>170515</xdr:colOff>
      <xdr:row>529</xdr:row>
      <xdr:rowOff>43295</xdr:rowOff>
    </xdr:from>
    <xdr:to>
      <xdr:col>24</xdr:col>
      <xdr:colOff>49261</xdr:colOff>
      <xdr:row>556</xdr:row>
      <xdr:rowOff>346612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903A69C-9DD5-9E8F-0404-B6BB25B96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194038" y="113434090"/>
          <a:ext cx="8292495" cy="6552294"/>
        </a:xfrm>
        <a:prstGeom prst="rect">
          <a:avLst/>
        </a:prstGeom>
      </xdr:spPr>
    </xdr:pic>
    <xdr:clientData/>
  </xdr:twoCellAnchor>
  <xdr:twoCellAnchor editAs="oneCell">
    <xdr:from>
      <xdr:col>13</xdr:col>
      <xdr:colOff>290370</xdr:colOff>
      <xdr:row>739</xdr:row>
      <xdr:rowOff>142893</xdr:rowOff>
    </xdr:from>
    <xdr:to>
      <xdr:col>22</xdr:col>
      <xdr:colOff>207594</xdr:colOff>
      <xdr:row>757</xdr:row>
      <xdr:rowOff>259702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34C26B1-8461-9215-2AEF-1462E2F00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313893" y="160422666"/>
          <a:ext cx="6801200" cy="4893740"/>
        </a:xfrm>
        <a:prstGeom prst="rect">
          <a:avLst/>
        </a:prstGeom>
      </xdr:spPr>
    </xdr:pic>
    <xdr:clientData/>
  </xdr:twoCellAnchor>
  <xdr:twoCellAnchor editAs="oneCell">
    <xdr:from>
      <xdr:col>13</xdr:col>
      <xdr:colOff>601229</xdr:colOff>
      <xdr:row>44</xdr:row>
      <xdr:rowOff>58742</xdr:rowOff>
    </xdr:from>
    <xdr:to>
      <xdr:col>22</xdr:col>
      <xdr:colOff>329414</xdr:colOff>
      <xdr:row>62</xdr:row>
      <xdr:rowOff>373480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55A063-182F-6DDF-BC83-8D1529E0B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616093" y="8561969"/>
          <a:ext cx="6586184" cy="4332556"/>
        </a:xfrm>
        <a:prstGeom prst="rect">
          <a:avLst/>
        </a:prstGeom>
      </xdr:spPr>
    </xdr:pic>
    <xdr:clientData/>
  </xdr:twoCellAnchor>
  <xdr:twoCellAnchor editAs="oneCell">
    <xdr:from>
      <xdr:col>12</xdr:col>
      <xdr:colOff>502418</xdr:colOff>
      <xdr:row>110</xdr:row>
      <xdr:rowOff>52501</xdr:rowOff>
    </xdr:from>
    <xdr:to>
      <xdr:col>21</xdr:col>
      <xdr:colOff>529751</xdr:colOff>
      <xdr:row>131</xdr:row>
      <xdr:rowOff>8637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C8AD989-B7DF-3107-BDEE-48F9FF1C0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678668" y="22084733"/>
          <a:ext cx="6864919" cy="4980471"/>
        </a:xfrm>
        <a:prstGeom prst="rect">
          <a:avLst/>
        </a:prstGeom>
      </xdr:spPr>
    </xdr:pic>
    <xdr:clientData/>
  </xdr:twoCellAnchor>
  <xdr:twoCellAnchor editAs="oneCell">
    <xdr:from>
      <xdr:col>12</xdr:col>
      <xdr:colOff>249466</xdr:colOff>
      <xdr:row>173</xdr:row>
      <xdr:rowOff>170090</xdr:rowOff>
    </xdr:from>
    <xdr:to>
      <xdr:col>22</xdr:col>
      <xdr:colOff>249741</xdr:colOff>
      <xdr:row>194</xdr:row>
      <xdr:rowOff>317480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218BEB4-BFE7-E6AA-4A06-5C733BD45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004020" y="36036251"/>
          <a:ext cx="7597595" cy="4438962"/>
        </a:xfrm>
        <a:prstGeom prst="rect">
          <a:avLst/>
        </a:prstGeom>
      </xdr:spPr>
    </xdr:pic>
    <xdr:clientData/>
  </xdr:twoCellAnchor>
  <xdr:twoCellAnchor editAs="oneCell">
    <xdr:from>
      <xdr:col>12</xdr:col>
      <xdr:colOff>455069</xdr:colOff>
      <xdr:row>278</xdr:row>
      <xdr:rowOff>94675</xdr:rowOff>
    </xdr:from>
    <xdr:to>
      <xdr:col>22</xdr:col>
      <xdr:colOff>288205</xdr:colOff>
      <xdr:row>295</xdr:row>
      <xdr:rowOff>143840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9523DA6-FF65-D06C-1103-271CFC5D9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727206" y="55831288"/>
          <a:ext cx="7514587" cy="4614740"/>
        </a:xfrm>
        <a:prstGeom prst="rect">
          <a:avLst/>
        </a:prstGeom>
      </xdr:spPr>
    </xdr:pic>
    <xdr:clientData/>
  </xdr:twoCellAnchor>
  <xdr:twoCellAnchor editAs="oneCell">
    <xdr:from>
      <xdr:col>12</xdr:col>
      <xdr:colOff>351101</xdr:colOff>
      <xdr:row>241</xdr:row>
      <xdr:rowOff>170090</xdr:rowOff>
    </xdr:from>
    <xdr:to>
      <xdr:col>16</xdr:col>
      <xdr:colOff>265498</xdr:colOff>
      <xdr:row>255</xdr:row>
      <xdr:rowOff>121451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BD608DC-594F-7C81-B1C3-E7551EDD1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569579" y="49520633"/>
          <a:ext cx="2951353" cy="2974514"/>
        </a:xfrm>
        <a:prstGeom prst="rect">
          <a:avLst/>
        </a:prstGeom>
      </xdr:spPr>
    </xdr:pic>
    <xdr:clientData/>
  </xdr:twoCellAnchor>
  <xdr:twoCellAnchor editAs="oneCell">
    <xdr:from>
      <xdr:col>18</xdr:col>
      <xdr:colOff>173182</xdr:colOff>
      <xdr:row>368</xdr:row>
      <xdr:rowOff>42029</xdr:rowOff>
    </xdr:from>
    <xdr:to>
      <xdr:col>29</xdr:col>
      <xdr:colOff>476250</xdr:colOff>
      <xdr:row>394</xdr:row>
      <xdr:rowOff>370811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5CC093E-88DC-3796-C1EC-B441FF2F3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353068" y="82058052"/>
          <a:ext cx="8716818" cy="6462304"/>
        </a:xfrm>
        <a:prstGeom prst="rect">
          <a:avLst/>
        </a:prstGeom>
      </xdr:spPr>
    </xdr:pic>
    <xdr:clientData/>
  </xdr:twoCellAnchor>
  <xdr:twoCellAnchor editAs="oneCell">
    <xdr:from>
      <xdr:col>12</xdr:col>
      <xdr:colOff>687178</xdr:colOff>
      <xdr:row>474</xdr:row>
      <xdr:rowOff>12211</xdr:rowOff>
    </xdr:from>
    <xdr:to>
      <xdr:col>20</xdr:col>
      <xdr:colOff>466462</xdr:colOff>
      <xdr:row>491</xdr:row>
      <xdr:rowOff>14432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F839500-7904-CCBF-4048-5E62F1129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945814" y="100760734"/>
          <a:ext cx="5898375" cy="4230743"/>
        </a:xfrm>
        <a:prstGeom prst="rect">
          <a:avLst/>
        </a:prstGeom>
      </xdr:spPr>
    </xdr:pic>
    <xdr:clientData/>
  </xdr:twoCellAnchor>
  <xdr:twoCellAnchor editAs="oneCell">
    <xdr:from>
      <xdr:col>13</xdr:col>
      <xdr:colOff>370059</xdr:colOff>
      <xdr:row>502</xdr:row>
      <xdr:rowOff>182519</xdr:rowOff>
    </xdr:from>
    <xdr:to>
      <xdr:col>25</xdr:col>
      <xdr:colOff>591702</xdr:colOff>
      <xdr:row>525</xdr:row>
      <xdr:rowOff>49352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1DAD1C-8B30-E0CA-FF2F-5AC54CEC1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393582" y="107078996"/>
          <a:ext cx="9400279" cy="5755015"/>
        </a:xfrm>
        <a:prstGeom prst="rect">
          <a:avLst/>
        </a:prstGeom>
      </xdr:spPr>
    </xdr:pic>
    <xdr:clientData/>
  </xdr:twoCellAnchor>
  <xdr:twoCellAnchor editAs="oneCell">
    <xdr:from>
      <xdr:col>12</xdr:col>
      <xdr:colOff>298600</xdr:colOff>
      <xdr:row>577</xdr:row>
      <xdr:rowOff>184387</xdr:rowOff>
    </xdr:from>
    <xdr:to>
      <xdr:col>17</xdr:col>
      <xdr:colOff>359118</xdr:colOff>
      <xdr:row>590</xdr:row>
      <xdr:rowOff>187613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156068C-114B-BA6B-254A-5DFB94F52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557236" y="124355751"/>
          <a:ext cx="3884949" cy="3336976"/>
        </a:xfrm>
        <a:prstGeom prst="rect">
          <a:avLst/>
        </a:prstGeom>
      </xdr:spPr>
    </xdr:pic>
    <xdr:clientData/>
  </xdr:twoCellAnchor>
  <xdr:twoCellAnchor editAs="oneCell">
    <xdr:from>
      <xdr:col>13</xdr:col>
      <xdr:colOff>57218</xdr:colOff>
      <xdr:row>671</xdr:row>
      <xdr:rowOff>84893</xdr:rowOff>
    </xdr:from>
    <xdr:to>
      <xdr:col>21</xdr:col>
      <xdr:colOff>75506</xdr:colOff>
      <xdr:row>692</xdr:row>
      <xdr:rowOff>252824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16F6505-37DD-7E7A-295A-DBB61DD4B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080741" y="145442166"/>
          <a:ext cx="6137377" cy="4858272"/>
        </a:xfrm>
        <a:prstGeom prst="rect">
          <a:avLst/>
        </a:prstGeom>
      </xdr:spPr>
    </xdr:pic>
    <xdr:clientData/>
  </xdr:twoCellAnchor>
  <xdr:twoCellAnchor editAs="oneCell">
    <xdr:from>
      <xdr:col>13</xdr:col>
      <xdr:colOff>522229</xdr:colOff>
      <xdr:row>707</xdr:row>
      <xdr:rowOff>163335</xdr:rowOff>
    </xdr:from>
    <xdr:to>
      <xdr:col>21</xdr:col>
      <xdr:colOff>582737</xdr:colOff>
      <xdr:row>726</xdr:row>
      <xdr:rowOff>210027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51085BD8-57C9-0FB5-9573-B9498015A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545752" y="153342653"/>
          <a:ext cx="6179597" cy="4332941"/>
        </a:xfrm>
        <a:prstGeom prst="rect">
          <a:avLst/>
        </a:prstGeom>
      </xdr:spPr>
    </xdr:pic>
    <xdr:clientData/>
  </xdr:twoCellAnchor>
  <xdr:twoCellAnchor editAs="oneCell">
    <xdr:from>
      <xdr:col>13</xdr:col>
      <xdr:colOff>338530</xdr:colOff>
      <xdr:row>768</xdr:row>
      <xdr:rowOff>164111</xdr:rowOff>
    </xdr:from>
    <xdr:to>
      <xdr:col>21</xdr:col>
      <xdr:colOff>740658</xdr:colOff>
      <xdr:row>789</xdr:row>
      <xdr:rowOff>358993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E99E4904-404F-F42E-265B-5EDE20DEA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362053" y="167919566"/>
          <a:ext cx="6521217" cy="4798632"/>
        </a:xfrm>
        <a:prstGeom prst="rect">
          <a:avLst/>
        </a:prstGeom>
      </xdr:spPr>
    </xdr:pic>
    <xdr:clientData/>
  </xdr:twoCellAnchor>
  <xdr:twoCellAnchor editAs="oneCell">
    <xdr:from>
      <xdr:col>13</xdr:col>
      <xdr:colOff>103910</xdr:colOff>
      <xdr:row>802</xdr:row>
      <xdr:rowOff>123290</xdr:rowOff>
    </xdr:from>
    <xdr:to>
      <xdr:col>20</xdr:col>
      <xdr:colOff>696606</xdr:colOff>
      <xdr:row>822</xdr:row>
      <xdr:rowOff>176832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DC4412E5-E502-E38A-DDFE-91455C7C1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242887" y="175816245"/>
          <a:ext cx="5946900" cy="5027614"/>
        </a:xfrm>
        <a:prstGeom prst="rect">
          <a:avLst/>
        </a:prstGeom>
      </xdr:spPr>
    </xdr:pic>
    <xdr:clientData/>
  </xdr:twoCellAnchor>
  <xdr:twoCellAnchor editAs="oneCell">
    <xdr:from>
      <xdr:col>12</xdr:col>
      <xdr:colOff>557893</xdr:colOff>
      <xdr:row>835</xdr:row>
      <xdr:rowOff>108856</xdr:rowOff>
    </xdr:from>
    <xdr:to>
      <xdr:col>21</xdr:col>
      <xdr:colOff>528467</xdr:colOff>
      <xdr:row>856</xdr:row>
      <xdr:rowOff>165936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6F767888-403F-CF2F-1946-97C5FD2BA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899572" y="164809713"/>
          <a:ext cx="6828571" cy="4866667"/>
        </a:xfrm>
        <a:prstGeom prst="rect">
          <a:avLst/>
        </a:prstGeom>
      </xdr:spPr>
    </xdr:pic>
    <xdr:clientData/>
  </xdr:twoCellAnchor>
  <xdr:twoCellAnchor editAs="oneCell">
    <xdr:from>
      <xdr:col>12</xdr:col>
      <xdr:colOff>741795</xdr:colOff>
      <xdr:row>876</xdr:row>
      <xdr:rowOff>106995</xdr:rowOff>
    </xdr:from>
    <xdr:to>
      <xdr:col>21</xdr:col>
      <xdr:colOff>564905</xdr:colOff>
      <xdr:row>895</xdr:row>
      <xdr:rowOff>72123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A7596178-753D-48DD-D4D2-954FF740F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332363" y="193724268"/>
          <a:ext cx="6707086" cy="4424560"/>
        </a:xfrm>
        <a:prstGeom prst="rect">
          <a:avLst/>
        </a:prstGeom>
      </xdr:spPr>
    </xdr:pic>
    <xdr:clientData/>
  </xdr:twoCellAnchor>
  <xdr:twoCellAnchor editAs="oneCell">
    <xdr:from>
      <xdr:col>14</xdr:col>
      <xdr:colOff>139372</xdr:colOff>
      <xdr:row>938</xdr:row>
      <xdr:rowOff>106384</xdr:rowOff>
    </xdr:from>
    <xdr:to>
      <xdr:col>22</xdr:col>
      <xdr:colOff>743978</xdr:colOff>
      <xdr:row>962</xdr:row>
      <xdr:rowOff>285441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F155BF72-61F0-CAAD-EBC4-257AC4D44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59713" y="205644339"/>
          <a:ext cx="6723696" cy="5345648"/>
        </a:xfrm>
        <a:prstGeom prst="rect">
          <a:avLst/>
        </a:prstGeom>
      </xdr:spPr>
    </xdr:pic>
    <xdr:clientData/>
  </xdr:twoCellAnchor>
  <xdr:twoCellAnchor editAs="oneCell">
    <xdr:from>
      <xdr:col>13</xdr:col>
      <xdr:colOff>650668</xdr:colOff>
      <xdr:row>973</xdr:row>
      <xdr:rowOff>56903</xdr:rowOff>
    </xdr:from>
    <xdr:to>
      <xdr:col>22</xdr:col>
      <xdr:colOff>304069</xdr:colOff>
      <xdr:row>991</xdr:row>
      <xdr:rowOff>146411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B8CD9190-3DF7-3A8B-1485-52793BF4B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006123" y="212781903"/>
          <a:ext cx="6537377" cy="4678825"/>
        </a:xfrm>
        <a:prstGeom prst="rect">
          <a:avLst/>
        </a:prstGeom>
      </xdr:spPr>
    </xdr:pic>
    <xdr:clientData/>
  </xdr:twoCellAnchor>
  <xdr:twoCellAnchor editAs="oneCell">
    <xdr:from>
      <xdr:col>21</xdr:col>
      <xdr:colOff>274205</xdr:colOff>
      <xdr:row>1041</xdr:row>
      <xdr:rowOff>140759</xdr:rowOff>
    </xdr:from>
    <xdr:to>
      <xdr:col>29</xdr:col>
      <xdr:colOff>109304</xdr:colOff>
      <xdr:row>1059</xdr:row>
      <xdr:rowOff>3016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8C406828-F7EF-4625-4698-F1D76D910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748750" y="242984964"/>
          <a:ext cx="5954190" cy="4520476"/>
        </a:xfrm>
        <a:prstGeom prst="rect">
          <a:avLst/>
        </a:prstGeom>
      </xdr:spPr>
    </xdr:pic>
    <xdr:clientData/>
  </xdr:twoCellAnchor>
  <xdr:twoCellAnchor editAs="oneCell">
    <xdr:from>
      <xdr:col>12</xdr:col>
      <xdr:colOff>291353</xdr:colOff>
      <xdr:row>1134</xdr:row>
      <xdr:rowOff>179295</xdr:rowOff>
    </xdr:from>
    <xdr:to>
      <xdr:col>21</xdr:col>
      <xdr:colOff>14308</xdr:colOff>
      <xdr:row>1152</xdr:row>
      <xdr:rowOff>49984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DD412B08-0275-09F2-CD1C-9470251F4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211735" y="224476236"/>
          <a:ext cx="6580952" cy="4809524"/>
        </a:xfrm>
        <a:prstGeom prst="rect">
          <a:avLst/>
        </a:prstGeom>
      </xdr:spPr>
    </xdr:pic>
    <xdr:clientData/>
  </xdr:twoCellAnchor>
  <xdr:twoCellAnchor editAs="oneCell">
    <xdr:from>
      <xdr:col>12</xdr:col>
      <xdr:colOff>500656</xdr:colOff>
      <xdr:row>1201</xdr:row>
      <xdr:rowOff>154082</xdr:rowOff>
    </xdr:from>
    <xdr:to>
      <xdr:col>22</xdr:col>
      <xdr:colOff>101235</xdr:colOff>
      <xdr:row>1225</xdr:row>
      <xdr:rowOff>78114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3F0A361A-64A2-B383-66AE-AF46E00A4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653560" y="243559854"/>
          <a:ext cx="7164549" cy="5757021"/>
        </a:xfrm>
        <a:prstGeom prst="rect">
          <a:avLst/>
        </a:prstGeom>
      </xdr:spPr>
    </xdr:pic>
    <xdr:clientData/>
  </xdr:twoCellAnchor>
  <xdr:twoCellAnchor editAs="oneCell">
    <xdr:from>
      <xdr:col>12</xdr:col>
      <xdr:colOff>406213</xdr:colOff>
      <xdr:row>1273</xdr:row>
      <xdr:rowOff>70037</xdr:rowOff>
    </xdr:from>
    <xdr:to>
      <xdr:col>21</xdr:col>
      <xdr:colOff>465309</xdr:colOff>
      <xdr:row>1293</xdr:row>
      <xdr:rowOff>251827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282BD29F-CF49-8E9F-57EE-48AB39946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559117" y="257301066"/>
          <a:ext cx="6866667" cy="5038095"/>
        </a:xfrm>
        <a:prstGeom prst="rect">
          <a:avLst/>
        </a:prstGeom>
      </xdr:spPr>
    </xdr:pic>
    <xdr:clientData/>
  </xdr:twoCellAnchor>
  <xdr:twoCellAnchor editAs="oneCell">
    <xdr:from>
      <xdr:col>13</xdr:col>
      <xdr:colOff>183368</xdr:colOff>
      <xdr:row>1304</xdr:row>
      <xdr:rowOff>187189</xdr:rowOff>
    </xdr:from>
    <xdr:to>
      <xdr:col>23</xdr:col>
      <xdr:colOff>704079</xdr:colOff>
      <xdr:row>1326</xdr:row>
      <xdr:rowOff>174598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777AE15-BEC4-389A-AADE-20E71F537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538823" y="286297984"/>
          <a:ext cx="8169573" cy="4778773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1336</xdr:row>
      <xdr:rowOff>70037</xdr:rowOff>
    </xdr:from>
    <xdr:to>
      <xdr:col>21</xdr:col>
      <xdr:colOff>728385</xdr:colOff>
      <xdr:row>1355</xdr:row>
      <xdr:rowOff>756336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7E5002E4-FF64-7A60-AF10-5A608934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3629154" y="270439963"/>
          <a:ext cx="7059706" cy="5429696"/>
        </a:xfrm>
        <a:prstGeom prst="rect">
          <a:avLst/>
        </a:prstGeom>
      </xdr:spPr>
    </xdr:pic>
    <xdr:clientData/>
  </xdr:twoCellAnchor>
  <xdr:twoCellAnchor editAs="oneCell">
    <xdr:from>
      <xdr:col>12</xdr:col>
      <xdr:colOff>592202</xdr:colOff>
      <xdr:row>1464</xdr:row>
      <xdr:rowOff>140072</xdr:rowOff>
    </xdr:from>
    <xdr:to>
      <xdr:col>22</xdr:col>
      <xdr:colOff>23422</xdr:colOff>
      <xdr:row>1484</xdr:row>
      <xdr:rowOff>96354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1E2633A6-873F-A0EE-F343-F1CC58583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5182770" y="306109049"/>
          <a:ext cx="7080083" cy="4473441"/>
        </a:xfrm>
        <a:prstGeom prst="rect">
          <a:avLst/>
        </a:prstGeom>
      </xdr:spPr>
    </xdr:pic>
    <xdr:clientData/>
  </xdr:twoCellAnchor>
  <xdr:twoCellAnchor editAs="oneCell">
    <xdr:from>
      <xdr:col>12</xdr:col>
      <xdr:colOff>686361</xdr:colOff>
      <xdr:row>1554</xdr:row>
      <xdr:rowOff>70037</xdr:rowOff>
    </xdr:from>
    <xdr:to>
      <xdr:col>22</xdr:col>
      <xdr:colOff>476004</xdr:colOff>
      <xdr:row>1576</xdr:row>
      <xdr:rowOff>31473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CFF897E5-E4A2-EAC0-9198-80CA36306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839265" y="304211691"/>
          <a:ext cx="7353613" cy="5325403"/>
        </a:xfrm>
        <a:prstGeom prst="rect">
          <a:avLst/>
        </a:prstGeom>
      </xdr:spPr>
    </xdr:pic>
    <xdr:clientData/>
  </xdr:twoCellAnchor>
  <xdr:twoCellAnchor editAs="oneCell">
    <xdr:from>
      <xdr:col>12</xdr:col>
      <xdr:colOff>322169</xdr:colOff>
      <xdr:row>1620</xdr:row>
      <xdr:rowOff>140073</xdr:rowOff>
    </xdr:from>
    <xdr:to>
      <xdr:col>21</xdr:col>
      <xdr:colOff>221119</xdr:colOff>
      <xdr:row>1642</xdr:row>
      <xdr:rowOff>133023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892AD916-48F4-DBAF-8220-3CF2FC96C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3475073" y="317616727"/>
          <a:ext cx="6706521" cy="5255895"/>
        </a:xfrm>
        <a:prstGeom prst="rect">
          <a:avLst/>
        </a:prstGeom>
      </xdr:spPr>
    </xdr:pic>
    <xdr:clientData/>
  </xdr:twoCellAnchor>
  <xdr:twoCellAnchor editAs="oneCell">
    <xdr:from>
      <xdr:col>13</xdr:col>
      <xdr:colOff>14007</xdr:colOff>
      <xdr:row>1760</xdr:row>
      <xdr:rowOff>28014</xdr:rowOff>
    </xdr:from>
    <xdr:to>
      <xdr:col>22</xdr:col>
      <xdr:colOff>602316</xdr:colOff>
      <xdr:row>1780</xdr:row>
      <xdr:rowOff>320460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83FE56B4-3D43-F365-0436-74FC8364F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923308" y="345155183"/>
          <a:ext cx="7395883" cy="5301563"/>
        </a:xfrm>
        <a:prstGeom prst="rect">
          <a:avLst/>
        </a:prstGeom>
      </xdr:spPr>
    </xdr:pic>
    <xdr:clientData/>
  </xdr:twoCellAnchor>
  <xdr:twoCellAnchor editAs="oneCell">
    <xdr:from>
      <xdr:col>13</xdr:col>
      <xdr:colOff>187190</xdr:colOff>
      <xdr:row>1792</xdr:row>
      <xdr:rowOff>98475</xdr:rowOff>
    </xdr:from>
    <xdr:to>
      <xdr:col>22</xdr:col>
      <xdr:colOff>288697</xdr:colOff>
      <xdr:row>1814</xdr:row>
      <xdr:rowOff>27165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FEB5AFE2-89D6-665E-1CDC-7343B9F66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5542645" y="372468248"/>
          <a:ext cx="6985483" cy="5181872"/>
        </a:xfrm>
        <a:prstGeom prst="rect">
          <a:avLst/>
        </a:prstGeom>
      </xdr:spPr>
    </xdr:pic>
    <xdr:clientData/>
  </xdr:twoCellAnchor>
  <xdr:twoCellAnchor editAs="oneCell">
    <xdr:from>
      <xdr:col>12</xdr:col>
      <xdr:colOff>434228</xdr:colOff>
      <xdr:row>1825</xdr:row>
      <xdr:rowOff>112061</xdr:rowOff>
    </xdr:from>
    <xdr:to>
      <xdr:col>21</xdr:col>
      <xdr:colOff>588562</xdr:colOff>
      <xdr:row>1847</xdr:row>
      <xdr:rowOff>305993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105206CD-8303-2F97-69E6-92FC58DF3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3587132" y="358378127"/>
          <a:ext cx="6961905" cy="5190476"/>
        </a:xfrm>
        <a:prstGeom prst="rect">
          <a:avLst/>
        </a:prstGeom>
      </xdr:spPr>
    </xdr:pic>
    <xdr:clientData/>
  </xdr:twoCellAnchor>
  <xdr:twoCellAnchor editAs="oneCell">
    <xdr:from>
      <xdr:col>12</xdr:col>
      <xdr:colOff>657766</xdr:colOff>
      <xdr:row>1929</xdr:row>
      <xdr:rowOff>2</xdr:rowOff>
    </xdr:from>
    <xdr:to>
      <xdr:col>23</xdr:col>
      <xdr:colOff>98920</xdr:colOff>
      <xdr:row>1952</xdr:row>
      <xdr:rowOff>63101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0336C6B5-5330-1A83-B5A5-E2E2099F0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3810670" y="377974414"/>
          <a:ext cx="7761520" cy="5753056"/>
        </a:xfrm>
        <a:prstGeom prst="rect">
          <a:avLst/>
        </a:prstGeom>
      </xdr:spPr>
    </xdr:pic>
    <xdr:clientData/>
  </xdr:twoCellAnchor>
  <xdr:twoCellAnchor editAs="oneCell">
    <xdr:from>
      <xdr:col>12</xdr:col>
      <xdr:colOff>326238</xdr:colOff>
      <xdr:row>1961</xdr:row>
      <xdr:rowOff>126066</xdr:rowOff>
    </xdr:from>
    <xdr:to>
      <xdr:col>21</xdr:col>
      <xdr:colOff>326498</xdr:colOff>
      <xdr:row>1980</xdr:row>
      <xdr:rowOff>127361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6026B0F2-1A7E-4AA2-E2AD-CA7E6BC97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3479142" y="385062132"/>
          <a:ext cx="6807831" cy="4930589"/>
        </a:xfrm>
        <a:prstGeom prst="rect">
          <a:avLst/>
        </a:prstGeom>
      </xdr:spPr>
    </xdr:pic>
    <xdr:clientData/>
  </xdr:twoCellAnchor>
  <xdr:twoCellAnchor editAs="oneCell">
    <xdr:from>
      <xdr:col>13</xdr:col>
      <xdr:colOff>336178</xdr:colOff>
      <xdr:row>1988</xdr:row>
      <xdr:rowOff>98051</xdr:rowOff>
    </xdr:from>
    <xdr:to>
      <xdr:col>23</xdr:col>
      <xdr:colOff>713513</xdr:colOff>
      <xdr:row>2014</xdr:row>
      <xdr:rowOff>2167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ED3ADA7C-F6E2-E93A-50CD-D47C44D0D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245479" y="391603566"/>
          <a:ext cx="7941305" cy="5662971"/>
        </a:xfrm>
        <a:prstGeom prst="rect">
          <a:avLst/>
        </a:prstGeom>
      </xdr:spPr>
    </xdr:pic>
    <xdr:clientData/>
  </xdr:twoCellAnchor>
  <xdr:twoCellAnchor editAs="oneCell">
    <xdr:from>
      <xdr:col>13</xdr:col>
      <xdr:colOff>1247</xdr:colOff>
      <xdr:row>2024</xdr:row>
      <xdr:rowOff>70039</xdr:rowOff>
    </xdr:from>
    <xdr:to>
      <xdr:col>22</xdr:col>
      <xdr:colOff>677145</xdr:colOff>
      <xdr:row>2048</xdr:row>
      <xdr:rowOff>402393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9567AFC8-0088-8679-1B8E-83957A763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3910548" y="398733311"/>
          <a:ext cx="7483472" cy="5931752"/>
        </a:xfrm>
        <a:prstGeom prst="rect">
          <a:avLst/>
        </a:prstGeom>
      </xdr:spPr>
    </xdr:pic>
    <xdr:clientData/>
  </xdr:twoCellAnchor>
  <xdr:twoCellAnchor editAs="oneCell">
    <xdr:from>
      <xdr:col>13</xdr:col>
      <xdr:colOff>212690</xdr:colOff>
      <xdr:row>2062</xdr:row>
      <xdr:rowOff>84045</xdr:rowOff>
    </xdr:from>
    <xdr:to>
      <xdr:col>23</xdr:col>
      <xdr:colOff>258597</xdr:colOff>
      <xdr:row>2085</xdr:row>
      <xdr:rowOff>26743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B21FFA47-A209-0143-5555-163F199A3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4121991" y="406297280"/>
          <a:ext cx="7609877" cy="5378824"/>
        </a:xfrm>
        <a:prstGeom prst="rect">
          <a:avLst/>
        </a:prstGeom>
      </xdr:spPr>
    </xdr:pic>
    <xdr:clientData/>
  </xdr:twoCellAnchor>
  <xdr:twoCellAnchor editAs="oneCell">
    <xdr:from>
      <xdr:col>12</xdr:col>
      <xdr:colOff>720600</xdr:colOff>
      <xdr:row>2271</xdr:row>
      <xdr:rowOff>154079</xdr:rowOff>
    </xdr:from>
    <xdr:to>
      <xdr:col>21</xdr:col>
      <xdr:colOff>630147</xdr:colOff>
      <xdr:row>2294</xdr:row>
      <xdr:rowOff>373102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2826D45F-AF8A-7E07-8729-F4F47F653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3873504" y="439214557"/>
          <a:ext cx="6717118" cy="570099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258761</xdr:colOff>
      <xdr:row>55</xdr:row>
      <xdr:rowOff>124218</xdr:rowOff>
    </xdr:from>
    <xdr:to>
      <xdr:col>17</xdr:col>
      <xdr:colOff>153424</xdr:colOff>
      <xdr:row>71</xdr:row>
      <xdr:rowOff>25019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B8A3CF-8928-B0A9-070D-17A0D916E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3842" y="11692484"/>
          <a:ext cx="6884784" cy="387979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172045</xdr:colOff>
      <xdr:row>100</xdr:row>
      <xdr:rowOff>184349</xdr:rowOff>
    </xdr:from>
    <xdr:to>
      <xdr:col>21</xdr:col>
      <xdr:colOff>381927</xdr:colOff>
      <xdr:row>117</xdr:row>
      <xdr:rowOff>143375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A16DAE-F29D-FE6E-D23F-9B529F06D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12250" y="24362191"/>
          <a:ext cx="7816835" cy="4343788"/>
        </a:xfrm>
        <a:prstGeom prst="rect">
          <a:avLst/>
        </a:prstGeom>
      </xdr:spPr>
    </xdr:pic>
    <xdr:clientData/>
  </xdr:twoCellAnchor>
  <xdr:twoCellAnchor editAs="oneCell">
    <xdr:from>
      <xdr:col>59</xdr:col>
      <xdr:colOff>427844</xdr:colOff>
      <xdr:row>37</xdr:row>
      <xdr:rowOff>15875</xdr:rowOff>
    </xdr:from>
    <xdr:to>
      <xdr:col>66</xdr:col>
      <xdr:colOff>634149</xdr:colOff>
      <xdr:row>55</xdr:row>
      <xdr:rowOff>285749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698F62-BFB2-5AD4-22B2-D86DD2842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73844" y="9937750"/>
          <a:ext cx="8588305" cy="5429250"/>
        </a:xfrm>
        <a:prstGeom prst="rect">
          <a:avLst/>
        </a:prstGeom>
      </xdr:spPr>
    </xdr:pic>
    <xdr:clientData/>
  </xdr:twoCellAnchor>
  <xdr:twoCellAnchor editAs="oneCell">
    <xdr:from>
      <xdr:col>17</xdr:col>
      <xdr:colOff>202891</xdr:colOff>
      <xdr:row>139</xdr:row>
      <xdr:rowOff>439159</xdr:rowOff>
    </xdr:from>
    <xdr:to>
      <xdr:col>21</xdr:col>
      <xdr:colOff>963380</xdr:colOff>
      <xdr:row>157</xdr:row>
      <xdr:rowOff>131765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A35ED77-8DFE-E3B2-2F5A-20EC5EF8E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39222" y="33361861"/>
          <a:ext cx="6398674" cy="3886678"/>
        </a:xfrm>
        <a:prstGeom prst="rect">
          <a:avLst/>
        </a:prstGeom>
      </xdr:spPr>
    </xdr:pic>
    <xdr:clientData/>
  </xdr:twoCellAnchor>
  <xdr:twoCellAnchor editAs="oneCell">
    <xdr:from>
      <xdr:col>15</xdr:col>
      <xdr:colOff>237345</xdr:colOff>
      <xdr:row>135</xdr:row>
      <xdr:rowOff>59671</xdr:rowOff>
    </xdr:from>
    <xdr:to>
      <xdr:col>18</xdr:col>
      <xdr:colOff>562816</xdr:colOff>
      <xdr:row>148</xdr:row>
      <xdr:rowOff>156879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34C4895-6C85-7370-4CC9-E685CA8FE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07224" y="31906969"/>
          <a:ext cx="4381277" cy="3507773"/>
        </a:xfrm>
        <a:prstGeom prst="rect">
          <a:avLst/>
        </a:prstGeom>
      </xdr:spPr>
    </xdr:pic>
    <xdr:clientData/>
  </xdr:twoCellAnchor>
  <xdr:oneCellAnchor>
    <xdr:from>
      <xdr:col>17</xdr:col>
      <xdr:colOff>202891</xdr:colOff>
      <xdr:row>201</xdr:row>
      <xdr:rowOff>439159</xdr:rowOff>
    </xdr:from>
    <xdr:ext cx="6398674" cy="3886678"/>
    <xdr:pic>
      <xdr:nvPicPr>
        <xdr:cNvPr id="7" name="Imagen 6">
          <a:extLst>
            <a:ext uri="{FF2B5EF4-FFF2-40B4-BE49-F238E27FC236}">
              <a16:creationId xmlns:a16="http://schemas.microsoft.com/office/drawing/2014/main" id="{152FDBB0-598E-4DE7-B31C-D74D98ACA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39222" y="33361861"/>
          <a:ext cx="6398674" cy="3886678"/>
        </a:xfrm>
        <a:prstGeom prst="rect">
          <a:avLst/>
        </a:prstGeom>
      </xdr:spPr>
    </xdr:pic>
    <xdr:clientData/>
  </xdr:oneCellAnchor>
  <xdr:oneCellAnchor>
    <xdr:from>
      <xdr:col>15</xdr:col>
      <xdr:colOff>237345</xdr:colOff>
      <xdr:row>197</xdr:row>
      <xdr:rowOff>59671</xdr:rowOff>
    </xdr:from>
    <xdr:ext cx="4381277" cy="3507773"/>
    <xdr:pic>
      <xdr:nvPicPr>
        <xdr:cNvPr id="8" name="Imagen 7">
          <a:extLst>
            <a:ext uri="{FF2B5EF4-FFF2-40B4-BE49-F238E27FC236}">
              <a16:creationId xmlns:a16="http://schemas.microsoft.com/office/drawing/2014/main" id="{6F5BBF34-8560-4B65-9E4C-31B3F6E82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07224" y="31906969"/>
          <a:ext cx="4381277" cy="3507773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82036</xdr:colOff>
      <xdr:row>100</xdr:row>
      <xdr:rowOff>116712</xdr:rowOff>
    </xdr:from>
    <xdr:to>
      <xdr:col>20</xdr:col>
      <xdr:colOff>194557</xdr:colOff>
      <xdr:row>117</xdr:row>
      <xdr:rowOff>86590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BE1A13-B52B-A8C4-1FD8-72FB75942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12036" y="21366121"/>
          <a:ext cx="7663247" cy="3537424"/>
        </a:xfrm>
        <a:prstGeom prst="rect">
          <a:avLst/>
        </a:prstGeom>
      </xdr:spPr>
    </xdr:pic>
    <xdr:clientData/>
  </xdr:twoCellAnchor>
  <xdr:twoCellAnchor editAs="oneCell">
    <xdr:from>
      <xdr:col>13</xdr:col>
      <xdr:colOff>16813</xdr:colOff>
      <xdr:row>128</xdr:row>
      <xdr:rowOff>28752</xdr:rowOff>
    </xdr:from>
    <xdr:to>
      <xdr:col>22</xdr:col>
      <xdr:colOff>149803</xdr:colOff>
      <xdr:row>149</xdr:row>
      <xdr:rowOff>17930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36B4C8-D7E2-E369-8059-DE3B5E37A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79025" y="27120093"/>
          <a:ext cx="10047954" cy="3942613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155</xdr:row>
      <xdr:rowOff>134470</xdr:rowOff>
    </xdr:from>
    <xdr:to>
      <xdr:col>24</xdr:col>
      <xdr:colOff>353368</xdr:colOff>
      <xdr:row>180</xdr:row>
      <xdr:rowOff>129946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6B38D09-5A1F-DA8F-9486-BDD05D2D4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0518" y="32308799"/>
          <a:ext cx="12177815" cy="4701947"/>
        </a:xfrm>
        <a:prstGeom prst="rect">
          <a:avLst/>
        </a:prstGeom>
      </xdr:spPr>
    </xdr:pic>
    <xdr:clientData/>
  </xdr:twoCellAnchor>
  <xdr:twoCellAnchor editAs="oneCell">
    <xdr:from>
      <xdr:col>12</xdr:col>
      <xdr:colOff>322730</xdr:colOff>
      <xdr:row>185</xdr:row>
      <xdr:rowOff>161364</xdr:rowOff>
    </xdr:from>
    <xdr:to>
      <xdr:col>22</xdr:col>
      <xdr:colOff>447830</xdr:colOff>
      <xdr:row>220</xdr:row>
      <xdr:rowOff>72728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61FFF22-E0B0-5CEE-DA59-F3C560671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96048" y="37983458"/>
          <a:ext cx="10828958" cy="65004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517070</xdr:colOff>
      <xdr:row>6</xdr:row>
      <xdr:rowOff>136072</xdr:rowOff>
    </xdr:from>
    <xdr:to>
      <xdr:col>21</xdr:col>
      <xdr:colOff>213415</xdr:colOff>
      <xdr:row>22</xdr:row>
      <xdr:rowOff>13608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5BA195-6AE3-DF6D-674E-61FFD05A9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88391" y="1279072"/>
          <a:ext cx="7765381" cy="3986893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39</xdr:row>
      <xdr:rowOff>149679</xdr:rowOff>
    </xdr:from>
    <xdr:to>
      <xdr:col>21</xdr:col>
      <xdr:colOff>378607</xdr:colOff>
      <xdr:row>60</xdr:row>
      <xdr:rowOff>125976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4030B6-1CF4-0C13-F243-C2A16904C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26393" y="8939893"/>
          <a:ext cx="8257143" cy="4561905"/>
        </a:xfrm>
        <a:prstGeom prst="rect">
          <a:avLst/>
        </a:prstGeom>
      </xdr:spPr>
    </xdr:pic>
    <xdr:clientData/>
  </xdr:twoCellAnchor>
  <xdr:twoCellAnchor editAs="oneCell">
    <xdr:from>
      <xdr:col>13</xdr:col>
      <xdr:colOff>149678</xdr:colOff>
      <xdr:row>75</xdr:row>
      <xdr:rowOff>163286</xdr:rowOff>
    </xdr:from>
    <xdr:to>
      <xdr:col>19</xdr:col>
      <xdr:colOff>423691</xdr:colOff>
      <xdr:row>97</xdr:row>
      <xdr:rowOff>380394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EA4CB56-07FD-9E6C-2C5B-57E2F5CFD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85571" y="14872607"/>
          <a:ext cx="6819048" cy="4857143"/>
        </a:xfrm>
        <a:prstGeom prst="rect">
          <a:avLst/>
        </a:prstGeom>
      </xdr:spPr>
    </xdr:pic>
    <xdr:clientData/>
  </xdr:twoCellAnchor>
  <xdr:twoCellAnchor editAs="oneCell">
    <xdr:from>
      <xdr:col>12</xdr:col>
      <xdr:colOff>408214</xdr:colOff>
      <xdr:row>111</xdr:row>
      <xdr:rowOff>163286</xdr:rowOff>
    </xdr:from>
    <xdr:to>
      <xdr:col>18</xdr:col>
      <xdr:colOff>539368</xdr:colOff>
      <xdr:row>133</xdr:row>
      <xdr:rowOff>49715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8D0A0DB-1199-81D6-F667-5149934FE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82107" y="22914429"/>
          <a:ext cx="6676190" cy="50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639541</xdr:colOff>
      <xdr:row>264</xdr:row>
      <xdr:rowOff>282061</xdr:rowOff>
    </xdr:from>
    <xdr:to>
      <xdr:col>35</xdr:col>
      <xdr:colOff>458190</xdr:colOff>
      <xdr:row>274</xdr:row>
      <xdr:rowOff>176894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4754A52-9DFE-4E22-B228-F5E24465F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30067717" y="28874742"/>
          <a:ext cx="2357726" cy="5152649"/>
        </a:xfrm>
        <a:prstGeom prst="rect">
          <a:avLst/>
        </a:prstGeom>
      </xdr:spPr>
    </xdr:pic>
    <xdr:clientData/>
  </xdr:twoCellAnchor>
  <xdr:twoCellAnchor editAs="oneCell">
    <xdr:from>
      <xdr:col>13</xdr:col>
      <xdr:colOff>80262</xdr:colOff>
      <xdr:row>335</xdr:row>
      <xdr:rowOff>163285</xdr:rowOff>
    </xdr:from>
    <xdr:to>
      <xdr:col>16</xdr:col>
      <xdr:colOff>383214</xdr:colOff>
      <xdr:row>348</xdr:row>
      <xdr:rowOff>182023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BA8914-8C17-4338-BF13-D7A196C2E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15203833" y="45537071"/>
          <a:ext cx="2495238" cy="3895238"/>
        </a:xfrm>
        <a:prstGeom prst="rect">
          <a:avLst/>
        </a:prstGeom>
      </xdr:spPr>
    </xdr:pic>
    <xdr:clientData/>
  </xdr:twoCellAnchor>
  <xdr:twoCellAnchor editAs="oneCell">
    <xdr:from>
      <xdr:col>30</xdr:col>
      <xdr:colOff>353789</xdr:colOff>
      <xdr:row>240</xdr:row>
      <xdr:rowOff>81647</xdr:rowOff>
    </xdr:from>
    <xdr:to>
      <xdr:col>39</xdr:col>
      <xdr:colOff>707573</xdr:colOff>
      <xdr:row>265</xdr:row>
      <xdr:rowOff>419579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35A394C-C8EA-AA83-3EFA-BB1D0FC42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105682" y="25635861"/>
          <a:ext cx="7211784" cy="5808004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108858</xdr:colOff>
      <xdr:row>285</xdr:row>
      <xdr:rowOff>95250</xdr:rowOff>
    </xdr:from>
    <xdr:to>
      <xdr:col>18</xdr:col>
      <xdr:colOff>382965</xdr:colOff>
      <xdr:row>305</xdr:row>
      <xdr:rowOff>51107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C732A0D-6D30-E804-A3F2-7162893A2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32429" y="34398857"/>
          <a:ext cx="6057143" cy="4800000"/>
        </a:xfrm>
        <a:prstGeom prst="rect">
          <a:avLst/>
        </a:prstGeom>
      </xdr:spPr>
    </xdr:pic>
    <xdr:clientData/>
  </xdr:twoCellAnchor>
  <xdr:twoCellAnchor editAs="oneCell">
    <xdr:from>
      <xdr:col>29</xdr:col>
      <xdr:colOff>734782</xdr:colOff>
      <xdr:row>317</xdr:row>
      <xdr:rowOff>149679</xdr:rowOff>
    </xdr:from>
    <xdr:to>
      <xdr:col>38</xdr:col>
      <xdr:colOff>19639</xdr:colOff>
      <xdr:row>338</xdr:row>
      <xdr:rowOff>61977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7C01200-76FA-A06B-1B4C-18C914FC6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527496" y="41773929"/>
          <a:ext cx="6142857" cy="4933333"/>
        </a:xfrm>
        <a:prstGeom prst="rect">
          <a:avLst/>
        </a:prstGeom>
      </xdr:spPr>
    </xdr:pic>
    <xdr:clientData/>
  </xdr:twoCellAnchor>
  <xdr:twoCellAnchor editAs="oneCell">
    <xdr:from>
      <xdr:col>12</xdr:col>
      <xdr:colOff>244929</xdr:colOff>
      <xdr:row>367</xdr:row>
      <xdr:rowOff>54429</xdr:rowOff>
    </xdr:from>
    <xdr:to>
      <xdr:col>14</xdr:col>
      <xdr:colOff>371156</xdr:colOff>
      <xdr:row>377</xdr:row>
      <xdr:rowOff>203919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1A4895A-E55E-D2E1-95BE-7E6E4375B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341929" y="55163358"/>
          <a:ext cx="2561905" cy="2019048"/>
        </a:xfrm>
        <a:prstGeom prst="rect">
          <a:avLst/>
        </a:prstGeom>
      </xdr:spPr>
    </xdr:pic>
    <xdr:clientData/>
  </xdr:twoCellAnchor>
  <xdr:twoCellAnchor editAs="oneCell">
    <xdr:from>
      <xdr:col>13</xdr:col>
      <xdr:colOff>597514</xdr:colOff>
      <xdr:row>349</xdr:row>
      <xdr:rowOff>27211</xdr:rowOff>
    </xdr:from>
    <xdr:to>
      <xdr:col>18</xdr:col>
      <xdr:colOff>625298</xdr:colOff>
      <xdr:row>370</xdr:row>
      <xdr:rowOff>95246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CEE368E-0E87-E33F-2162-67E1FEBE5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021085" y="48767997"/>
          <a:ext cx="5810820" cy="496660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509694</xdr:colOff>
      <xdr:row>5</xdr:row>
      <xdr:rowOff>80856</xdr:rowOff>
    </xdr:from>
    <xdr:to>
      <xdr:col>4</xdr:col>
      <xdr:colOff>604551</xdr:colOff>
      <xdr:row>12</xdr:row>
      <xdr:rowOff>185451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A0D776-DA97-4D3A-EBA7-0AE70DAF2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362075" y="180975"/>
          <a:ext cx="1438095" cy="31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671600</xdr:colOff>
      <xdr:row>4</xdr:row>
      <xdr:rowOff>138025</xdr:rowOff>
    </xdr:from>
    <xdr:to>
      <xdr:col>10</xdr:col>
      <xdr:colOff>756838</xdr:colOff>
      <xdr:row>17</xdr:row>
      <xdr:rowOff>156763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EEF733-9D6D-E5F1-13FE-E1324ED84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181600" y="200025"/>
          <a:ext cx="2495238" cy="38952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ISTICO/Desktop/FACTURACION%20EXCEL/FACTURACION%20MARZO-v3.xlsm" TargetMode="External"/><Relationship Id="rId1" Type="http://schemas.openxmlformats.org/officeDocument/2006/relationships/externalLinkPath" Target="/Users/MISTICO/Desktop/FACTURACION%20EXCEL/FACTURACION%20MARZO-v3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ISTICO/Desktop/FACTURA%20MODELO%2017-%20ENER.xlsm" TargetMode="External"/><Relationship Id="rId1" Type="http://schemas.openxmlformats.org/officeDocument/2006/relationships/externalLinkPath" Target="/Users/MISTICO/Desktop/FACTURA%20MODELO%2017-%20ENER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ISTICO/Desktop/FACTURACION%20EXCEL/FACTURACION%20FEBRERO2025-v2.xlsm" TargetMode="External"/><Relationship Id="rId1" Type="http://schemas.openxmlformats.org/officeDocument/2006/relationships/externalLinkPath" Target="/Users/MISTICO/Desktop/FACTURACION%20EXCEL/FACTURACION%20FEBRERO2025-v2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ala2/OneDrive/Documentos/03-CONTABILIDAD%20LAB%20CUBANO/FACTURACION%20EXCEL/COSTOS/2025%20FORMULAS%20Y%20COSTOS-%20Solic%20Luis%2020%20jun.xlsx" TargetMode="External"/><Relationship Id="rId1" Type="http://schemas.openxmlformats.org/officeDocument/2006/relationships/externalLinkPath" Target="/Users/lala2/OneDrive/Documentos/03-CONTABILIDAD%20LAB%20CUBANO/FACTURACION%20EXCEL/COSTOS/2025%20FORMULAS%20Y%20COSTOS-%20Solic%20Luis%2020%20j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EN POR ALMACEN (2)"/>
      <sheetName val="DETALLE PRODUCTOSxPrecio (2)"/>
      <sheetName val="CLIENTES"/>
      <sheetName val="INVENTARIO "/>
      <sheetName val="DETALLE PRODUCTOSxPrecio anter"/>
      <sheetName val="DETALLE PRODxPrecio-MARZ Final"/>
      <sheetName val="DETALLE DE PRODC Act Marzo"/>
      <sheetName val="FACTURA ELAINE-A"/>
      <sheetName val="FORMATO"/>
      <sheetName val="FACTURA VICTOR-C"/>
      <sheetName val="FACTURA CALICHE"/>
      <sheetName val="VTAS TOTAL X ALMACEN"/>
      <sheetName val="TOTAL PRD TERM Mes"/>
      <sheetName val="RESUM DE INVE"/>
      <sheetName val="RESUM VTAS MARZO"/>
      <sheetName val="RESUM VTAS MARZO CIuda"/>
      <sheetName val="Res saldo"/>
      <sheetName val="VTAS ELAINE"/>
      <sheetName val="RESUMEN VENTAS"/>
      <sheetName val="formato."/>
    </sheetNames>
    <sheetDataSet>
      <sheetData sheetId="0" refreshError="1"/>
      <sheetData sheetId="1" refreshError="1"/>
      <sheetData sheetId="2">
        <row r="1">
          <cell r="A1" t="str">
            <v xml:space="preserve">ELAINE GARZON </v>
          </cell>
        </row>
        <row r="2">
          <cell r="A2" t="str">
            <v>CALICHE-MANZ</v>
          </cell>
        </row>
        <row r="3">
          <cell r="A3" t="str">
            <v>VICTOR-CALI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TALLE PRODUCTOSxPrecio (2)"/>
      <sheetName val="Table 1"/>
      <sheetName val="DETALLE PRODUCTOSxPrecio"/>
      <sheetName val="CLIENTES"/>
      <sheetName val="FACTURA ELAINE-A"/>
      <sheetName val="FORMATO"/>
      <sheetName val="RESUEN POR ALMACEN"/>
      <sheetName val="FACTURA VICTOR-C"/>
      <sheetName val="RESUMEN VENTAS"/>
      <sheetName val="formato.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 xml:space="preserve">ELAINE GARZON </v>
          </cell>
        </row>
        <row r="2">
          <cell r="A2" t="str">
            <v>CALICHE-MANZ</v>
          </cell>
        </row>
        <row r="3">
          <cell r="A3" t="str">
            <v>VICTOR-CALI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EN POR ALMACEN (2)"/>
      <sheetName val="DETALLE PRODUCTOSxPrecio (2)"/>
      <sheetName val="CLIENTES"/>
      <sheetName val="INVENTARIO "/>
      <sheetName val="DETALLE PRODUCTOSxPrecio"/>
      <sheetName val="FACTURA ELAINE-A"/>
      <sheetName val="FORMATO"/>
      <sheetName val="FACTURA VICTOR-C"/>
      <sheetName val="FACTURA CALICHE"/>
      <sheetName val="VTAS TOTAL X ALMACEN"/>
      <sheetName val="TOTAL PRD TERM Mes"/>
      <sheetName val="RESUM DE INVE"/>
      <sheetName val="RES VTAS"/>
      <sheetName val="RESUMEN VENTAS"/>
      <sheetName val="formato."/>
    </sheetNames>
    <sheetDataSet>
      <sheetData sheetId="0" refreshError="1"/>
      <sheetData sheetId="1" refreshError="1"/>
      <sheetData sheetId="2">
        <row r="1">
          <cell r="A1" t="str">
            <v xml:space="preserve">ELAINE GARZON </v>
          </cell>
        </row>
        <row r="2">
          <cell r="A2" t="str">
            <v>CALICHE-MANZ</v>
          </cell>
        </row>
        <row r="3">
          <cell r="A3" t="str">
            <v>VICTOR-CALI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TALLE PRODUCTOSxPrecio (2)"/>
      <sheetName val="Recetas x Prod"/>
      <sheetName val="RECETAS"/>
      <sheetName val="PRECIO COMPR"/>
      <sheetName val="Preci Comp Prod"/>
      <sheetName val="GRUPOS SAI OPEN"/>
      <sheetName val="Gtos Varios"/>
      <sheetName val="DETALLE PRODUCTOSxPrecio"/>
      <sheetName val="Prec Materia Prima y Empaq"/>
      <sheetName val="RECETAS UNGUENTOS"/>
      <sheetName val="RECETAS JARABES"/>
      <sheetName val="RECETAS PASTILLAS"/>
      <sheetName val="RECETAS GOTAS"/>
      <sheetName val="RECETAS CAPS"/>
      <sheetName val="RECETAS JARAB NUEVOS"/>
      <sheetName val="Hoja1"/>
      <sheetName val="2025 FORMULAS Y COSTOS- Solic L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B22">
            <v>3070.542857142857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75DDB6-EC00-47FE-9E60-77360E4D7C79}" name="LISTPROD3" displayName="LISTPROD3" ref="A7:AH133" totalsRowShown="0">
  <autoFilter ref="A7:AH133" xr:uid="{99E3F4DE-4D87-42D2-8C03-0DB8E46E98E3}"/>
  <tableColumns count="34">
    <tableColumn id="1" xr3:uid="{A5C69E7D-17EB-48D9-9FAF-6B954CDC1906}" name="CODIGO" dataDxfId="309"/>
    <tableColumn id="2" xr3:uid="{251C24FB-F83D-4291-9BE9-161EE8C1378B}" name="PRODUCTO"/>
    <tableColumn id="10" xr3:uid="{70CD9CF2-5CD5-4AAF-983F-B12490CACE8D}" name="PRESENTACION" dataDxfId="308"/>
    <tableColumn id="18" xr3:uid="{B6747A71-1563-41F0-8290-B18521E8C9BE}" name="LINEA " dataDxfId="307"/>
    <tableColumn id="16" xr3:uid="{927DC6A0-DEE4-4895-B655-FBB562BC65DC}" name="GRUPO " dataDxfId="306"/>
    <tableColumn id="17" xr3:uid="{68879CD3-810D-4B61-9C48-56D9552DDF34}" name="SUB GRUPO" dataDxfId="305"/>
    <tableColumn id="11" xr3:uid="{49130195-1715-4AC8-848D-BB3B975D2058}" name="MARCA" dataDxfId="304"/>
    <tableColumn id="12" xr3:uid="{67EE3F4F-ACD3-4421-BFA5-FE4EC473AA86}" name="CAMARAS DE COMERCIO DE DISTRIBUIDORES " dataDxfId="303"/>
    <tableColumn id="3" xr3:uid="{B1CEF182-C94A-4C43-9453-256CFBD2499E}" name="LUGAR DE ALMACENAMIENTO" dataDxfId="302"/>
    <tableColumn id="19" xr3:uid="{5115BA5E-CA98-43AD-818C-4B30196861BB}" name="PRECIO DE PRODUCCIÓN POR UND" dataDxfId="301" dataCellStyle="Moneda"/>
    <tableColumn id="23" xr3:uid="{6386BE53-1CCD-4788-AB78-5C9CF09AFD63}" name="TOTAL GASTOS VARIOS" dataDxfId="300" dataCellStyle="Moneda"/>
    <tableColumn id="24" xr3:uid="{8738F8A7-34A4-41FB-A086-81AEDCC2FE09}" name="COSTO TOTAL UNIDAD" dataDxfId="299" dataCellStyle="Moneda"/>
    <tableColumn id="21" xr3:uid="{27C46CB8-198C-4B0B-86A5-0D0333D8040E}" name="COSTO UTILIDAD" dataDxfId="298" dataCellStyle="Moneda"/>
    <tableColumn id="22" xr3:uid="{9A57CFA0-DA65-4128-A997-F7C90BAA9BEA}" name="UTILIDAD" dataDxfId="297" dataCellStyle="Porcentaje"/>
    <tableColumn id="14" xr3:uid="{884D9675-9895-4103-832F-F1D97FE60F27}" name="PRECIO VENTA POR RECETA" dataDxfId="296" dataCellStyle="Moneda"/>
    <tableColumn id="13" xr3:uid="{22FC0894-4235-49F2-B9FC-3B4FD81E28F5}" name="PRECIO DE VENTA 1" dataDxfId="295" dataCellStyle="Moneda"/>
    <tableColumn id="25" xr3:uid="{7901259B-6059-4E64-A240-2920D2AEEAB0}" name="% GANANCIA" dataDxfId="294" dataCellStyle="Moneda">
      <calculatedColumnFormula>(LISTPROD3[[#This Row],[PRECIO DE VENTA 1]]-LISTPROD3[[#This Row],[COSTO TOTAL UNIDAD]])/LISTPROD3[[#This Row],[COSTO TOTAL UNIDAD]]</calculatedColumnFormula>
    </tableColumn>
    <tableColumn id="15" xr3:uid="{7C5AF142-E7D9-4568-990B-56A3315BA840}" name="VALOR UTILIDAD" dataDxfId="293" dataCellStyle="Moneda">
      <calculatedColumnFormula>+LISTPROD3[[#This Row],[PRECIO DE VENTA 1]]*LISTPROD3[[#This Row],[% GANANCIA]]</calculatedColumnFormula>
    </tableColumn>
    <tableColumn id="20" xr3:uid="{E609DC00-71F4-4ED6-8378-4FCD37643718}" name="DIF EN PRECIO" dataDxfId="292" dataCellStyle="Moneda"/>
    <tableColumn id="26" xr3:uid="{FB63170C-EB76-499C-8557-E9D9738715A6}" name="PRECIO DE VENTA2" dataDxfId="291" dataCellStyle="Moneda"/>
    <tableColumn id="27" xr3:uid="{5AD9D3DC-719A-4367-A9B0-32597B0F6465}" name="% GANANCIA2" dataDxfId="290" dataCellStyle="Moneda"/>
    <tableColumn id="28" xr3:uid="{D9AF3B1A-AE1F-4E05-9135-47BA04CC3ED8}" name="VALOR UTILIDAD2" dataDxfId="289" dataCellStyle="Moneda"/>
    <tableColumn id="29" xr3:uid="{25D5167B-E01F-43FA-B42D-E6B05E5BA64E}" name="DIF EN PRECIO5" dataDxfId="288" dataCellStyle="Moneda"/>
    <tableColumn id="30" xr3:uid="{4A00EF87-6ADF-4124-985C-B33143E5C5F5}" name="PRECIO DE VENTA 3" dataDxfId="287" dataCellStyle="Moneda"/>
    <tableColumn id="31" xr3:uid="{0580412A-B76D-4E85-B0A4-7914BD900B0B}" name="% GANANCIA3" dataDxfId="286" dataCellStyle="Moneda"/>
    <tableColumn id="32" xr3:uid="{D7824497-53C5-44AC-8C7E-E6B4E444B921}" name="VALOR UTILIDAD22" dataDxfId="285" dataCellStyle="Moneda"/>
    <tableColumn id="33" xr3:uid="{B535B232-0F2F-484F-99E7-B410FF39DCB2}" name="DIF EN PRECIO55" dataDxfId="284" dataCellStyle="Moneda"/>
    <tableColumn id="34" xr3:uid="{A71EBAE3-237C-4AE9-8C0A-DF8AF7A144F5}" name="OBSERVACIONES" dataDxfId="283" dataCellStyle="Moneda"/>
    <tableColumn id="4" xr3:uid="{F953D377-9F90-4418-B67B-230205AB298F}" name="ELAINE GARZON "/>
    <tableColumn id="5" xr3:uid="{5DDF62A3-2EBD-4CA3-B852-E51DB7F41DCB}" name="CALICHE-MANZ" dataDxfId="282" dataCellStyle="Moneda"/>
    <tableColumn id="6" xr3:uid="{8C0FA97B-4CB4-4701-8B77-4CCCED6ACE74}" name="VICTOR-CALI" dataDxfId="281" dataCellStyle="Moneda"/>
    <tableColumn id="7" xr3:uid="{F2D0FBD7-F735-4627-B0A4-5796C08851CE}" name="VARIOS" dataDxfId="280" dataCellStyle="Moneda"/>
    <tableColumn id="8" xr3:uid="{24D3F437-D147-4999-9E59-1DE34B225231}" name="OBSERVACION" dataDxfId="279"/>
    <tableColumn id="9" xr3:uid="{BF163872-E1FA-4B3C-B4FB-1F6ADAFC7669}" name="ESTADO DE RECE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E3F4DE-4D87-42D2-8C03-0DB8E46E98E3}" name="LISTPROD" displayName="LISTPROD" ref="A7:AN145" totalsRowShown="0">
  <autoFilter ref="A7:AN145" xr:uid="{99E3F4DE-4D87-42D2-8C03-0DB8E46E98E3}"/>
  <tableColumns count="40">
    <tableColumn id="1" xr3:uid="{474571F8-D981-4B9E-BA53-87A136E8DF4D}" name="CODIGO" dataDxfId="278"/>
    <tableColumn id="2" xr3:uid="{48885352-C8DA-4734-BEC0-E4A076006074}" name="PRODUCTO" dataDxfId="277"/>
    <tableColumn id="36" xr3:uid="{6D63CFE4-89DC-47A3-B65B-A629E5025188}" name="NOMBRE EN ETIQUETA" dataDxfId="276"/>
    <tableColumn id="10" xr3:uid="{1860CEB6-8F20-4B37-B2DB-7EB45EC8C994}" name="PRESENTACION" dataDxfId="275"/>
    <tableColumn id="18" xr3:uid="{F7F51FB0-3432-436A-9F9F-D9040126FA5A}" name="LINEA " dataDxfId="274"/>
    <tableColumn id="38" xr3:uid="{0A3302C1-B04F-4CD1-961B-44C6038FB461}" name="LINEA." dataDxfId="273"/>
    <tableColumn id="16" xr3:uid="{90192ADD-2FA3-4CD3-995E-0779911F97A5}" name="GRUPO " dataDxfId="272"/>
    <tableColumn id="39" xr3:uid="{6CC49661-D071-404E-82F5-D8C39596129F}" name="SUB GRUPO" dataDxfId="271"/>
    <tableColumn id="17" xr3:uid="{5F41B36C-1223-401A-8126-E0A622D4C3E6}" name="SUB GRUPO2" dataDxfId="270"/>
    <tableColumn id="11" xr3:uid="{E7872166-42BA-4E2F-AD62-820787A88253}" name="MARCA" dataDxfId="269"/>
    <tableColumn id="12" xr3:uid="{D6FDAD39-FAE7-4295-9AF7-D21641F73C5D}" name="CAMARAS DE COMERCIO DE DISTRIBUIDORES " dataDxfId="268"/>
    <tableColumn id="40" xr3:uid="{692C70B6-283D-4AB1-923E-D4FF3AC97D30}" name="ELABORADO POR" dataDxfId="267"/>
    <tableColumn id="37" xr3:uid="{BDA1F658-F1B7-47F2-AB56-B4717336960F}" name="COMERCIALIZADO POR" dataDxfId="266"/>
    <tableColumn id="3" xr3:uid="{1004A13A-FAF6-45A7-8CBB-12717EAF04FE}" name="LUGAR DE ALMACENAMIENTO" dataDxfId="265"/>
    <tableColumn id="19" xr3:uid="{8001304D-9B86-4A3A-988E-031C542CEC50}" name="PRECIO DE PRODUCCIÓN POR UND" dataDxfId="264" dataCellStyle="Moneda"/>
    <tableColumn id="23" xr3:uid="{04ADB556-3986-45B1-8308-F5298FD58E0C}" name="TOTAL GASTOS VARIOS" dataDxfId="263" dataCellStyle="Moneda"/>
    <tableColumn id="24" xr3:uid="{84F4E74F-EEB0-461A-ADA1-7753C1CE2F8E}" name="COSTO TOTAL UNIDAD" dataDxfId="262" dataCellStyle="Moneda"/>
    <tableColumn id="21" xr3:uid="{687CF723-A4D2-43D7-82C2-0E08D1EB0882}" name="COSTO UTILIDAD" dataDxfId="261" dataCellStyle="Moneda"/>
    <tableColumn id="22" xr3:uid="{4634CF62-F9A0-4480-B78E-BCBA25A0E366}" name="UTILIDAD" dataDxfId="260" dataCellStyle="Porcentaje"/>
    <tableColumn id="14" xr3:uid="{B899A285-7295-4085-B997-7EE87AF03AEE}" name="PRECIO VENTA POR RECETA" dataDxfId="259"/>
    <tableColumn id="13" xr3:uid="{7AE770F2-8DBD-4C54-9994-4A71F5636727}" name="PRECIO DE VENTA 1" dataDxfId="258" dataCellStyle="Moneda"/>
    <tableColumn id="25" xr3:uid="{DBE7984B-EB0A-47B3-8FA5-6FF768117AF3}" name="% GANANCIA" dataDxfId="257" dataCellStyle="Moneda">
      <calculatedColumnFormula>(LISTPROD[[#This Row],[PRECIO DE VENTA 1]]-LISTPROD[[#This Row],[COSTO TOTAL UNIDAD]])/LISTPROD[[#This Row],[COSTO TOTAL UNIDAD]]</calculatedColumnFormula>
    </tableColumn>
    <tableColumn id="15" xr3:uid="{439DA8C3-8C3A-47ED-836B-8F66AC22D7CE}" name="VALOR UTILIDAD" dataDxfId="256" dataCellStyle="Moneda">
      <calculatedColumnFormula>+LISTPROD[[#This Row],[PRECIO DE VENTA 1]]*LISTPROD[[#This Row],[% GANANCIA]]</calculatedColumnFormula>
    </tableColumn>
    <tableColumn id="20" xr3:uid="{474C7FEF-886A-4614-B79F-62F1C76D7762}" name="DIF EN PRECIO" dataDxfId="255" dataCellStyle="Moneda"/>
    <tableColumn id="26" xr3:uid="{0B16377C-BC35-4D82-BF4F-995A70926C34}" name="PRECIO DE VENTA2" dataDxfId="254" dataCellStyle="Moneda"/>
    <tableColumn id="27" xr3:uid="{90481644-DAA1-4CB1-844B-66DCDB6EC7D4}" name="% GANANCIA2" dataDxfId="253" dataCellStyle="Moneda"/>
    <tableColumn id="28" xr3:uid="{A8B63F50-6EAF-4B57-B38E-80C58F9D92C2}" name="VALOR UTILIDAD2" dataDxfId="252" dataCellStyle="Moneda"/>
    <tableColumn id="29" xr3:uid="{DADE76D1-5677-44B0-8F10-5C1CA852228B}" name="DIF EN PRECIO5" dataDxfId="251" dataCellStyle="Moneda"/>
    <tableColumn id="30" xr3:uid="{2731E8BB-E940-4D2A-991D-A63A745D4C31}" name="PRECIO DE VENTA 3" dataDxfId="250" dataCellStyle="Moneda"/>
    <tableColumn id="31" xr3:uid="{770373DD-417B-488B-913C-69DA124762D3}" name="% GANANCIA3" dataDxfId="249" dataCellStyle="Moneda"/>
    <tableColumn id="32" xr3:uid="{F47B6822-4A35-4B3A-B4C2-12CA7B647E3E}" name="VALOR UTILIDAD22" dataDxfId="248" dataCellStyle="Moneda"/>
    <tableColumn id="33" xr3:uid="{E6AC5A1E-7A72-4454-A65D-3C3E58AF1232}" name="DIF EN PRECIO55" dataDxfId="247" dataCellStyle="Moneda"/>
    <tableColumn id="34" xr3:uid="{B60766E5-8C56-4609-B036-70C0A52D44D9}" name="OBSERVACIONES" dataDxfId="246" dataCellStyle="Moneda"/>
    <tableColumn id="4" xr3:uid="{B695F6A3-272B-4F88-971D-460D5B148D6E}" name="ELAINE GARZON " dataDxfId="245"/>
    <tableColumn id="5" xr3:uid="{D5E9B84E-C635-4235-BF51-211189161235}" name="CALICHE-MANZ" dataDxfId="244" dataCellStyle="Moneda"/>
    <tableColumn id="6" xr3:uid="{86DE432E-C1B9-457D-9CD8-276D91EFF3CC}" name="VICTOR-CALI" dataDxfId="243" dataCellStyle="Moneda"/>
    <tableColumn id="7" xr3:uid="{BFB54151-1C91-46EF-A0DD-F1230F40D7E6}" name="VARIOS" dataDxfId="242" dataCellStyle="Moneda"/>
    <tableColumn id="8" xr3:uid="{16680E79-E8F6-4A76-B5C1-2DB3698210D5}" name="OBSERVACION" dataDxfId="241"/>
    <tableColumn id="35" xr3:uid="{C481B0F2-7773-4B16-AB83-831D9A978D7B}" name="SEDE" dataDxfId="240"/>
    <tableColumn id="9" xr3:uid="{D0A017B0-8AAF-4235-BC9D-628446039BC6}" name="ESTADO DE RECET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A2CF-CF6D-4F05-9B15-3435C55B27C4}">
  <sheetPr>
    <tabColor rgb="FF00B050"/>
  </sheetPr>
  <dimension ref="A1:AL137"/>
  <sheetViews>
    <sheetView zoomScale="69" zoomScaleNormal="69" zoomScaleSheetLayoutView="70" workbookViewId="0">
      <pane xSplit="3" ySplit="11" topLeftCell="K67" activePane="bottomRight" state="frozen"/>
      <selection pane="topRight" activeCell="D1" sqref="D1"/>
      <selection pane="bottomLeft" activeCell="A12" sqref="A12"/>
      <selection pane="bottomRight" activeCell="Q60" sqref="Q60"/>
    </sheetView>
  </sheetViews>
  <sheetFormatPr baseColWidth="10" defaultRowHeight="15.75" x14ac:dyDescent="0.25"/>
  <cols>
    <col min="1" max="1" width="10.140625" customWidth="1"/>
    <col min="2" max="2" width="32" style="10" customWidth="1"/>
    <col min="3" max="3" width="18.7109375" style="369" customWidth="1"/>
    <col min="4" max="4" width="20.42578125" style="333" customWidth="1"/>
    <col min="5" max="5" width="13.140625" style="333" customWidth="1"/>
    <col min="6" max="6" width="20.42578125" style="10" customWidth="1"/>
    <col min="7" max="7" width="15.42578125" style="369" customWidth="1"/>
    <col min="8" max="8" width="16.7109375" style="167" customWidth="1"/>
    <col min="9" max="9" width="17.28515625" style="185" customWidth="1"/>
    <col min="10" max="10" width="20.85546875" style="345" customWidth="1"/>
    <col min="11" max="12" width="17.85546875" style="345" customWidth="1"/>
    <col min="13" max="13" width="16.42578125" style="404" customWidth="1"/>
    <col min="14" max="14" width="13.140625" style="515" customWidth="1"/>
    <col min="15" max="15" width="18.42578125" style="529" customWidth="1"/>
    <col min="16" max="16" width="18.42578125" style="502" customWidth="1"/>
    <col min="17" max="17" width="13.5703125" style="359" customWidth="1"/>
    <col min="18" max="18" width="18.42578125" style="436" customWidth="1"/>
    <col min="19" max="19" width="18.42578125" style="388" customWidth="1"/>
    <col min="20" max="20" width="18.42578125" style="436" customWidth="1"/>
    <col min="21" max="21" width="13.7109375" style="388" customWidth="1"/>
    <col min="22" max="23" width="18.42578125" style="388" customWidth="1"/>
    <col min="24" max="24" width="18.42578125" style="436" customWidth="1"/>
    <col min="25" max="25" width="14.7109375" style="388" customWidth="1"/>
    <col min="26" max="26" width="20" style="388" customWidth="1"/>
    <col min="27" max="28" width="18.42578125" style="388" customWidth="1"/>
    <col min="29" max="29" width="18.5703125" style="13" customWidth="1"/>
    <col min="30" max="30" width="17" style="20" customWidth="1"/>
    <col min="31" max="31" width="15.85546875" style="20" customWidth="1"/>
    <col min="32" max="32" width="19.42578125" style="14" customWidth="1"/>
    <col min="33" max="33" width="25.85546875" customWidth="1"/>
    <col min="34" max="34" width="33.140625" customWidth="1"/>
    <col min="36" max="36" width="16.28515625" customWidth="1"/>
    <col min="37" max="37" width="7.140625" customWidth="1"/>
  </cols>
  <sheetData>
    <row r="1" spans="1:38" x14ac:dyDescent="0.25">
      <c r="I1" s="379"/>
      <c r="J1" s="441" t="s">
        <v>670</v>
      </c>
      <c r="K1" s="441"/>
      <c r="L1" s="441"/>
      <c r="M1" s="403"/>
    </row>
    <row r="2" spans="1:38" ht="18.75" x14ac:dyDescent="0.3">
      <c r="A2" s="1459" t="s">
        <v>584</v>
      </c>
      <c r="B2" s="1459"/>
      <c r="I2" s="379"/>
      <c r="J2" s="442" t="s">
        <v>665</v>
      </c>
      <c r="K2" s="442"/>
      <c r="L2" s="442"/>
      <c r="M2" s="403"/>
    </row>
    <row r="3" spans="1:38" ht="26.25" thickBot="1" x14ac:dyDescent="0.3">
      <c r="I3" s="379"/>
      <c r="J3" s="441" t="s">
        <v>666</v>
      </c>
      <c r="K3" s="441"/>
      <c r="L3" s="441"/>
      <c r="M3" s="403"/>
    </row>
    <row r="4" spans="1:38" ht="16.5" thickBot="1" x14ac:dyDescent="0.3">
      <c r="I4" s="379"/>
      <c r="J4" s="441" t="s">
        <v>667</v>
      </c>
      <c r="K4" s="441"/>
      <c r="L4" s="441"/>
      <c r="M4" s="403"/>
      <c r="P4" s="1460" t="s">
        <v>764</v>
      </c>
      <c r="Q4" s="1461"/>
      <c r="R4" s="1461"/>
      <c r="S4" s="1462"/>
      <c r="T4" s="1463" t="s">
        <v>769</v>
      </c>
      <c r="U4" s="1464"/>
      <c r="V4" s="1464"/>
      <c r="W4" s="1465"/>
      <c r="X4" s="1466" t="s">
        <v>768</v>
      </c>
      <c r="Y4" s="1467"/>
      <c r="Z4" s="1467"/>
      <c r="AA4" s="1468"/>
      <c r="AB4" s="512"/>
    </row>
    <row r="5" spans="1:38" ht="27" hidden="1" thickBot="1" x14ac:dyDescent="0.45">
      <c r="D5" s="1469" t="s">
        <v>653</v>
      </c>
      <c r="E5" s="1470"/>
      <c r="F5" s="1470"/>
      <c r="G5" s="1471"/>
      <c r="I5" s="379"/>
      <c r="J5" s="380"/>
      <c r="K5" s="380"/>
      <c r="L5" s="380"/>
      <c r="M5" s="403"/>
      <c r="P5" s="1472" t="s">
        <v>743</v>
      </c>
      <c r="Q5" s="1472"/>
      <c r="R5" s="1472"/>
      <c r="S5" s="1473"/>
      <c r="T5" s="1474" t="s">
        <v>743</v>
      </c>
      <c r="U5" s="1474"/>
      <c r="V5" s="1474"/>
      <c r="W5" s="1475"/>
      <c r="X5" s="1476" t="s">
        <v>743</v>
      </c>
      <c r="Y5" s="1476"/>
      <c r="Z5" s="1476"/>
      <c r="AA5" s="1477"/>
      <c r="AB5" s="512"/>
      <c r="AC5" s="1456" t="s">
        <v>536</v>
      </c>
      <c r="AD5" s="1457"/>
      <c r="AE5" s="1457"/>
      <c r="AF5" s="1458"/>
    </row>
    <row r="6" spans="1:38" ht="16.5" hidden="1" thickBot="1" x14ac:dyDescent="0.3">
      <c r="O6" s="530"/>
      <c r="P6" s="503"/>
      <c r="R6" s="437"/>
      <c r="S6" s="389"/>
      <c r="T6" s="449"/>
      <c r="U6" s="448"/>
      <c r="V6" s="449"/>
      <c r="W6" s="450"/>
      <c r="X6" s="455"/>
      <c r="Y6" s="454"/>
      <c r="Z6" s="455"/>
      <c r="AA6" s="456"/>
      <c r="AB6" s="389"/>
      <c r="AC6" s="15" t="s">
        <v>58</v>
      </c>
      <c r="AD6" s="16" t="s">
        <v>59</v>
      </c>
      <c r="AE6" s="16" t="s">
        <v>60</v>
      </c>
    </row>
    <row r="7" spans="1:38" ht="37.5" customHeight="1" thickBot="1" x14ac:dyDescent="0.3">
      <c r="A7" s="17" t="s">
        <v>61</v>
      </c>
      <c r="B7" s="18" t="s">
        <v>62</v>
      </c>
      <c r="C7" s="553" t="s">
        <v>463</v>
      </c>
      <c r="D7" s="334" t="s">
        <v>650</v>
      </c>
      <c r="E7" s="334" t="s">
        <v>651</v>
      </c>
      <c r="F7" s="328" t="s">
        <v>652</v>
      </c>
      <c r="G7" s="334" t="s">
        <v>486</v>
      </c>
      <c r="H7" s="168" t="s">
        <v>504</v>
      </c>
      <c r="I7" s="186" t="s">
        <v>63</v>
      </c>
      <c r="J7" s="430" t="s">
        <v>762</v>
      </c>
      <c r="K7" s="430" t="s">
        <v>763</v>
      </c>
      <c r="L7" s="430" t="s">
        <v>412</v>
      </c>
      <c r="M7" s="405" t="s">
        <v>660</v>
      </c>
      <c r="N7" s="528" t="s">
        <v>539</v>
      </c>
      <c r="O7" s="531" t="s">
        <v>659</v>
      </c>
      <c r="P7" s="504" t="s">
        <v>770</v>
      </c>
      <c r="Q7" s="384" t="s">
        <v>777</v>
      </c>
      <c r="R7" s="438" t="s">
        <v>774</v>
      </c>
      <c r="S7" s="390" t="s">
        <v>744</v>
      </c>
      <c r="T7" s="452" t="s">
        <v>765</v>
      </c>
      <c r="U7" s="451" t="s">
        <v>778</v>
      </c>
      <c r="V7" s="452" t="s">
        <v>775</v>
      </c>
      <c r="W7" s="453" t="s">
        <v>766</v>
      </c>
      <c r="X7" s="458" t="s">
        <v>771</v>
      </c>
      <c r="Y7" s="457" t="s">
        <v>784</v>
      </c>
      <c r="Z7" s="458" t="s">
        <v>776</v>
      </c>
      <c r="AA7" s="459" t="s">
        <v>767</v>
      </c>
      <c r="AB7" s="513" t="s">
        <v>772</v>
      </c>
      <c r="AC7" s="245" t="s">
        <v>64</v>
      </c>
      <c r="AD7" s="249" t="s">
        <v>65</v>
      </c>
      <c r="AE7" s="249" t="s">
        <v>66</v>
      </c>
      <c r="AF7" s="249" t="s">
        <v>67</v>
      </c>
      <c r="AG7" s="250" t="s">
        <v>359</v>
      </c>
      <c r="AH7" s="30" t="s">
        <v>303</v>
      </c>
    </row>
    <row r="8" spans="1:38" ht="19.5" customHeight="1" x14ac:dyDescent="0.25">
      <c r="A8" s="246" t="s">
        <v>68</v>
      </c>
      <c r="B8" s="164" t="s">
        <v>69</v>
      </c>
      <c r="C8" s="370" t="s">
        <v>464</v>
      </c>
      <c r="D8" s="335" t="s">
        <v>654</v>
      </c>
      <c r="E8" s="539" t="s">
        <v>642</v>
      </c>
      <c r="F8" s="164" t="s">
        <v>655</v>
      </c>
      <c r="G8" s="370" t="s">
        <v>691</v>
      </c>
      <c r="H8" s="169"/>
      <c r="I8" s="244" t="s">
        <v>70</v>
      </c>
      <c r="J8" s="443">
        <f>'RECETAS JARABES'!G68</f>
        <v>2046.4421121811333</v>
      </c>
      <c r="K8" s="443">
        <f>'Gtos Varios'!$B$22</f>
        <v>3070.542857142857</v>
      </c>
      <c r="L8" s="443">
        <f>+LISTPROD3[[#This Row],[PRECIO DE PRODUCCIÓN POR UND]]+LISTPROD3[[#This Row],[TOTAL GASTOS VARIOS]]</f>
        <v>5116.9849693239903</v>
      </c>
      <c r="M8" s="406">
        <f>'RECETAS JARABES'!G73</f>
        <v>3088.4609405778119</v>
      </c>
      <c r="N8" s="516">
        <f>'RECETAS JARABES'!H73</f>
        <v>0.54</v>
      </c>
      <c r="O8" s="559">
        <f>'RECETAS JARABES'!G74</f>
        <v>8807.833052758946</v>
      </c>
      <c r="P8" s="429">
        <v>8000</v>
      </c>
      <c r="Q8" s="440">
        <f>(LISTPROD3[[#This Row],[PRECIO DE VENTA 1]]-LISTPROD3[[#This Row],[COSTO TOTAL UNIDAD]])/LISTPROD3[[#This Row],[COSTO TOTAL UNIDAD]]</f>
        <v>0.56342065649195905</v>
      </c>
      <c r="R8" s="429">
        <f>LISTPROD3[[#This Row],[% GANANCIA]]*LISTPROD3[[#This Row],[COSTO TOTAL UNIDAD]]</f>
        <v>2883.0150306760097</v>
      </c>
      <c r="S8" s="391">
        <f>+LISTPROD3[[#This Row],[PRECIO DE VENTA 1]]-LISTPROD3[[#This Row],[PRECIO VENTA POR RECETA]]</f>
        <v>-807.833052758946</v>
      </c>
      <c r="T8" s="429"/>
      <c r="U8" s="440"/>
      <c r="V8" s="391"/>
      <c r="W8" s="391"/>
      <c r="X8" s="429">
        <v>0</v>
      </c>
      <c r="Y8" s="391"/>
      <c r="Z8" s="391"/>
      <c r="AA8" s="391"/>
      <c r="AB8" s="391"/>
      <c r="AC8" s="247">
        <v>8000</v>
      </c>
      <c r="AD8" s="247">
        <v>0</v>
      </c>
      <c r="AE8" s="247">
        <v>0</v>
      </c>
      <c r="AF8" s="247">
        <v>0</v>
      </c>
      <c r="AG8" s="248"/>
      <c r="AH8" t="s">
        <v>304</v>
      </c>
    </row>
    <row r="9" spans="1:38" ht="16.5" thickBot="1" x14ac:dyDescent="0.3">
      <c r="A9" s="44" t="s">
        <v>71</v>
      </c>
      <c r="B9" s="19" t="s">
        <v>72</v>
      </c>
      <c r="C9" s="554" t="s">
        <v>465</v>
      </c>
      <c r="D9" s="331" t="s">
        <v>654</v>
      </c>
      <c r="E9" s="539" t="s">
        <v>642</v>
      </c>
      <c r="F9" s="164" t="s">
        <v>656</v>
      </c>
      <c r="G9" s="370" t="s">
        <v>491</v>
      </c>
      <c r="H9" s="169"/>
      <c r="I9" s="187" t="s">
        <v>73</v>
      </c>
      <c r="J9" s="443">
        <f>'RECETAS JARABES'!G98</f>
        <v>2074.0653388665546</v>
      </c>
      <c r="K9" s="443">
        <f>'Gtos Varios'!$B$22</f>
        <v>3070.542857142857</v>
      </c>
      <c r="L9" s="443">
        <f>+LISTPROD3[[#This Row],[PRECIO DE PRODUCCIÓN POR UND]]+LISTPROD3[[#This Row],[TOTAL GASTOS VARIOS]]</f>
        <v>5144.6081960094116</v>
      </c>
      <c r="M9" s="407">
        <f>'RECETAS JARABES'!G103</f>
        <v>3390.7272499312671</v>
      </c>
      <c r="N9" s="517">
        <f>'RECETAS JARABES'!$H$103</f>
        <v>0.59</v>
      </c>
      <c r="O9" s="560">
        <f>'RECETAS JARABES'!$G$104</f>
        <v>9137.722588797822</v>
      </c>
      <c r="P9" s="385">
        <v>7500</v>
      </c>
      <c r="Q9" s="440">
        <f>(LISTPROD3[[#This Row],[PRECIO DE VENTA 1]]-LISTPROD3[[#This Row],[COSTO TOTAL UNIDAD]])/LISTPROD3[[#This Row],[COSTO TOTAL UNIDAD]]</f>
        <v>0.45783696527514522</v>
      </c>
      <c r="R9" s="429">
        <f>LISTPROD3[[#This Row],[% GANANCIA]]*LISTPROD3[[#This Row],[COSTO TOTAL UNIDAD]]</f>
        <v>2355.3918039905884</v>
      </c>
      <c r="S9" s="391">
        <f>+LISTPROD3[[#This Row],[PRECIO DE VENTA 1]]-LISTPROD3[[#This Row],[PRECIO VENTA POR RECETA]]</f>
        <v>-1637.722588797822</v>
      </c>
      <c r="T9" s="429"/>
      <c r="U9" s="440"/>
      <c r="V9" s="391"/>
      <c r="W9" s="391"/>
      <c r="X9" s="429">
        <v>0</v>
      </c>
      <c r="Y9" s="391"/>
      <c r="Z9" s="391"/>
      <c r="AA9" s="391"/>
      <c r="AB9" s="391"/>
      <c r="AC9" s="45">
        <v>7500</v>
      </c>
      <c r="AD9" s="45">
        <v>0</v>
      </c>
      <c r="AE9" s="45">
        <v>0</v>
      </c>
      <c r="AF9" s="45">
        <v>0</v>
      </c>
      <c r="AG9" s="40"/>
      <c r="AH9" s="275" t="s">
        <v>568</v>
      </c>
      <c r="AL9" s="1" t="s">
        <v>75</v>
      </c>
    </row>
    <row r="10" spans="1:38" ht="23.25" customHeight="1" thickBot="1" x14ac:dyDescent="0.3">
      <c r="A10" s="49" t="s">
        <v>76</v>
      </c>
      <c r="B10" s="9" t="s">
        <v>77</v>
      </c>
      <c r="C10" s="555" t="s">
        <v>464</v>
      </c>
      <c r="D10" s="331" t="s">
        <v>654</v>
      </c>
      <c r="E10" s="540" t="s">
        <v>642</v>
      </c>
      <c r="F10" s="300" t="s">
        <v>655</v>
      </c>
      <c r="G10" s="255" t="s">
        <v>691</v>
      </c>
      <c r="H10" s="479"/>
      <c r="I10" s="187" t="s">
        <v>70</v>
      </c>
      <c r="J10" s="443">
        <f>'RECETAS JARABES'!G132</f>
        <v>1088.0282785913896</v>
      </c>
      <c r="K10" s="443">
        <f>'Gtos Varios'!$B$22</f>
        <v>3070.542857142857</v>
      </c>
      <c r="L10" s="443">
        <f>+LISTPROD3[[#This Row],[PRECIO DE PRODUCCIÓN POR UND]]+LISTPROD3[[#This Row],[TOTAL GASTOS VARIOS]]</f>
        <v>4158.5711357342461</v>
      </c>
      <c r="M10" s="415">
        <f>'RECETAS JARABES'!G137</f>
        <v>3475.4995433717145</v>
      </c>
      <c r="N10" s="517">
        <f>'RECETAS JARABES'!$H$137</f>
        <v>0.73</v>
      </c>
      <c r="O10" s="560">
        <f>'RECETAS JARABES'!$G$138</f>
        <v>8236.4578219631039</v>
      </c>
      <c r="P10" s="385">
        <v>7000</v>
      </c>
      <c r="Q10" s="440">
        <f>(LISTPROD3[[#This Row],[PRECIO DE VENTA 1]]-LISTPROD3[[#This Row],[COSTO TOTAL UNIDAD]])/LISTPROD3[[#This Row],[COSTO TOTAL UNIDAD]]</f>
        <v>0.68327047236239358</v>
      </c>
      <c r="R10" s="429">
        <f>LISTPROD3[[#This Row],[% GANANCIA]]*LISTPROD3[[#This Row],[COSTO TOTAL UNIDAD]]</f>
        <v>2841.4288642657539</v>
      </c>
      <c r="S10" s="391">
        <f>+LISTPROD3[[#This Row],[PRECIO DE VENTA 1]]-LISTPROD3[[#This Row],[PRECIO VENTA POR RECETA]]</f>
        <v>-1236.4578219631039</v>
      </c>
      <c r="T10" s="429"/>
      <c r="U10" s="440"/>
      <c r="V10" s="391"/>
      <c r="W10" s="391"/>
      <c r="X10" s="429">
        <v>0</v>
      </c>
      <c r="Y10" s="391"/>
      <c r="Z10" s="391"/>
      <c r="AA10" s="391"/>
      <c r="AB10" s="391"/>
      <c r="AC10" s="480">
        <v>7000</v>
      </c>
      <c r="AD10" s="480">
        <v>0</v>
      </c>
      <c r="AE10" s="480">
        <v>0</v>
      </c>
      <c r="AF10" s="480">
        <v>0</v>
      </c>
      <c r="AG10" s="40"/>
      <c r="AH10" t="s">
        <v>304</v>
      </c>
      <c r="AL10" s="481" t="s">
        <v>78</v>
      </c>
    </row>
    <row r="11" spans="1:38" ht="16.5" customHeight="1" thickBot="1" x14ac:dyDescent="0.3">
      <c r="A11" s="49" t="s">
        <v>79</v>
      </c>
      <c r="B11" s="9" t="s">
        <v>80</v>
      </c>
      <c r="C11" s="554" t="s">
        <v>464</v>
      </c>
      <c r="D11" s="331" t="s">
        <v>654</v>
      </c>
      <c r="E11" s="539" t="s">
        <v>642</v>
      </c>
      <c r="F11" s="164" t="s">
        <v>655</v>
      </c>
      <c r="G11" s="370" t="s">
        <v>487</v>
      </c>
      <c r="H11" s="169"/>
      <c r="I11" s="189" t="s">
        <v>74</v>
      </c>
      <c r="J11" s="443">
        <f>'RECETAS JARABES'!G167</f>
        <v>2134.0638814985091</v>
      </c>
      <c r="K11" s="443">
        <f>'Gtos Varios'!$B$22</f>
        <v>3070.542857142857</v>
      </c>
      <c r="L11" s="443">
        <f>+LISTPROD3[[#This Row],[PRECIO DE PRODUCCIÓN POR UND]]+LISTPROD3[[#This Row],[TOTAL GASTOS VARIOS]]</f>
        <v>5204.6067386413661</v>
      </c>
      <c r="M11" s="409">
        <f>'RECETAS JARABES'!G172</f>
        <v>3368.0564512691349</v>
      </c>
      <c r="N11" s="517">
        <f>'RECETAS JARABES'!$H$172</f>
        <v>0.57999999999999996</v>
      </c>
      <c r="O11" s="560">
        <f>'RECETAS JARABES'!$G$173</f>
        <v>9175.0503327676433</v>
      </c>
      <c r="P11" s="385">
        <v>6000</v>
      </c>
      <c r="Q11" s="440">
        <f>(LISTPROD3[[#This Row],[PRECIO DE VENTA 1]]-LISTPROD3[[#This Row],[COSTO TOTAL UNIDAD]])/LISTPROD3[[#This Row],[COSTO TOTAL UNIDAD]]</f>
        <v>0.15282485330798826</v>
      </c>
      <c r="R11" s="429">
        <f>LISTPROD3[[#This Row],[% GANANCIA]]*LISTPROD3[[#This Row],[COSTO TOTAL UNIDAD]]</f>
        <v>795.39326135863394</v>
      </c>
      <c r="S11" s="391">
        <f>+LISTPROD3[[#This Row],[PRECIO DE VENTA 1]]-LISTPROD3[[#This Row],[PRECIO VENTA POR RECETA]]</f>
        <v>-3175.0503327676433</v>
      </c>
      <c r="T11" s="429">
        <v>5000</v>
      </c>
      <c r="U11" s="511">
        <f>(LISTPROD3[[#This Row],[PRECIO DE VENTA2]]-LISTPROD3[[#This Row],[COSTO TOTAL UNIDAD]])/LISTPROD3[[#This Row],[COSTO TOTAL UNIDAD]]</f>
        <v>-3.9312622243343122E-2</v>
      </c>
      <c r="V11" s="429">
        <f>+LISTPROD3[[#This Row],[% GANANCIA2]]*LISTPROD3[[#This Row],[COSTO TOTAL UNIDAD]]</f>
        <v>-204.60673864136606</v>
      </c>
      <c r="W11" s="391">
        <f>LISTPROD3[[#This Row],[PRECIO DE VENTA2]]-LISTPROD3[[#This Row],[PRECIO VENTA POR RECETA]]</f>
        <v>-4175.0503327676433</v>
      </c>
      <c r="X11" s="429">
        <v>5000</v>
      </c>
      <c r="Y11" s="511">
        <f>(LISTPROD3[[#This Row],[PRECIO DE VENTA 3]]-LISTPROD3[[#This Row],[COSTO TOTAL UNIDAD]])/LISTPROD3[[#This Row],[COSTO TOTAL UNIDAD]]</f>
        <v>-3.9312622243343122E-2</v>
      </c>
      <c r="Z11" s="429">
        <f>LISTPROD3[[#This Row],[% GANANCIA3]]*LISTPROD3[[#This Row],[COSTO TOTAL UNIDAD]]</f>
        <v>-204.60673864136606</v>
      </c>
      <c r="AA11" s="391"/>
      <c r="AB11" s="391"/>
      <c r="AC11" s="45">
        <v>6000</v>
      </c>
      <c r="AD11" s="45">
        <v>5000</v>
      </c>
      <c r="AE11" s="45">
        <v>5000</v>
      </c>
      <c r="AF11" s="45">
        <v>5000</v>
      </c>
      <c r="AG11" s="40"/>
      <c r="AH11" t="s">
        <v>304</v>
      </c>
      <c r="AL11" s="4" t="s">
        <v>81</v>
      </c>
    </row>
    <row r="12" spans="1:38" s="381" customFormat="1" ht="32.25" customHeight="1" thickBot="1" x14ac:dyDescent="0.3">
      <c r="A12" s="50" t="s">
        <v>82</v>
      </c>
      <c r="B12" s="51" t="s">
        <v>83</v>
      </c>
      <c r="C12" s="251" t="s">
        <v>671</v>
      </c>
      <c r="D12" s="337" t="s">
        <v>654</v>
      </c>
      <c r="E12" s="332" t="s">
        <v>611</v>
      </c>
      <c r="F12" s="251" t="s">
        <v>672</v>
      </c>
      <c r="G12" s="372"/>
      <c r="H12" s="159"/>
      <c r="I12" s="188" t="s">
        <v>74</v>
      </c>
      <c r="J12" s="478">
        <f>'RECETAS PASTILLAS'!G16</f>
        <v>2450</v>
      </c>
      <c r="K12" s="443">
        <f>'Gtos Varios'!$B$22</f>
        <v>3070.542857142857</v>
      </c>
      <c r="L12" s="491">
        <f>+LISTPROD3[[#This Row],[TOTAL GASTOS VARIOS]]+LISTPROD3[[#This Row],[PRECIO DE PRODUCCIÓN POR UND]]</f>
        <v>5520.5428571428565</v>
      </c>
      <c r="M12" s="408">
        <f>'RECETAS PASTILLAS'!G21</f>
        <v>3367.6115000000004</v>
      </c>
      <c r="N12" s="757">
        <f>'RECETAS PASTILLAS'!H21</f>
        <v>0.55000000000000004</v>
      </c>
      <c r="O12" s="758">
        <f>'RECETAS PASTILLAS'!G22</f>
        <v>9490.5415000000012</v>
      </c>
      <c r="P12" s="759">
        <v>3200</v>
      </c>
      <c r="Q12" s="760">
        <f>(LISTPROD3[[#This Row],[PRECIO DE VENTA 1]]-LISTPROD3[[#This Row],[COSTO TOTAL UNIDAD]])/LISTPROD3[[#This Row],[COSTO TOTAL UNIDAD]]</f>
        <v>-0.42034686029841778</v>
      </c>
      <c r="R12" s="761">
        <f>LISTPROD3[[#This Row],[% GANANCIA]]*LISTPROD3[[#This Row],[COSTO TOTAL UNIDAD]]</f>
        <v>-2320.5428571428565</v>
      </c>
      <c r="S12" s="762"/>
      <c r="T12" s="759">
        <v>3200</v>
      </c>
      <c r="U12" s="760">
        <f>(LISTPROD3[[#This Row],[PRECIO DE VENTA2]]-LISTPROD3[[#This Row],[COSTO TOTAL UNIDAD]])/LISTPROD3[[#This Row],[COSTO TOTAL UNIDAD]]</f>
        <v>-0.42034686029841778</v>
      </c>
      <c r="V12" s="761">
        <f>LISTPROD3[[#This Row],[PRECIO DE VENTA2]]*LISTPROD3[[#This Row],[% GANANCIA2]]</f>
        <v>-1345.1099529549369</v>
      </c>
      <c r="W12" s="763"/>
      <c r="X12" s="759">
        <v>3200</v>
      </c>
      <c r="Y12" s="760">
        <f>(LISTPROD3[[#This Row],[PRECIO DE VENTA 3]]-LISTPROD3[[#This Row],[COSTO TOTAL UNIDAD]])/LISTPROD3[[#This Row],[COSTO TOTAL UNIDAD]]</f>
        <v>-0.42034686029841778</v>
      </c>
      <c r="Z12" s="761">
        <f>+LISTPROD3[[#This Row],[PRECIO DE VENTA 3]]*LISTPROD3[[#This Row],[% GANANCIA3]]</f>
        <v>-1345.1099529549369</v>
      </c>
      <c r="AA12" s="762"/>
      <c r="AB12" s="764" t="s">
        <v>773</v>
      </c>
      <c r="AC12" s="765">
        <v>3200</v>
      </c>
      <c r="AD12" s="765">
        <v>3200</v>
      </c>
      <c r="AE12" s="765">
        <v>3200</v>
      </c>
      <c r="AF12" s="765">
        <v>3200</v>
      </c>
      <c r="AG12" s="766"/>
      <c r="AH12" s="381" t="s">
        <v>315</v>
      </c>
      <c r="AL12" s="5" t="s">
        <v>84</v>
      </c>
    </row>
    <row r="13" spans="1:38" ht="18" customHeight="1" x14ac:dyDescent="0.25">
      <c r="A13" s="44" t="s">
        <v>85</v>
      </c>
      <c r="B13" s="19" t="s">
        <v>86</v>
      </c>
      <c r="C13" s="554" t="s">
        <v>464</v>
      </c>
      <c r="D13" s="331" t="s">
        <v>654</v>
      </c>
      <c r="E13" s="539" t="s">
        <v>642</v>
      </c>
      <c r="F13" s="164" t="s">
        <v>655</v>
      </c>
      <c r="G13" s="370" t="s">
        <v>691</v>
      </c>
      <c r="H13" s="169"/>
      <c r="I13" s="187" t="s">
        <v>70</v>
      </c>
      <c r="J13" s="443">
        <f>'RECETAS JARABES'!G200</f>
        <v>949.47360366506098</v>
      </c>
      <c r="K13" s="443">
        <f>'Gtos Varios'!$B$22</f>
        <v>3070.542857142857</v>
      </c>
      <c r="L13" s="443">
        <f>+LISTPROD3[[#This Row],[PRECIO DE PRODUCCIÓN POR UND]]+LISTPROD3[[#This Row],[TOTAL GASTOS VARIOS]]</f>
        <v>4020.0164608079181</v>
      </c>
      <c r="M13" s="407">
        <f>'RECETAS JARABES'!G205</f>
        <v>3374.3546306754943</v>
      </c>
      <c r="N13" s="517">
        <f>'RECETAS JARABES'!H205</f>
        <v>0.73</v>
      </c>
      <c r="O13" s="560">
        <f>'RECETAS JARABES'!G206</f>
        <v>7996.7582343405547</v>
      </c>
      <c r="P13" s="385">
        <v>7000</v>
      </c>
      <c r="Q13" s="440">
        <f>(LISTPROD3[[#This Row],[PRECIO DE VENTA 1]]-LISTPROD3[[#This Row],[COSTO TOTAL UNIDAD]])/LISTPROD3[[#This Row],[COSTO TOTAL UNIDAD]]</f>
        <v>0.74128640224353293</v>
      </c>
      <c r="R13" s="429">
        <f>LISTPROD3[[#This Row],[% GANANCIA]]*LISTPROD3[[#This Row],[COSTO TOTAL UNIDAD]]</f>
        <v>2979.9835391920819</v>
      </c>
      <c r="S13" s="391">
        <f>+LISTPROD3[[#This Row],[PRECIO DE VENTA 1]]-LISTPROD3[[#This Row],[PRECIO VENTA POR RECETA]]</f>
        <v>-996.75823434055474</v>
      </c>
      <c r="T13" s="429"/>
      <c r="U13" s="440"/>
      <c r="V13" s="429"/>
      <c r="W13" s="391"/>
      <c r="X13" s="429"/>
      <c r="Y13" s="511"/>
      <c r="Z13" s="429"/>
      <c r="AA13" s="391"/>
      <c r="AB13" s="391"/>
      <c r="AC13" s="45">
        <v>7000</v>
      </c>
      <c r="AD13" s="45">
        <v>0</v>
      </c>
      <c r="AE13" s="45">
        <v>0</v>
      </c>
      <c r="AF13" s="45">
        <v>0</v>
      </c>
      <c r="AG13" s="40"/>
      <c r="AH13" t="s">
        <v>304</v>
      </c>
    </row>
    <row r="14" spans="1:38" ht="15.75" customHeight="1" x14ac:dyDescent="0.25">
      <c r="A14" s="50" t="s">
        <v>87</v>
      </c>
      <c r="B14" s="51" t="s">
        <v>88</v>
      </c>
      <c r="C14" s="554" t="s">
        <v>464</v>
      </c>
      <c r="D14" s="331" t="s">
        <v>654</v>
      </c>
      <c r="E14" s="539" t="s">
        <v>642</v>
      </c>
      <c r="F14" s="164" t="s">
        <v>655</v>
      </c>
      <c r="G14" s="370" t="s">
        <v>487</v>
      </c>
      <c r="H14" s="169"/>
      <c r="I14" s="188" t="s">
        <v>74</v>
      </c>
      <c r="J14" s="443">
        <f>'RECETAS JARABES'!G232</f>
        <v>2388.8635636594613</v>
      </c>
      <c r="K14" s="443">
        <f>'Gtos Varios'!$B$22</f>
        <v>3070.542857142857</v>
      </c>
      <c r="L14" s="443">
        <f>+LISTPROD3[[#This Row],[PRECIO DE PRODUCCIÓN POR UND]]+LISTPROD3[[#This Row],[TOTAL GASTOS VARIOS]]</f>
        <v>5459.4064208023183</v>
      </c>
      <c r="M14" s="408">
        <f>'RECETAS JARABES'!G237</f>
        <v>3333.9864600127039</v>
      </c>
      <c r="N14" s="517">
        <f>'RECETAS JARABES'!H237</f>
        <v>0.55000000000000004</v>
      </c>
      <c r="O14" s="560">
        <f>'RECETAS JARABES'!G238</f>
        <v>9395.780023672165</v>
      </c>
      <c r="P14" s="385">
        <v>6000</v>
      </c>
      <c r="Q14" s="440">
        <f>(LISTPROD3[[#This Row],[PRECIO DE VENTA 1]]-LISTPROD3[[#This Row],[COSTO TOTAL UNIDAD]])/LISTPROD3[[#This Row],[COSTO TOTAL UNIDAD]]</f>
        <v>9.9020577976723645E-2</v>
      </c>
      <c r="R14" s="429">
        <f>LISTPROD3[[#This Row],[% GANANCIA]]*LISTPROD3[[#This Row],[COSTO TOTAL UNIDAD]]</f>
        <v>540.59357919768172</v>
      </c>
      <c r="S14" s="391">
        <f>+LISTPROD3[[#This Row],[PRECIO DE VENTA 1]]-LISTPROD3[[#This Row],[PRECIO VENTA POR RECETA]]</f>
        <v>-3395.780023672165</v>
      </c>
      <c r="T14" s="429">
        <v>5000</v>
      </c>
      <c r="U14" s="511">
        <f>(LISTPROD3[[#This Row],[PRECIO DE VENTA2]]-LISTPROD3[[#This Row],[COSTO TOTAL UNIDAD]])/LISTPROD3[[#This Row],[COSTO TOTAL UNIDAD]]</f>
        <v>-8.4149518352730296E-2</v>
      </c>
      <c r="V14" s="429">
        <f>+LISTPROD3[[#This Row],[% GANANCIA2]]*LISTPROD3[[#This Row],[COSTO TOTAL UNIDAD]]</f>
        <v>-459.40642080231828</v>
      </c>
      <c r="W14" s="391">
        <f>LISTPROD3[[#This Row],[PRECIO DE VENTA2]]-LISTPROD3[[#This Row],[PRECIO VENTA POR RECETA]]</f>
        <v>-4395.780023672165</v>
      </c>
      <c r="X14" s="429">
        <v>5000</v>
      </c>
      <c r="Y14" s="511">
        <f>(LISTPROD3[[#This Row],[PRECIO DE VENTA 3]]-LISTPROD3[[#This Row],[COSTO TOTAL UNIDAD]])/LISTPROD3[[#This Row],[COSTO TOTAL UNIDAD]]</f>
        <v>-8.4149518352730296E-2</v>
      </c>
      <c r="Z14" s="429">
        <f>LISTPROD3[[#This Row],[% GANANCIA3]]*LISTPROD3[[#This Row],[COSTO TOTAL UNIDAD]]</f>
        <v>-459.40642080231828</v>
      </c>
      <c r="AA14" s="391"/>
      <c r="AB14" s="391"/>
      <c r="AC14" s="43">
        <v>6000</v>
      </c>
      <c r="AD14" s="43">
        <v>5000</v>
      </c>
      <c r="AE14" s="43">
        <v>5000</v>
      </c>
      <c r="AF14" s="43">
        <v>5000</v>
      </c>
      <c r="AG14" s="48"/>
      <c r="AH14" s="12" t="s">
        <v>305</v>
      </c>
    </row>
    <row r="15" spans="1:38" ht="15.75" customHeight="1" x14ac:dyDescent="0.25">
      <c r="A15" s="49" t="s">
        <v>89</v>
      </c>
      <c r="B15" s="9" t="s">
        <v>90</v>
      </c>
      <c r="C15" s="554" t="s">
        <v>464</v>
      </c>
      <c r="D15" s="331" t="s">
        <v>654</v>
      </c>
      <c r="E15" s="539" t="s">
        <v>642</v>
      </c>
      <c r="F15" s="164" t="s">
        <v>655</v>
      </c>
      <c r="G15" s="370" t="s">
        <v>703</v>
      </c>
      <c r="H15" s="169"/>
      <c r="I15" s="189" t="s">
        <v>74</v>
      </c>
      <c r="J15" s="443">
        <f>'RECETAS JARABES'!G264</f>
        <v>984.66725751121487</v>
      </c>
      <c r="K15" s="443">
        <f>'Gtos Varios'!$B$22</f>
        <v>3070.542857142857</v>
      </c>
      <c r="L15" s="443">
        <f>+LISTPROD3[[#This Row],[PRECIO DE PRODUCCIÓN POR UND]]+LISTPROD3[[#This Row],[TOTAL GASTOS VARIOS]]</f>
        <v>4055.2101146540717</v>
      </c>
      <c r="M15" s="409">
        <f>'RECETAS JARABES'!G269</f>
        <v>3353.4700254080744</v>
      </c>
      <c r="N15" s="517">
        <f>'RECETAS JARABES'!H269</f>
        <v>0.72</v>
      </c>
      <c r="O15" s="560">
        <f>'RECETAS JARABES'!G270</f>
        <v>8011.067282919289</v>
      </c>
      <c r="P15" s="385">
        <v>7000</v>
      </c>
      <c r="Q15" s="440">
        <f>(LISTPROD3[[#This Row],[PRECIO DE VENTA 1]]-LISTPROD3[[#This Row],[COSTO TOTAL UNIDAD]])/LISTPROD3[[#This Row],[COSTO TOTAL UNIDAD]]</f>
        <v>0.72617442797958021</v>
      </c>
      <c r="R15" s="429">
        <f>LISTPROD3[[#This Row],[% GANANCIA]]*LISTPROD3[[#This Row],[COSTO TOTAL UNIDAD]]</f>
        <v>2944.7898853459283</v>
      </c>
      <c r="S15" s="391">
        <f>+LISTPROD3[[#This Row],[PRECIO DE VENTA 1]]-LISTPROD3[[#This Row],[PRECIO VENTA POR RECETA]]</f>
        <v>-1011.067282919289</v>
      </c>
      <c r="T15" s="429">
        <v>5000</v>
      </c>
      <c r="U15" s="440">
        <f>(LISTPROD3[[#This Row],[PRECIO DE VENTA2]]-LISTPROD3[[#This Row],[COSTO TOTAL UNIDAD]])/LISTPROD3[[#This Row],[COSTO TOTAL UNIDAD]]</f>
        <v>0.2329817342711287</v>
      </c>
      <c r="V15" s="429">
        <f>+LISTPROD3[[#This Row],[% GANANCIA2]]*LISTPROD3[[#This Row],[COSTO TOTAL UNIDAD]]</f>
        <v>944.78988534592827</v>
      </c>
      <c r="W15" s="391">
        <f>LISTPROD3[[#This Row],[PRECIO DE VENTA2]]-LISTPROD3[[#This Row],[PRECIO VENTA POR RECETA]]</f>
        <v>-3011.067282919289</v>
      </c>
      <c r="X15" s="429">
        <v>5000</v>
      </c>
      <c r="Y15" s="511">
        <f>(LISTPROD3[[#This Row],[PRECIO DE VENTA 3]]-LISTPROD3[[#This Row],[COSTO TOTAL UNIDAD]])/LISTPROD3[[#This Row],[COSTO TOTAL UNIDAD]]</f>
        <v>0.2329817342711287</v>
      </c>
      <c r="Z15" s="429">
        <f>LISTPROD3[[#This Row],[% GANANCIA3]]*LISTPROD3[[#This Row],[COSTO TOTAL UNIDAD]]</f>
        <v>944.78988534592827</v>
      </c>
      <c r="AA15" s="391"/>
      <c r="AB15" s="391"/>
      <c r="AC15" s="45">
        <v>7000</v>
      </c>
      <c r="AD15" s="45">
        <v>5000</v>
      </c>
      <c r="AE15" s="45">
        <v>5000</v>
      </c>
      <c r="AF15" s="45">
        <v>5000</v>
      </c>
      <c r="AG15" s="40"/>
      <c r="AH15" t="s">
        <v>304</v>
      </c>
    </row>
    <row r="16" spans="1:38" x14ac:dyDescent="0.25">
      <c r="A16" s="50" t="s">
        <v>91</v>
      </c>
      <c r="B16" s="51" t="s">
        <v>92</v>
      </c>
      <c r="C16" s="554" t="s">
        <v>465</v>
      </c>
      <c r="D16" s="331" t="s">
        <v>654</v>
      </c>
      <c r="E16" s="539" t="s">
        <v>642</v>
      </c>
      <c r="F16" s="164" t="s">
        <v>656</v>
      </c>
      <c r="G16" s="401" t="s">
        <v>491</v>
      </c>
      <c r="H16" s="169"/>
      <c r="I16" s="188" t="s">
        <v>73</v>
      </c>
      <c r="J16" s="443">
        <f>'RECETAS JARABES'!G295</f>
        <v>2745.6158752301908</v>
      </c>
      <c r="K16" s="443">
        <f>'Gtos Varios'!$B$22</f>
        <v>3070.542857142857</v>
      </c>
      <c r="L16" s="443">
        <f>+LISTPROD3[[#This Row],[PRECIO DE PRODUCCIÓN POR UND]]+LISTPROD3[[#This Row],[TOTAL GASTOS VARIOS]]</f>
        <v>5816.1587323730473</v>
      </c>
      <c r="M16" s="408">
        <f>'RECETAS JARABES'!$G$300</f>
        <v>3337.6438551196993</v>
      </c>
      <c r="N16" s="517">
        <f>'RECETAS JARABES'!H300</f>
        <v>0.52</v>
      </c>
      <c r="O16" s="560">
        <f>'RECETAS JARABES'!G301</f>
        <v>9756.1897303498899</v>
      </c>
      <c r="P16" s="385">
        <v>7500</v>
      </c>
      <c r="Q16" s="440">
        <f>(LISTPROD3[[#This Row],[PRECIO DE VENTA 1]]-LISTPROD3[[#This Row],[COSTO TOTAL UNIDAD]])/LISTPROD3[[#This Row],[COSTO TOTAL UNIDAD]]</f>
        <v>0.28951088598297758</v>
      </c>
      <c r="R16" s="429">
        <f>LISTPROD3[[#This Row],[% GANANCIA]]*LISTPROD3[[#This Row],[COSTO TOTAL UNIDAD]]</f>
        <v>1683.8412676269527</v>
      </c>
      <c r="S16" s="391">
        <f>+LISTPROD3[[#This Row],[PRECIO DE VENTA 1]]-LISTPROD3[[#This Row],[PRECIO VENTA POR RECETA]]</f>
        <v>-2256.1897303498899</v>
      </c>
      <c r="T16" s="429">
        <v>0</v>
      </c>
      <c r="U16" s="440"/>
      <c r="V16" s="429">
        <f>+LISTPROD3[[#This Row],[% GANANCIA2]]*LISTPROD3[[#This Row],[COSTO TOTAL UNIDAD]]</f>
        <v>0</v>
      </c>
      <c r="W16" s="391">
        <f>LISTPROD3[[#This Row],[PRECIO DE VENTA2]]-LISTPROD3[[#This Row],[PRECIO VENTA POR RECETA]]</f>
        <v>-9756.1897303498899</v>
      </c>
      <c r="X16" s="429"/>
      <c r="Y16" s="511"/>
      <c r="Z16" s="429"/>
      <c r="AA16" s="391"/>
      <c r="AB16" s="391"/>
      <c r="AC16" s="43">
        <v>7500</v>
      </c>
      <c r="AD16" s="43">
        <v>0</v>
      </c>
      <c r="AE16" s="43">
        <v>0</v>
      </c>
      <c r="AF16" s="43">
        <v>0</v>
      </c>
      <c r="AG16" s="48"/>
      <c r="AH16" t="s">
        <v>304</v>
      </c>
    </row>
    <row r="17" spans="1:34" ht="18" customHeight="1" x14ac:dyDescent="0.25">
      <c r="A17" s="571" t="s">
        <v>93</v>
      </c>
      <c r="B17" s="570" t="s">
        <v>323</v>
      </c>
      <c r="C17" s="240" t="s">
        <v>517</v>
      </c>
      <c r="D17" s="329" t="s">
        <v>654</v>
      </c>
      <c r="E17" s="329" t="s">
        <v>508</v>
      </c>
      <c r="F17" s="577" t="s">
        <v>657</v>
      </c>
      <c r="G17" s="240"/>
      <c r="H17" s="171"/>
      <c r="I17" s="290" t="s">
        <v>73</v>
      </c>
      <c r="J17" s="348">
        <f>'RECETAS CAPS'!U19</f>
        <v>3943.7000000000003</v>
      </c>
      <c r="K17" s="443">
        <f>'Gtos Varios'!$B$22</f>
        <v>3070.542857142857</v>
      </c>
      <c r="L17" s="348">
        <f>+LISTPROD3[[#This Row],[TOTAL GASTOS VARIOS]]+LISTPROD3[[#This Row],[PRECIO DE PRODUCCIÓN POR UND]]</f>
        <v>7014.2428571428572</v>
      </c>
      <c r="M17" s="410">
        <f>'RECETAS CAPS'!U25</f>
        <v>3351.3172</v>
      </c>
      <c r="N17" s="387">
        <f>'RECETAS CAPS'!V25</f>
        <v>0.44</v>
      </c>
      <c r="O17" s="532">
        <f>'RECETAS CAPS'!U26</f>
        <v>10967.947200000001</v>
      </c>
      <c r="P17" s="362">
        <v>10968</v>
      </c>
      <c r="Q17" s="440">
        <f>(LISTPROD3[[#This Row],[PRECIO DE VENTA 1]]-LISTPROD3[[#This Row],[COSTO TOTAL UNIDAD]])/LISTPROD3[[#This Row],[COSTO TOTAL UNIDAD]]</f>
        <v>0.56367554180575441</v>
      </c>
      <c r="R17" s="429">
        <f>LISTPROD3[[#This Row],[% GANANCIA]]*LISTPROD3[[#This Row],[COSTO TOTAL UNIDAD]]</f>
        <v>3953.7571428571428</v>
      </c>
      <c r="S17" s="393"/>
      <c r="T17" s="435"/>
      <c r="U17" s="440"/>
      <c r="V17" s="429"/>
      <c r="W17" s="391"/>
      <c r="X17" s="435"/>
      <c r="Y17" s="393"/>
      <c r="Z17" s="393"/>
      <c r="AA17" s="393"/>
      <c r="AB17" s="393"/>
      <c r="AC17" s="88">
        <v>9600</v>
      </c>
      <c r="AD17" s="308">
        <v>0</v>
      </c>
      <c r="AE17" s="308">
        <v>0</v>
      </c>
      <c r="AF17" s="308">
        <v>0</v>
      </c>
      <c r="AG17" s="40"/>
      <c r="AH17" s="7" t="s">
        <v>304</v>
      </c>
    </row>
    <row r="18" spans="1:34" ht="15.75" customHeight="1" x14ac:dyDescent="0.25">
      <c r="A18" s="296" t="s">
        <v>94</v>
      </c>
      <c r="B18" s="297" t="s">
        <v>95</v>
      </c>
      <c r="C18" s="554" t="s">
        <v>464</v>
      </c>
      <c r="D18" s="331" t="s">
        <v>654</v>
      </c>
      <c r="E18" s="539" t="s">
        <v>642</v>
      </c>
      <c r="F18" s="164" t="s">
        <v>655</v>
      </c>
      <c r="G18" s="370" t="s">
        <v>487</v>
      </c>
      <c r="H18" s="169"/>
      <c r="I18" s="188" t="s">
        <v>74</v>
      </c>
      <c r="J18" s="443">
        <f>'RECETAS JARABES'!G327</f>
        <v>2482.1170653767663</v>
      </c>
      <c r="K18" s="443">
        <f>'Gtos Varios'!$B$22</f>
        <v>3070.542857142857</v>
      </c>
      <c r="L18" s="443">
        <f>+LISTPROD3[[#This Row],[PRECIO DE PRODUCCIÓN POR UND]]+LISTPROD3[[#This Row],[TOTAL GASTOS VARIOS]]</f>
        <v>5552.6599225196233</v>
      </c>
      <c r="M18" s="408">
        <f>'RECETAS JARABES'!$G$332</f>
        <v>3323.7254153034537</v>
      </c>
      <c r="N18" s="517">
        <f>'RECETAS JARABES'!$H$332</f>
        <v>0.54</v>
      </c>
      <c r="O18" s="560">
        <f>'RECETAS JARABES'!$G$333</f>
        <v>9478.7724806802198</v>
      </c>
      <c r="P18" s="385">
        <v>6000</v>
      </c>
      <c r="Q18" s="440">
        <f>(LISTPROD3[[#This Row],[PRECIO DE VENTA 1]]-LISTPROD3[[#This Row],[COSTO TOTAL UNIDAD]])/LISTPROD3[[#This Row],[COSTO TOTAL UNIDAD]]</f>
        <v>8.0563204612283876E-2</v>
      </c>
      <c r="R18" s="429">
        <f>LISTPROD3[[#This Row],[% GANANCIA]]*LISTPROD3[[#This Row],[COSTO TOTAL UNIDAD]]</f>
        <v>447.34007748037675</v>
      </c>
      <c r="S18" s="391">
        <f>+LISTPROD3[[#This Row],[PRECIO DE VENTA 1]]-LISTPROD3[[#This Row],[PRECIO VENTA POR RECETA]]</f>
        <v>-3478.7724806802198</v>
      </c>
      <c r="T18" s="429">
        <v>5000</v>
      </c>
      <c r="U18" s="511">
        <f>(LISTPROD3[[#This Row],[PRECIO DE VENTA2]]-LISTPROD3[[#This Row],[COSTO TOTAL UNIDAD]])/LISTPROD3[[#This Row],[COSTO TOTAL UNIDAD]]</f>
        <v>-9.9530662823096763E-2</v>
      </c>
      <c r="V18" s="429">
        <f>+LISTPROD3[[#This Row],[% GANANCIA2]]*LISTPROD3[[#This Row],[COSTO TOTAL UNIDAD]]</f>
        <v>-552.65992251962325</v>
      </c>
      <c r="W18" s="391">
        <f>LISTPROD3[[#This Row],[PRECIO DE VENTA2]]-LISTPROD3[[#This Row],[PRECIO VENTA POR RECETA]]</f>
        <v>-4478.7724806802198</v>
      </c>
      <c r="X18" s="429">
        <v>5000</v>
      </c>
      <c r="Y18" s="511">
        <f>(LISTPROD3[[#This Row],[PRECIO DE VENTA 3]]-LISTPROD3[[#This Row],[COSTO TOTAL UNIDAD]])/LISTPROD3[[#This Row],[COSTO TOTAL UNIDAD]]</f>
        <v>-9.9530662823096763E-2</v>
      </c>
      <c r="Z18" s="429">
        <f>LISTPROD3[[#This Row],[% GANANCIA3]]*LISTPROD3[[#This Row],[COSTO TOTAL UNIDAD]]</f>
        <v>-552.65992251962325</v>
      </c>
      <c r="AA18" s="391"/>
      <c r="AB18" s="391"/>
      <c r="AC18" s="247">
        <v>6000</v>
      </c>
      <c r="AD18" s="247">
        <v>5000</v>
      </c>
      <c r="AE18" s="247">
        <v>5000</v>
      </c>
      <c r="AF18" s="247">
        <v>5000</v>
      </c>
      <c r="AG18" s="48"/>
      <c r="AH18" t="s">
        <v>304</v>
      </c>
    </row>
    <row r="19" spans="1:34" ht="15.75" customHeight="1" x14ac:dyDescent="0.25">
      <c r="A19" s="49" t="s">
        <v>97</v>
      </c>
      <c r="B19" s="9" t="s">
        <v>708</v>
      </c>
      <c r="C19" s="554" t="s">
        <v>464</v>
      </c>
      <c r="D19" s="331" t="s">
        <v>654</v>
      </c>
      <c r="E19" s="539" t="s">
        <v>642</v>
      </c>
      <c r="F19" s="164" t="s">
        <v>655</v>
      </c>
      <c r="G19" s="370" t="s">
        <v>487</v>
      </c>
      <c r="H19" s="169"/>
      <c r="I19" s="189" t="s">
        <v>74</v>
      </c>
      <c r="J19" s="443">
        <f>'RECETAS JARABES'!G364</f>
        <v>2112.0478222634333</v>
      </c>
      <c r="K19" s="443">
        <f>'Gtos Varios'!$B$22</f>
        <v>3070.542857142857</v>
      </c>
      <c r="L19" s="443">
        <f>+LISTPROD3[[#This Row],[PRECIO DE PRODUCCIÓN POR UND]]+LISTPROD3[[#This Row],[TOTAL GASTOS VARIOS]]</f>
        <v>5182.5906794062903</v>
      </c>
      <c r="M19" s="409">
        <f>'RECETAS JARABES'!$G$369</f>
        <v>3355.2871369127911</v>
      </c>
      <c r="N19" s="517">
        <f>'RECETAS JARABES'!H369</f>
        <v>0.57999999999999996</v>
      </c>
      <c r="O19" s="560">
        <f>'RECETAS JARABES'!G370</f>
        <v>9140.2649591762238</v>
      </c>
      <c r="P19" s="385">
        <v>6000</v>
      </c>
      <c r="Q19" s="440">
        <f>(LISTPROD3[[#This Row],[PRECIO DE VENTA 1]]-LISTPROD3[[#This Row],[COSTO TOTAL UNIDAD]])/LISTPROD3[[#This Row],[COSTO TOTAL UNIDAD]]</f>
        <v>0.15772214538219154</v>
      </c>
      <c r="R19" s="429">
        <f>LISTPROD3[[#This Row],[% GANANCIA]]*LISTPROD3[[#This Row],[COSTO TOTAL UNIDAD]]</f>
        <v>817.40932059370971</v>
      </c>
      <c r="S19" s="391">
        <f>+LISTPROD3[[#This Row],[PRECIO DE VENTA 1]]-LISTPROD3[[#This Row],[PRECIO VENTA POR RECETA]]</f>
        <v>-3140.2649591762238</v>
      </c>
      <c r="T19" s="429">
        <v>5000</v>
      </c>
      <c r="U19" s="511">
        <f>(LISTPROD3[[#This Row],[PRECIO DE VENTA2]]-LISTPROD3[[#This Row],[COSTO TOTAL UNIDAD]])/LISTPROD3[[#This Row],[COSTO TOTAL UNIDAD]]</f>
        <v>-3.5231545514840389E-2</v>
      </c>
      <c r="V19" s="429">
        <f>+LISTPROD3[[#This Row],[% GANANCIA2]]*LISTPROD3[[#This Row],[COSTO TOTAL UNIDAD]]</f>
        <v>-182.59067940629029</v>
      </c>
      <c r="W19" s="391">
        <f>LISTPROD3[[#This Row],[PRECIO DE VENTA2]]-LISTPROD3[[#This Row],[PRECIO VENTA POR RECETA]]</f>
        <v>-4140.2649591762238</v>
      </c>
      <c r="X19" s="429">
        <v>5000</v>
      </c>
      <c r="Y19" s="511">
        <f>(LISTPROD3[[#This Row],[PRECIO DE VENTA 3]]-LISTPROD3[[#This Row],[COSTO TOTAL UNIDAD]])/LISTPROD3[[#This Row],[COSTO TOTAL UNIDAD]]</f>
        <v>-3.5231545514840389E-2</v>
      </c>
      <c r="Z19" s="429">
        <f>LISTPROD3[[#This Row],[% GANANCIA3]]*LISTPROD3[[#This Row],[COSTO TOTAL UNIDAD]]</f>
        <v>-182.59067940629029</v>
      </c>
      <c r="AA19" s="391"/>
      <c r="AB19" s="391"/>
      <c r="AC19" s="45">
        <v>6000</v>
      </c>
      <c r="AD19" s="45">
        <v>5000</v>
      </c>
      <c r="AE19" s="45">
        <v>5000</v>
      </c>
      <c r="AF19" s="45">
        <v>5000</v>
      </c>
      <c r="AG19" s="40"/>
      <c r="AH19" t="s">
        <v>304</v>
      </c>
    </row>
    <row r="20" spans="1:34" ht="18" customHeight="1" x14ac:dyDescent="0.25">
      <c r="A20" s="50" t="s">
        <v>99</v>
      </c>
      <c r="B20" s="51" t="s">
        <v>631</v>
      </c>
      <c r="C20" s="554" t="s">
        <v>465</v>
      </c>
      <c r="D20" s="331" t="s">
        <v>654</v>
      </c>
      <c r="E20" s="539" t="s">
        <v>642</v>
      </c>
      <c r="F20" s="164" t="s">
        <v>656</v>
      </c>
      <c r="G20" s="370" t="s">
        <v>691</v>
      </c>
      <c r="H20" s="169"/>
      <c r="I20" s="188" t="s">
        <v>70</v>
      </c>
      <c r="J20" s="443">
        <f>'RECETAS JARABES'!G396</f>
        <v>1054.3661993606204</v>
      </c>
      <c r="K20" s="443">
        <f>'Gtos Varios'!$B$22</f>
        <v>3070.542857142857</v>
      </c>
      <c r="L20" s="443">
        <f>+LISTPROD3[[#This Row],[PRECIO DE PRODUCCIÓN POR UND]]+LISTPROD3[[#This Row],[TOTAL GASTOS VARIOS]]</f>
        <v>4124.9090565034776</v>
      </c>
      <c r="M20" s="408">
        <f>'RECETAS JARABES'!G401</f>
        <v>3450.9262255332528</v>
      </c>
      <c r="N20" s="517">
        <f>'RECETAS JARABES'!H401</f>
        <v>0.73</v>
      </c>
      <c r="O20" s="560">
        <f>'RECETAS JARABES'!G402</f>
        <v>8178.2224248938728</v>
      </c>
      <c r="P20" s="385">
        <v>7000</v>
      </c>
      <c r="Q20" s="440">
        <f>(LISTPROD3[[#This Row],[PRECIO DE VENTA 1]]-LISTPROD3[[#This Row],[COSTO TOTAL UNIDAD]])/LISTPROD3[[#This Row],[COSTO TOTAL UNIDAD]]</f>
        <v>0.69700711072976318</v>
      </c>
      <c r="R20" s="429">
        <f>LISTPROD3[[#This Row],[% GANANCIA]]*LISTPROD3[[#This Row],[COSTO TOTAL UNIDAD]]</f>
        <v>2875.0909434965224</v>
      </c>
      <c r="S20" s="391">
        <f>+LISTPROD3[[#This Row],[PRECIO DE VENTA 1]]-LISTPROD3[[#This Row],[PRECIO VENTA POR RECETA]]</f>
        <v>-1178.2224248938728</v>
      </c>
      <c r="T20" s="429"/>
      <c r="U20" s="440"/>
      <c r="V20" s="429"/>
      <c r="W20" s="391"/>
      <c r="X20" s="429"/>
      <c r="Y20" s="511"/>
      <c r="Z20" s="429"/>
      <c r="AA20" s="391"/>
      <c r="AB20" s="391"/>
      <c r="AC20" s="43">
        <v>7000</v>
      </c>
      <c r="AD20" s="43">
        <v>0</v>
      </c>
      <c r="AE20" s="43">
        <v>0</v>
      </c>
      <c r="AF20" s="43">
        <v>0</v>
      </c>
      <c r="AG20" s="48"/>
      <c r="AH20" t="s">
        <v>304</v>
      </c>
    </row>
    <row r="21" spans="1:34" x14ac:dyDescent="0.25">
      <c r="A21" s="44" t="s">
        <v>100</v>
      </c>
      <c r="B21" s="19" t="s">
        <v>101</v>
      </c>
      <c r="C21" s="554" t="s">
        <v>465</v>
      </c>
      <c r="D21" s="331" t="s">
        <v>654</v>
      </c>
      <c r="E21" s="539" t="s">
        <v>642</v>
      </c>
      <c r="F21" s="164" t="s">
        <v>656</v>
      </c>
      <c r="G21" s="370" t="s">
        <v>491</v>
      </c>
      <c r="H21" s="169"/>
      <c r="I21" s="187" t="s">
        <v>73</v>
      </c>
      <c r="J21" s="443">
        <f>'RECETAS JARABES'!G426</f>
        <v>2060.4126852301906</v>
      </c>
      <c r="K21" s="443">
        <f>'Gtos Varios'!$B$22</f>
        <v>3070.542857142857</v>
      </c>
      <c r="L21" s="443">
        <f>+LISTPROD3[[#This Row],[PRECIO DE PRODUCCIÓN POR UND]]+LISTPROD3[[#This Row],[TOTAL GASTOS VARIOS]]</f>
        <v>5130.9555423730471</v>
      </c>
      <c r="M21" s="407">
        <f>'RECETAS JARABES'!G431</f>
        <v>3210.6719037289072</v>
      </c>
      <c r="N21" s="517">
        <f>'RECETAS JARABES'!H431</f>
        <v>0.56000000000000005</v>
      </c>
      <c r="O21" s="560">
        <f>'RECETAS JARABES'!G432</f>
        <v>8944.0145889590985</v>
      </c>
      <c r="P21" s="385">
        <v>7500</v>
      </c>
      <c r="Q21" s="440">
        <f>(LISTPROD3[[#This Row],[PRECIO DE VENTA 1]]-LISTPROD3[[#This Row],[COSTO TOTAL UNIDAD]])/LISTPROD3[[#This Row],[COSTO TOTAL UNIDAD]]</f>
        <v>0.4617160367231089</v>
      </c>
      <c r="R21" s="429">
        <f>LISTPROD3[[#This Row],[% GANANCIA]]*LISTPROD3[[#This Row],[COSTO TOTAL UNIDAD]]</f>
        <v>2369.0444576269529</v>
      </c>
      <c r="S21" s="391">
        <f>+LISTPROD3[[#This Row],[PRECIO DE VENTA 1]]-LISTPROD3[[#This Row],[PRECIO VENTA POR RECETA]]</f>
        <v>-1444.0145889590985</v>
      </c>
      <c r="T21" s="429"/>
      <c r="U21" s="440"/>
      <c r="V21" s="429"/>
      <c r="W21" s="391"/>
      <c r="X21" s="429"/>
      <c r="Y21" s="511"/>
      <c r="Z21" s="429"/>
      <c r="AA21" s="391"/>
      <c r="AB21" s="391"/>
      <c r="AC21" s="45">
        <v>7500</v>
      </c>
      <c r="AD21" s="45">
        <v>0</v>
      </c>
      <c r="AE21" s="45">
        <v>0</v>
      </c>
      <c r="AF21" s="45">
        <v>0</v>
      </c>
      <c r="AG21" s="40"/>
      <c r="AH21" s="275" t="s">
        <v>568</v>
      </c>
    </row>
    <row r="22" spans="1:34" ht="15.75" customHeight="1" x14ac:dyDescent="0.25">
      <c r="A22" s="50" t="s">
        <v>102</v>
      </c>
      <c r="B22" s="51" t="s">
        <v>103</v>
      </c>
      <c r="C22" s="554" t="s">
        <v>464</v>
      </c>
      <c r="D22" s="331" t="s">
        <v>654</v>
      </c>
      <c r="E22" s="539" t="s">
        <v>642</v>
      </c>
      <c r="F22" s="164" t="s">
        <v>655</v>
      </c>
      <c r="G22" s="370" t="s">
        <v>487</v>
      </c>
      <c r="H22" s="169"/>
      <c r="I22" s="188" t="s">
        <v>74</v>
      </c>
      <c r="J22" s="443">
        <f>'RECETAS JARABES'!G460</f>
        <v>2662.4345504221592</v>
      </c>
      <c r="K22" s="443">
        <f>'Gtos Varios'!$B$22</f>
        <v>3070.542857142857</v>
      </c>
      <c r="L22" s="443">
        <f>+LISTPROD3[[#This Row],[PRECIO DE PRODUCCIÓN POR UND]]+LISTPROD3[[#This Row],[TOTAL GASTOS VARIOS]]</f>
        <v>5732.9774075650166</v>
      </c>
      <c r="M22" s="408">
        <f>'RECETAS JARABES'!G465</f>
        <v>3357.743211723744</v>
      </c>
      <c r="N22" s="517">
        <f>'RECETAS JARABES'!H465</f>
        <v>0.53</v>
      </c>
      <c r="O22" s="560">
        <f>'RECETAS JARABES'!G466</f>
        <v>9693.1077621459026</v>
      </c>
      <c r="P22" s="385">
        <v>6000</v>
      </c>
      <c r="Q22" s="440">
        <f>(LISTPROD3[[#This Row],[PRECIO DE VENTA 1]]-LISTPROD3[[#This Row],[COSTO TOTAL UNIDAD]])/LISTPROD3[[#This Row],[COSTO TOTAL UNIDAD]]</f>
        <v>4.6576599461674251E-2</v>
      </c>
      <c r="R22" s="429">
        <f>LISTPROD3[[#This Row],[% GANANCIA]]*LISTPROD3[[#This Row],[COSTO TOTAL UNIDAD]]</f>
        <v>267.02259243498338</v>
      </c>
      <c r="S22" s="391">
        <f>+LISTPROD3[[#This Row],[PRECIO DE VENTA 1]]-LISTPROD3[[#This Row],[PRECIO VENTA POR RECETA]]</f>
        <v>-3693.1077621459026</v>
      </c>
      <c r="T22" s="429">
        <v>5000</v>
      </c>
      <c r="U22" s="511">
        <f>(LISTPROD3[[#This Row],[PRECIO DE VENTA2]]-LISTPROD3[[#This Row],[COSTO TOTAL UNIDAD]])/LISTPROD3[[#This Row],[COSTO TOTAL UNIDAD]]</f>
        <v>-0.12785283378193812</v>
      </c>
      <c r="V22" s="429">
        <f>+LISTPROD3[[#This Row],[% GANANCIA2]]*LISTPROD3[[#This Row],[COSTO TOTAL UNIDAD]]</f>
        <v>-732.97740756501662</v>
      </c>
      <c r="W22" s="391">
        <f>LISTPROD3[[#This Row],[PRECIO DE VENTA2]]-LISTPROD3[[#This Row],[PRECIO VENTA POR RECETA]]</f>
        <v>-4693.1077621459026</v>
      </c>
      <c r="X22" s="429">
        <v>5000</v>
      </c>
      <c r="Y22" s="511">
        <f>(LISTPROD3[[#This Row],[PRECIO DE VENTA 3]]-LISTPROD3[[#This Row],[COSTO TOTAL UNIDAD]])/LISTPROD3[[#This Row],[COSTO TOTAL UNIDAD]]</f>
        <v>-0.12785283378193812</v>
      </c>
      <c r="Z22" s="429">
        <f>LISTPROD3[[#This Row],[% GANANCIA3]]*LISTPROD3[[#This Row],[COSTO TOTAL UNIDAD]]</f>
        <v>-732.97740756501662</v>
      </c>
      <c r="AA22" s="391"/>
      <c r="AB22" s="391"/>
      <c r="AC22" s="43">
        <v>6000</v>
      </c>
      <c r="AD22" s="43">
        <v>5000</v>
      </c>
      <c r="AE22" s="43">
        <v>5000</v>
      </c>
      <c r="AF22" s="43">
        <v>5000</v>
      </c>
      <c r="AG22" s="48"/>
      <c r="AH22" t="s">
        <v>304</v>
      </c>
    </row>
    <row r="23" spans="1:34" s="275" customFormat="1" ht="15.75" customHeight="1" x14ac:dyDescent="0.25">
      <c r="A23" s="258" t="s">
        <v>104</v>
      </c>
      <c r="B23" s="382" t="s">
        <v>466</v>
      </c>
      <c r="C23" s="549" t="s">
        <v>663</v>
      </c>
      <c r="D23" s="339" t="s">
        <v>654</v>
      </c>
      <c r="E23" s="339" t="s">
        <v>644</v>
      </c>
      <c r="F23" s="382" t="s">
        <v>663</v>
      </c>
      <c r="G23" s="549"/>
      <c r="H23" s="550"/>
      <c r="I23" s="498" t="s">
        <v>74</v>
      </c>
      <c r="J23" s="444" t="s">
        <v>667</v>
      </c>
      <c r="K23" s="346">
        <f>'Gtos Varios'!$B$22</f>
        <v>3070.542857142857</v>
      </c>
      <c r="L23" s="445"/>
      <c r="M23" s="488">
        <f>'RECETAS GOTAS'!K156</f>
        <v>3391.0936739339995</v>
      </c>
      <c r="N23" s="518">
        <f>'RECETAS GOTAS'!L156</f>
        <v>0.62</v>
      </c>
      <c r="O23" s="561">
        <f>'RECETAS GOTAS'!K157</f>
        <v>8860.5995996339989</v>
      </c>
      <c r="P23" s="467">
        <v>3500</v>
      </c>
      <c r="Q23" s="547" t="e">
        <f>(LISTPROD3[[#This Row],[PRECIO DE VENTA 1]]-LISTPROD3[[#This Row],[COSTO TOTAL UNIDAD]])/LISTPROD3[[#This Row],[COSTO TOTAL UNIDAD]]</f>
        <v>#DIV/0!</v>
      </c>
      <c r="R23" s="468" t="e">
        <f>LISTPROD3[[#This Row],[% GANANCIA]]*LISTPROD3[[#This Row],[COSTO TOTAL UNIDAD]]</f>
        <v>#DIV/0!</v>
      </c>
      <c r="S23" s="548"/>
      <c r="T23" s="467">
        <v>0</v>
      </c>
      <c r="U23" s="547" t="e">
        <f>(LISTPROD3[[#This Row],[PRECIO DE VENTA2]]-LISTPROD3[[#This Row],[COSTO TOTAL UNIDAD]])/LISTPROD3[[#This Row],[COSTO TOTAL UNIDAD]]</f>
        <v>#DIV/0!</v>
      </c>
      <c r="V23" s="468" t="e">
        <f>LISTPROD3[[#This Row],[PRECIO DE VENTA2]]*LISTPROD3[[#This Row],[% GANANCIA2]]</f>
        <v>#DIV/0!</v>
      </c>
      <c r="W23" s="469">
        <f>LISTPROD3[[#This Row],[PRECIO DE VENTA2]]-LISTPROD3[[#This Row],[PRECIO VENTA POR RECETA]]</f>
        <v>-8860.5995996339989</v>
      </c>
      <c r="X23" s="467">
        <v>0</v>
      </c>
      <c r="Y23" s="548"/>
      <c r="Z23" s="548"/>
      <c r="AA23" s="548"/>
      <c r="AB23" s="548"/>
      <c r="AC23" s="475">
        <v>3500</v>
      </c>
      <c r="AD23" s="475">
        <v>0</v>
      </c>
      <c r="AE23" s="475">
        <v>0</v>
      </c>
      <c r="AF23" s="475">
        <v>0</v>
      </c>
      <c r="AG23" s="72"/>
      <c r="AH23" s="275" t="s">
        <v>568</v>
      </c>
    </row>
    <row r="24" spans="1:34" s="275" customFormat="1" ht="30" customHeight="1" x14ac:dyDescent="0.25">
      <c r="A24" s="476" t="s">
        <v>105</v>
      </c>
      <c r="B24" s="259" t="s">
        <v>467</v>
      </c>
      <c r="C24" s="549" t="s">
        <v>663</v>
      </c>
      <c r="D24" s="545" t="s">
        <v>654</v>
      </c>
      <c r="E24" s="339" t="s">
        <v>644</v>
      </c>
      <c r="F24" s="382" t="s">
        <v>663</v>
      </c>
      <c r="G24" s="546"/>
      <c r="H24" s="343"/>
      <c r="I24" s="465" t="s">
        <v>74</v>
      </c>
      <c r="J24" s="444" t="s">
        <v>667</v>
      </c>
      <c r="K24" s="346">
        <f>'Gtos Varios'!$B$22</f>
        <v>3070.542857142857</v>
      </c>
      <c r="L24" s="445"/>
      <c r="M24" s="466"/>
      <c r="N24" s="518"/>
      <c r="O24" s="561"/>
      <c r="P24" s="467">
        <v>2000</v>
      </c>
      <c r="Q24" s="547" t="e">
        <f>(LISTPROD3[[#This Row],[PRECIO DE VENTA 1]]-LISTPROD3[[#This Row],[COSTO TOTAL UNIDAD]])/LISTPROD3[[#This Row],[COSTO TOTAL UNIDAD]]</f>
        <v>#DIV/0!</v>
      </c>
      <c r="R24" s="468" t="e">
        <f>LISTPROD3[[#This Row],[% GANANCIA]]*LISTPROD3[[#This Row],[COSTO TOTAL UNIDAD]]</f>
        <v>#DIV/0!</v>
      </c>
      <c r="S24" s="548"/>
      <c r="T24" s="467">
        <v>5000</v>
      </c>
      <c r="U24" s="547" t="e">
        <f>(LISTPROD3[[#This Row],[PRECIO DE VENTA2]]-LISTPROD3[[#This Row],[COSTO TOTAL UNIDAD]])/LISTPROD3[[#This Row],[COSTO TOTAL UNIDAD]]</f>
        <v>#DIV/0!</v>
      </c>
      <c r="V24" s="468" t="e">
        <f>LISTPROD3[[#This Row],[PRECIO DE VENTA2]]*LISTPROD3[[#This Row],[% GANANCIA2]]</f>
        <v>#DIV/0!</v>
      </c>
      <c r="W24" s="469">
        <f>LISTPROD3[[#This Row],[PRECIO DE VENTA2]]-LISTPROD3[[#This Row],[PRECIO VENTA POR RECETA]]</f>
        <v>5000</v>
      </c>
      <c r="X24" s="467">
        <v>5000</v>
      </c>
      <c r="Y24" s="548"/>
      <c r="Z24" s="548"/>
      <c r="AA24" s="548"/>
      <c r="AB24" s="548"/>
      <c r="AC24" s="470">
        <v>2000</v>
      </c>
      <c r="AD24" s="470">
        <v>5000</v>
      </c>
      <c r="AE24" s="470">
        <v>5000</v>
      </c>
      <c r="AF24" s="470">
        <v>5000</v>
      </c>
      <c r="AG24" s="471"/>
      <c r="AH24" s="12" t="s">
        <v>305</v>
      </c>
    </row>
    <row r="25" spans="1:34" s="275" customFormat="1" ht="15.75" customHeight="1" x14ac:dyDescent="0.25">
      <c r="A25" s="472" t="s">
        <v>106</v>
      </c>
      <c r="B25" s="259" t="s">
        <v>107</v>
      </c>
      <c r="C25" s="556" t="s">
        <v>464</v>
      </c>
      <c r="D25" s="462" t="s">
        <v>654</v>
      </c>
      <c r="E25" s="463" t="s">
        <v>642</v>
      </c>
      <c r="F25" s="327" t="s">
        <v>655</v>
      </c>
      <c r="G25" s="423" t="s">
        <v>487</v>
      </c>
      <c r="H25" s="464"/>
      <c r="I25" s="473" t="s">
        <v>74</v>
      </c>
      <c r="J25" s="441" t="s">
        <v>665</v>
      </c>
      <c r="K25" s="441">
        <f>'Gtos Varios'!$B$22</f>
        <v>3070.542857142857</v>
      </c>
      <c r="L25" s="441" t="e">
        <f>+LISTPROD3[[#This Row],[PRECIO DE PRODUCCIÓN POR UND]]+LISTPROD3[[#This Row],[TOTAL GASTOS VARIOS]]</f>
        <v>#VALUE!</v>
      </c>
      <c r="M25" s="474">
        <f>'RECETAS JARABES'!G500</f>
        <v>3378.6695648927912</v>
      </c>
      <c r="N25" s="518">
        <f>'RECETAS JARABES'!H500</f>
        <v>0.57999999999999996</v>
      </c>
      <c r="O25" s="561">
        <f>'RECETAS JARABES'!G501</f>
        <v>9203.9619181562248</v>
      </c>
      <c r="P25" s="467">
        <v>6000</v>
      </c>
      <c r="Q25" s="440"/>
      <c r="R25" s="429" t="e">
        <f>LISTPROD3[[#This Row],[% GANANCIA]]*LISTPROD3[[#This Row],[COSTO TOTAL UNIDAD]]</f>
        <v>#VALUE!</v>
      </c>
      <c r="S25" s="469">
        <f>+LISTPROD3[[#This Row],[PRECIO DE VENTA 1]]-LISTPROD3[[#This Row],[PRECIO VENTA POR RECETA]]</f>
        <v>-3203.9619181562248</v>
      </c>
      <c r="T25" s="468">
        <v>5000</v>
      </c>
      <c r="U25" s="440" t="e">
        <f>(LISTPROD3[[#This Row],[PRECIO DE VENTA2]]-LISTPROD3[[#This Row],[COSTO TOTAL UNIDAD]])/LISTPROD3[[#This Row],[COSTO TOTAL UNIDAD]]</f>
        <v>#VALUE!</v>
      </c>
      <c r="V25" s="429" t="e">
        <f>+LISTPROD3[[#This Row],[% GANANCIA2]]*LISTPROD3[[#This Row],[COSTO TOTAL UNIDAD]]</f>
        <v>#VALUE!</v>
      </c>
      <c r="W25" s="469">
        <f>LISTPROD3[[#This Row],[PRECIO DE VENTA2]]-LISTPROD3[[#This Row],[PRECIO VENTA POR RECETA]]</f>
        <v>-4203.9619181562248</v>
      </c>
      <c r="X25" s="468">
        <v>5000</v>
      </c>
      <c r="Y25" s="511" t="e">
        <f>(LISTPROD3[[#This Row],[PRECIO DE VENTA 3]]-LISTPROD3[[#This Row],[COSTO TOTAL UNIDAD]])/LISTPROD3[[#This Row],[COSTO TOTAL UNIDAD]]</f>
        <v>#VALUE!</v>
      </c>
      <c r="Z25" s="429" t="e">
        <f>LISTPROD3[[#This Row],[% GANANCIA3]]*LISTPROD3[[#This Row],[COSTO TOTAL UNIDAD]]</f>
        <v>#VALUE!</v>
      </c>
      <c r="AA25" s="469"/>
      <c r="AB25" s="391"/>
      <c r="AC25" s="475">
        <v>6000</v>
      </c>
      <c r="AD25" s="475">
        <v>5000</v>
      </c>
      <c r="AE25" s="475">
        <v>5000</v>
      </c>
      <c r="AF25" s="475">
        <v>5000</v>
      </c>
      <c r="AG25" s="72"/>
      <c r="AH25" s="275" t="s">
        <v>304</v>
      </c>
    </row>
    <row r="26" spans="1:34" ht="15.75" customHeight="1" x14ac:dyDescent="0.25">
      <c r="A26" s="50" t="s">
        <v>108</v>
      </c>
      <c r="B26" s="51" t="s">
        <v>109</v>
      </c>
      <c r="C26" s="554" t="s">
        <v>464</v>
      </c>
      <c r="D26" s="331" t="s">
        <v>654</v>
      </c>
      <c r="E26" s="539" t="s">
        <v>642</v>
      </c>
      <c r="F26" s="164" t="s">
        <v>655</v>
      </c>
      <c r="G26" s="370" t="s">
        <v>487</v>
      </c>
      <c r="H26" s="169"/>
      <c r="I26" s="188" t="s">
        <v>74</v>
      </c>
      <c r="J26" s="443">
        <f>'RECETAS JARABES'!G529</f>
        <v>2179.2611832158141</v>
      </c>
      <c r="K26" s="443">
        <f>'Gtos Varios'!$B$22</f>
        <v>3070.542857142857</v>
      </c>
      <c r="L26" s="443">
        <f>+LISTPROD3[[#This Row],[PRECIO DE PRODUCCIÓN POR UND]]+LISTPROD3[[#This Row],[TOTAL GASTOS VARIOS]]</f>
        <v>5249.804040358671</v>
      </c>
      <c r="M26" s="408">
        <f>'RECETAS JARABES'!$G$534</f>
        <v>3394.2708862651716</v>
      </c>
      <c r="N26" s="517">
        <f>'RECETAS JARABES'!$H$534</f>
        <v>0.57999999999999996</v>
      </c>
      <c r="O26" s="560">
        <f>'RECETAS JARABES'!$G$535</f>
        <v>9246.4620694809855</v>
      </c>
      <c r="P26" s="385">
        <v>6000</v>
      </c>
      <c r="Q26" s="440">
        <f>(LISTPROD3[[#This Row],[PRECIO DE VENTA 1]]-LISTPROD3[[#This Row],[COSTO TOTAL UNIDAD]])/LISTPROD3[[#This Row],[COSTO TOTAL UNIDAD]]</f>
        <v>0.14289980233054089</v>
      </c>
      <c r="R26" s="429">
        <f>LISTPROD3[[#This Row],[% GANANCIA]]*LISTPROD3[[#This Row],[COSTO TOTAL UNIDAD]]</f>
        <v>750.19595964132907</v>
      </c>
      <c r="S26" s="391">
        <f>+LISTPROD3[[#This Row],[PRECIO DE VENTA 1]]-LISTPROD3[[#This Row],[PRECIO VENTA POR RECETA]]</f>
        <v>-3246.4620694809855</v>
      </c>
      <c r="T26" s="429">
        <v>5000</v>
      </c>
      <c r="U26" s="511">
        <f>(LISTPROD3[[#This Row],[PRECIO DE VENTA2]]-LISTPROD3[[#This Row],[COSTO TOTAL UNIDAD]])/LISTPROD3[[#This Row],[COSTO TOTAL UNIDAD]]</f>
        <v>-4.7583498057882596E-2</v>
      </c>
      <c r="V26" s="429">
        <f>+LISTPROD3[[#This Row],[% GANANCIA2]]*LISTPROD3[[#This Row],[COSTO TOTAL UNIDAD]]</f>
        <v>-249.80404035867105</v>
      </c>
      <c r="W26" s="391">
        <f>LISTPROD3[[#This Row],[PRECIO DE VENTA2]]-LISTPROD3[[#This Row],[PRECIO VENTA POR RECETA]]</f>
        <v>-4246.4620694809855</v>
      </c>
      <c r="X26" s="429">
        <v>5000</v>
      </c>
      <c r="Y26" s="511">
        <f>(LISTPROD3[[#This Row],[PRECIO DE VENTA 3]]-LISTPROD3[[#This Row],[COSTO TOTAL UNIDAD]])/LISTPROD3[[#This Row],[COSTO TOTAL UNIDAD]]</f>
        <v>-4.7583498057882596E-2</v>
      </c>
      <c r="Z26" s="429">
        <f>LISTPROD3[[#This Row],[% GANANCIA3]]*LISTPROD3[[#This Row],[COSTO TOTAL UNIDAD]]</f>
        <v>-249.80404035867105</v>
      </c>
      <c r="AA26" s="391"/>
      <c r="AB26" s="391"/>
      <c r="AC26" s="43">
        <v>6000</v>
      </c>
      <c r="AD26" s="43">
        <v>5000</v>
      </c>
      <c r="AE26" s="43">
        <v>5000</v>
      </c>
      <c r="AF26" s="43">
        <v>5000</v>
      </c>
      <c r="AG26" s="48"/>
      <c r="AH26" t="s">
        <v>304</v>
      </c>
    </row>
    <row r="27" spans="1:34" ht="48.75" x14ac:dyDescent="0.25">
      <c r="A27" s="49" t="s">
        <v>110</v>
      </c>
      <c r="B27" s="9" t="s">
        <v>111</v>
      </c>
      <c r="C27" s="554" t="s">
        <v>464</v>
      </c>
      <c r="D27" s="331" t="s">
        <v>654</v>
      </c>
      <c r="E27" s="539" t="s">
        <v>642</v>
      </c>
      <c r="F27" s="164" t="s">
        <v>655</v>
      </c>
      <c r="G27" s="370" t="s">
        <v>491</v>
      </c>
      <c r="H27" s="176" t="s">
        <v>505</v>
      </c>
      <c r="I27" s="189" t="s">
        <v>73</v>
      </c>
      <c r="J27" s="443">
        <f>'RECETAS JARABES'!G562</f>
        <v>2122.6344122634332</v>
      </c>
      <c r="K27" s="443">
        <f>'Gtos Varios'!$B$22</f>
        <v>3070.542857142857</v>
      </c>
      <c r="L27" s="443">
        <f>+LISTPROD3[[#This Row],[PRECIO DE PRODUCCIÓN POR UND]]+LISTPROD3[[#This Row],[TOTAL GASTOS VARIOS]]</f>
        <v>5193.1772694062902</v>
      </c>
      <c r="M27" s="409">
        <f>'RECETAS JARABES'!$G$567</f>
        <v>3303.4717149901567</v>
      </c>
      <c r="N27" s="517">
        <f>'RECETAS JARABES'!$H$567</f>
        <v>0.56999999999999995</v>
      </c>
      <c r="O27" s="560">
        <f>'RECETAS JARABES'!$G$568</f>
        <v>9099.0361272535902</v>
      </c>
      <c r="P27" s="385">
        <v>6000</v>
      </c>
      <c r="Q27" s="440">
        <f>(LISTPROD3[[#This Row],[PRECIO DE VENTA 1]]-LISTPROD3[[#This Row],[COSTO TOTAL UNIDAD]])/LISTPROD3[[#This Row],[COSTO TOTAL UNIDAD]]</f>
        <v>0.15536206232489147</v>
      </c>
      <c r="R27" s="429">
        <f>LISTPROD3[[#This Row],[% GANANCIA]]*LISTPROD3[[#This Row],[COSTO TOTAL UNIDAD]]</f>
        <v>806.82273059370971</v>
      </c>
      <c r="S27" s="391">
        <f>+LISTPROD3[[#This Row],[PRECIO DE VENTA 1]]-LISTPROD3[[#This Row],[PRECIO VENTA POR RECETA]]</f>
        <v>-3099.0361272535902</v>
      </c>
      <c r="T27" s="429">
        <v>5000</v>
      </c>
      <c r="U27" s="511">
        <f>(LISTPROD3[[#This Row],[PRECIO DE VENTA2]]-LISTPROD3[[#This Row],[COSTO TOTAL UNIDAD]])/LISTPROD3[[#This Row],[COSTO TOTAL UNIDAD]]</f>
        <v>-3.7198281395923766E-2</v>
      </c>
      <c r="V27" s="429">
        <f>+LISTPROD3[[#This Row],[% GANANCIA2]]*LISTPROD3[[#This Row],[COSTO TOTAL UNIDAD]]</f>
        <v>-193.17726940629018</v>
      </c>
      <c r="W27" s="391">
        <f>LISTPROD3[[#This Row],[PRECIO DE VENTA2]]-LISTPROD3[[#This Row],[PRECIO VENTA POR RECETA]]</f>
        <v>-4099.0361272535902</v>
      </c>
      <c r="X27" s="429">
        <v>5000</v>
      </c>
      <c r="Y27" s="511">
        <f>(LISTPROD3[[#This Row],[PRECIO DE VENTA 3]]-LISTPROD3[[#This Row],[COSTO TOTAL UNIDAD]])/LISTPROD3[[#This Row],[COSTO TOTAL UNIDAD]]</f>
        <v>-3.7198281395923766E-2</v>
      </c>
      <c r="Z27" s="429">
        <f>LISTPROD3[[#This Row],[% GANANCIA3]]*LISTPROD3[[#This Row],[COSTO TOTAL UNIDAD]]</f>
        <v>-193.17726940629018</v>
      </c>
      <c r="AA27" s="391"/>
      <c r="AB27" s="391"/>
      <c r="AC27" s="45">
        <v>6000</v>
      </c>
      <c r="AD27" s="45">
        <v>5000</v>
      </c>
      <c r="AE27" s="45">
        <v>5000</v>
      </c>
      <c r="AF27" s="45">
        <v>5000</v>
      </c>
      <c r="AG27" s="40"/>
      <c r="AH27" s="275" t="s">
        <v>568</v>
      </c>
    </row>
    <row r="28" spans="1:34" ht="15.75" customHeight="1" x14ac:dyDescent="0.25">
      <c r="A28" s="46" t="s">
        <v>112</v>
      </c>
      <c r="B28" s="47" t="s">
        <v>113</v>
      </c>
      <c r="C28" s="554" t="s">
        <v>464</v>
      </c>
      <c r="D28" s="331" t="s">
        <v>654</v>
      </c>
      <c r="E28" s="539" t="s">
        <v>642</v>
      </c>
      <c r="F28" s="164" t="s">
        <v>655</v>
      </c>
      <c r="G28" s="370" t="s">
        <v>487</v>
      </c>
      <c r="H28" s="169"/>
      <c r="I28" s="190" t="s">
        <v>74</v>
      </c>
      <c r="J28" s="443">
        <f>'RECETAS JARABES'!G595</f>
        <v>2072.6344122634332</v>
      </c>
      <c r="K28" s="443">
        <f>'Gtos Varios'!$B$22</f>
        <v>3070.542857142857</v>
      </c>
      <c r="L28" s="443">
        <f>+LISTPROD3[[#This Row],[PRECIO DE PRODUCCIÓN POR UND]]+LISTPROD3[[#This Row],[TOTAL GASTOS VARIOS]]</f>
        <v>5143.1772694062902</v>
      </c>
      <c r="M28" s="406">
        <f>'RECETAS JARABES'!G600</f>
        <v>3389.8830032354253</v>
      </c>
      <c r="N28" s="517">
        <f>'RECETAS JARABES'!H600</f>
        <v>0.59</v>
      </c>
      <c r="O28" s="560">
        <f>'RECETAS JARABES'!G601</f>
        <v>9135.4474154988584</v>
      </c>
      <c r="P28" s="385">
        <v>6000</v>
      </c>
      <c r="Q28" s="440">
        <f>(LISTPROD3[[#This Row],[PRECIO DE VENTA 1]]-LISTPROD3[[#This Row],[COSTO TOTAL UNIDAD]])/LISTPROD3[[#This Row],[COSTO TOTAL UNIDAD]]</f>
        <v>0.16659404988632998</v>
      </c>
      <c r="R28" s="429">
        <f>LISTPROD3[[#This Row],[% GANANCIA]]*LISTPROD3[[#This Row],[COSTO TOTAL UNIDAD]]</f>
        <v>856.82273059370993</v>
      </c>
      <c r="S28" s="391">
        <f>+LISTPROD3[[#This Row],[PRECIO DE VENTA 1]]-LISTPROD3[[#This Row],[PRECIO VENTA POR RECETA]]</f>
        <v>-3135.4474154988584</v>
      </c>
      <c r="T28" s="429">
        <v>5000</v>
      </c>
      <c r="U28" s="511">
        <f>(LISTPROD3[[#This Row],[PRECIO DE VENTA2]]-LISTPROD3[[#This Row],[COSTO TOTAL UNIDAD]])/LISTPROD3[[#This Row],[COSTO TOTAL UNIDAD]]</f>
        <v>-2.7838291761391697E-2</v>
      </c>
      <c r="V28" s="429">
        <f>+LISTPROD3[[#This Row],[% GANANCIA2]]*LISTPROD3[[#This Row],[COSTO TOTAL UNIDAD]]</f>
        <v>-143.17726940629018</v>
      </c>
      <c r="W28" s="391">
        <f>LISTPROD3[[#This Row],[PRECIO DE VENTA2]]-LISTPROD3[[#This Row],[PRECIO VENTA POR RECETA]]</f>
        <v>-4135.4474154988584</v>
      </c>
      <c r="X28" s="429">
        <v>5000</v>
      </c>
      <c r="Y28" s="511">
        <f>(LISTPROD3[[#This Row],[PRECIO DE VENTA 3]]-LISTPROD3[[#This Row],[COSTO TOTAL UNIDAD]])/LISTPROD3[[#This Row],[COSTO TOTAL UNIDAD]]</f>
        <v>-2.7838291761391697E-2</v>
      </c>
      <c r="Z28" s="429">
        <f>LISTPROD3[[#This Row],[% GANANCIA3]]*LISTPROD3[[#This Row],[COSTO TOTAL UNIDAD]]</f>
        <v>-143.17726940629018</v>
      </c>
      <c r="AA28" s="391"/>
      <c r="AB28" s="391"/>
      <c r="AC28" s="43">
        <v>6000</v>
      </c>
      <c r="AD28" s="43">
        <v>5000</v>
      </c>
      <c r="AE28" s="43">
        <v>5000</v>
      </c>
      <c r="AF28" s="43">
        <v>5000</v>
      </c>
      <c r="AG28" s="48"/>
      <c r="AH28" t="s">
        <v>304</v>
      </c>
    </row>
    <row r="29" spans="1:34" s="275" customFormat="1" ht="15.75" customHeight="1" x14ac:dyDescent="0.25">
      <c r="A29" s="472" t="s">
        <v>114</v>
      </c>
      <c r="B29" s="259" t="s">
        <v>115</v>
      </c>
      <c r="C29" s="556" t="s">
        <v>464</v>
      </c>
      <c r="D29" s="462" t="s">
        <v>654</v>
      </c>
      <c r="E29" s="463" t="s">
        <v>642</v>
      </c>
      <c r="F29" s="327" t="s">
        <v>655</v>
      </c>
      <c r="G29" s="423" t="s">
        <v>487</v>
      </c>
      <c r="H29" s="464"/>
      <c r="I29" s="473" t="s">
        <v>74</v>
      </c>
      <c r="J29" s="441" t="s">
        <v>665</v>
      </c>
      <c r="K29" s="441">
        <f>'Gtos Varios'!$B$22</f>
        <v>3070.542857142857</v>
      </c>
      <c r="L29" s="441" t="e">
        <f>+LISTPROD3[[#This Row],[PRECIO DE PRODUCCIÓN POR UND]]+LISTPROD3[[#This Row],[TOTAL GASTOS VARIOS]]</f>
        <v>#VALUE!</v>
      </c>
      <c r="M29" s="474">
        <f>'RECETAS JARABES'!G634</f>
        <v>3357.1036052727909</v>
      </c>
      <c r="N29" s="518">
        <f>'RECETAS JARABES'!H634</f>
        <v>0.57999999999999996</v>
      </c>
      <c r="O29" s="561">
        <f>'RECETAS JARABES'!G635</f>
        <v>9145.2132695362234</v>
      </c>
      <c r="P29" s="467">
        <v>6000</v>
      </c>
      <c r="Q29" s="440" t="e">
        <f>(LISTPROD3[[#This Row],[PRECIO DE VENTA 1]]-LISTPROD3[[#This Row],[COSTO TOTAL UNIDAD]])/LISTPROD3[[#This Row],[COSTO TOTAL UNIDAD]]</f>
        <v>#VALUE!</v>
      </c>
      <c r="R29" s="429" t="e">
        <f>LISTPROD3[[#This Row],[% GANANCIA]]*LISTPROD3[[#This Row],[COSTO TOTAL UNIDAD]]</f>
        <v>#VALUE!</v>
      </c>
      <c r="S29" s="469">
        <f>+LISTPROD3[[#This Row],[PRECIO DE VENTA 1]]-LISTPROD3[[#This Row],[PRECIO VENTA POR RECETA]]</f>
        <v>-3145.2132695362234</v>
      </c>
      <c r="T29" s="468">
        <v>5000</v>
      </c>
      <c r="U29" s="440" t="e">
        <f>(LISTPROD3[[#This Row],[PRECIO DE VENTA2]]-LISTPROD3[[#This Row],[COSTO TOTAL UNIDAD]])/LISTPROD3[[#This Row],[COSTO TOTAL UNIDAD]]</f>
        <v>#VALUE!</v>
      </c>
      <c r="V29" s="429" t="e">
        <f>+LISTPROD3[[#This Row],[% GANANCIA2]]*LISTPROD3[[#This Row],[COSTO TOTAL UNIDAD]]</f>
        <v>#VALUE!</v>
      </c>
      <c r="W29" s="469">
        <f>LISTPROD3[[#This Row],[PRECIO DE VENTA2]]-LISTPROD3[[#This Row],[PRECIO VENTA POR RECETA]]</f>
        <v>-4145.2132695362234</v>
      </c>
      <c r="X29" s="468">
        <v>5000</v>
      </c>
      <c r="Y29" s="511" t="e">
        <f>(LISTPROD3[[#This Row],[PRECIO DE VENTA 3]]-LISTPROD3[[#This Row],[COSTO TOTAL UNIDAD]])/LISTPROD3[[#This Row],[COSTO TOTAL UNIDAD]]</f>
        <v>#VALUE!</v>
      </c>
      <c r="Z29" s="429" t="e">
        <f>LISTPROD3[[#This Row],[% GANANCIA3]]*LISTPROD3[[#This Row],[COSTO TOTAL UNIDAD]]</f>
        <v>#VALUE!</v>
      </c>
      <c r="AA29" s="469"/>
      <c r="AB29" s="391"/>
      <c r="AC29" s="475">
        <v>6000</v>
      </c>
      <c r="AD29" s="475">
        <v>5000</v>
      </c>
      <c r="AE29" s="475">
        <v>5000</v>
      </c>
      <c r="AF29" s="475">
        <v>5000</v>
      </c>
      <c r="AG29" s="72"/>
      <c r="AH29" s="275" t="s">
        <v>304</v>
      </c>
    </row>
    <row r="30" spans="1:34" ht="36.75" customHeight="1" x14ac:dyDescent="0.25">
      <c r="A30" s="50" t="s">
        <v>324</v>
      </c>
      <c r="B30" s="51" t="s">
        <v>482</v>
      </c>
      <c r="C30" s="240" t="s">
        <v>780</v>
      </c>
      <c r="D30" s="337" t="s">
        <v>654</v>
      </c>
      <c r="E30" s="329" t="s">
        <v>611</v>
      </c>
      <c r="F30" s="240" t="s">
        <v>673</v>
      </c>
      <c r="G30" s="373"/>
      <c r="H30" s="159"/>
      <c r="I30" s="188" t="s">
        <v>74</v>
      </c>
      <c r="J30" s="478">
        <f>'RECETAS PASTILLAS'!R16</f>
        <v>4900</v>
      </c>
      <c r="K30" s="443">
        <f>'Gtos Varios'!$B$22</f>
        <v>3070.542857142857</v>
      </c>
      <c r="L30" s="491">
        <f>+LISTPROD3[[#This Row],[TOTAL GASTOS VARIOS]]+LISTPROD3[[#This Row],[PRECIO DE PRODUCCIÓN POR UND]]</f>
        <v>7970.5428571428565</v>
      </c>
      <c r="M30" s="408">
        <f>'RECETAS PASTILLAS'!R48</f>
        <v>3257.7134000000001</v>
      </c>
      <c r="N30" s="517">
        <f>'RECETAS PASTILLAS'!S48</f>
        <v>0.38</v>
      </c>
      <c r="O30" s="560">
        <f>'RECETAS PASTILLAS'!R49</f>
        <v>11830.643400000001</v>
      </c>
      <c r="P30" s="385">
        <v>10500</v>
      </c>
      <c r="Q30" s="440">
        <f>(LISTPROD3[[#This Row],[PRECIO DE VENTA 1]]-LISTPROD3[[#This Row],[COSTO TOTAL UNIDAD]])/LISTPROD3[[#This Row],[COSTO TOTAL UNIDAD]]</f>
        <v>0.31735067337231027</v>
      </c>
      <c r="R30" s="429">
        <f>LISTPROD3[[#This Row],[% GANANCIA]]*LISTPROD3[[#This Row],[COSTO TOTAL UNIDAD]]</f>
        <v>2529.4571428571435</v>
      </c>
      <c r="S30" s="392"/>
      <c r="T30" s="385"/>
      <c r="U30" s="440"/>
      <c r="V30" s="429"/>
      <c r="W30" s="391"/>
      <c r="X30" s="385"/>
      <c r="Y30" s="392"/>
      <c r="Z30" s="392"/>
      <c r="AA30" s="392"/>
      <c r="AB30" s="514" t="s">
        <v>773</v>
      </c>
      <c r="AC30" s="43">
        <v>10500</v>
      </c>
      <c r="AD30" s="43">
        <v>0</v>
      </c>
      <c r="AE30" s="43">
        <v>0</v>
      </c>
      <c r="AF30" s="43">
        <v>0</v>
      </c>
      <c r="AG30" s="48"/>
      <c r="AH30" s="12" t="s">
        <v>305</v>
      </c>
    </row>
    <row r="31" spans="1:34" ht="15.75" customHeight="1" x14ac:dyDescent="0.25">
      <c r="A31" s="44" t="s">
        <v>116</v>
      </c>
      <c r="B31" s="19" t="s">
        <v>468</v>
      </c>
      <c r="C31" s="549" t="s">
        <v>663</v>
      </c>
      <c r="D31" s="331" t="s">
        <v>654</v>
      </c>
      <c r="E31" s="329" t="s">
        <v>644</v>
      </c>
      <c r="F31" s="9" t="s">
        <v>663</v>
      </c>
      <c r="G31" s="370"/>
      <c r="H31" s="169"/>
      <c r="I31" s="187" t="s">
        <v>74</v>
      </c>
      <c r="J31" s="346">
        <f>'RECETAS GOTAS'!K92</f>
        <v>2006</v>
      </c>
      <c r="K31" s="346">
        <f>'Gtos Varios'!$B$22</f>
        <v>3070.542857142857</v>
      </c>
      <c r="L31" s="346">
        <f>+LISTPROD3[[#This Row],[TOTAL GASTOS VARIOS]]+LISTPROD3[[#This Row],[PRECIO DE PRODUCCIÓN POR UND]]</f>
        <v>5076.5428571428565</v>
      </c>
      <c r="M31" s="407">
        <f>'RECETAS GOTAS'!K97</f>
        <v>3350.5686999999998</v>
      </c>
      <c r="N31" s="517">
        <f>'RECETAS GOTAS'!L97</f>
        <v>0.59</v>
      </c>
      <c r="O31" s="560">
        <f>'RECETAS GOTAS'!K98</f>
        <v>9029.4987000000001</v>
      </c>
      <c r="P31" s="385">
        <v>600</v>
      </c>
      <c r="Q31" s="440">
        <f>(LISTPROD3[[#This Row],[PRECIO DE VENTA 1]]-LISTPROD3[[#This Row],[COSTO TOTAL UNIDAD]])/LISTPROD3[[#This Row],[COSTO TOTAL UNIDAD]]</f>
        <v>-0.88180933030915298</v>
      </c>
      <c r="R31" s="429">
        <f>LISTPROD3[[#This Row],[% GANANCIA]]*LISTPROD3[[#This Row],[COSTO TOTAL UNIDAD]]</f>
        <v>-4476.5428571428565</v>
      </c>
      <c r="S31" s="394"/>
      <c r="T31" s="385">
        <v>0</v>
      </c>
      <c r="U31" s="440">
        <f>(LISTPROD3[[#This Row],[PRECIO DE VENTA2]]-LISTPROD3[[#This Row],[COSTO TOTAL UNIDAD]])/LISTPROD3[[#This Row],[COSTO TOTAL UNIDAD]]</f>
        <v>-1</v>
      </c>
      <c r="V31" s="429">
        <f>LISTPROD3[[#This Row],[PRECIO DE VENTA2]]*LISTPROD3[[#This Row],[% GANANCIA2]]</f>
        <v>0</v>
      </c>
      <c r="W31" s="391">
        <f>LISTPROD3[[#This Row],[PRECIO DE VENTA2]]-LISTPROD3[[#This Row],[PRECIO VENTA POR RECETA]]</f>
        <v>-9029.4987000000001</v>
      </c>
      <c r="X31" s="385">
        <v>0</v>
      </c>
      <c r="Y31" s="394"/>
      <c r="Z31" s="394"/>
      <c r="AA31" s="394"/>
      <c r="AB31" s="394"/>
      <c r="AC31" s="45">
        <v>600</v>
      </c>
      <c r="AD31" s="45">
        <v>0</v>
      </c>
      <c r="AE31" s="45">
        <v>0</v>
      </c>
      <c r="AF31" s="45">
        <v>0</v>
      </c>
      <c r="AG31" s="40"/>
      <c r="AH31" s="12" t="s">
        <v>305</v>
      </c>
    </row>
    <row r="32" spans="1:34" s="275" customFormat="1" ht="15.75" customHeight="1" x14ac:dyDescent="0.25">
      <c r="A32" s="476" t="s">
        <v>117</v>
      </c>
      <c r="B32" s="477" t="s">
        <v>118</v>
      </c>
      <c r="C32" s="556" t="s">
        <v>464</v>
      </c>
      <c r="D32" s="462" t="s">
        <v>654</v>
      </c>
      <c r="E32" s="463" t="s">
        <v>642</v>
      </c>
      <c r="F32" s="327" t="s">
        <v>655</v>
      </c>
      <c r="G32" s="423" t="s">
        <v>487</v>
      </c>
      <c r="H32" s="464"/>
      <c r="I32" s="465" t="s">
        <v>74</v>
      </c>
      <c r="J32" s="441" t="s">
        <v>665</v>
      </c>
      <c r="K32" s="441">
        <f>'Gtos Varios'!$B$22</f>
        <v>3070.542857142857</v>
      </c>
      <c r="L32" s="441" t="e">
        <f>+LISTPROD3[[#This Row],[PRECIO DE PRODUCCIÓN POR UND]]+LISTPROD3[[#This Row],[TOTAL GASTOS VARIOS]]</f>
        <v>#VALUE!</v>
      </c>
      <c r="M32" s="466">
        <f>'RECETAS JARABES'!G669</f>
        <v>3364.3853204461238</v>
      </c>
      <c r="N32" s="518">
        <f>'RECETAS JARABES'!H669</f>
        <v>0.57999999999999996</v>
      </c>
      <c r="O32" s="561">
        <f>'RECETAS JARABES'!G670</f>
        <v>9165.0496660428907</v>
      </c>
      <c r="P32" s="467">
        <v>6000</v>
      </c>
      <c r="Q32" s="440" t="e">
        <f>(LISTPROD3[[#This Row],[PRECIO DE VENTA 1]]-LISTPROD3[[#This Row],[COSTO TOTAL UNIDAD]])/LISTPROD3[[#This Row],[COSTO TOTAL UNIDAD]]</f>
        <v>#VALUE!</v>
      </c>
      <c r="R32" s="429" t="e">
        <f>LISTPROD3[[#This Row],[% GANANCIA]]*LISTPROD3[[#This Row],[COSTO TOTAL UNIDAD]]</f>
        <v>#VALUE!</v>
      </c>
      <c r="S32" s="469">
        <f>+LISTPROD3[[#This Row],[PRECIO DE VENTA 1]]-LISTPROD3[[#This Row],[PRECIO VENTA POR RECETA]]</f>
        <v>-3165.0496660428907</v>
      </c>
      <c r="T32" s="468">
        <v>5000</v>
      </c>
      <c r="U32" s="440" t="e">
        <f>(LISTPROD3[[#This Row],[PRECIO DE VENTA2]]-LISTPROD3[[#This Row],[COSTO TOTAL UNIDAD]])/LISTPROD3[[#This Row],[COSTO TOTAL UNIDAD]]</f>
        <v>#VALUE!</v>
      </c>
      <c r="V32" s="429" t="e">
        <f>+LISTPROD3[[#This Row],[% GANANCIA2]]*LISTPROD3[[#This Row],[COSTO TOTAL UNIDAD]]</f>
        <v>#VALUE!</v>
      </c>
      <c r="W32" s="469">
        <f>LISTPROD3[[#This Row],[PRECIO DE VENTA2]]-LISTPROD3[[#This Row],[PRECIO VENTA POR RECETA]]</f>
        <v>-4165.0496660428907</v>
      </c>
      <c r="X32" s="468">
        <v>5000</v>
      </c>
      <c r="Y32" s="511" t="e">
        <f>(LISTPROD3[[#This Row],[PRECIO DE VENTA 3]]-LISTPROD3[[#This Row],[COSTO TOTAL UNIDAD]])/LISTPROD3[[#This Row],[COSTO TOTAL UNIDAD]]</f>
        <v>#VALUE!</v>
      </c>
      <c r="Z32" s="429" t="e">
        <f>LISTPROD3[[#This Row],[% GANANCIA3]]*LISTPROD3[[#This Row],[COSTO TOTAL UNIDAD]]</f>
        <v>#VALUE!</v>
      </c>
      <c r="AA32" s="469"/>
      <c r="AB32" s="391"/>
      <c r="AC32" s="470">
        <v>6000</v>
      </c>
      <c r="AD32" s="470">
        <v>5000</v>
      </c>
      <c r="AE32" s="470">
        <v>5000</v>
      </c>
      <c r="AF32" s="470">
        <v>5000</v>
      </c>
      <c r="AG32" s="471"/>
      <c r="AH32" s="275" t="s">
        <v>304</v>
      </c>
    </row>
    <row r="33" spans="1:34" ht="15.75" customHeight="1" x14ac:dyDescent="0.25">
      <c r="A33" s="44" t="s">
        <v>119</v>
      </c>
      <c r="B33" s="19" t="s">
        <v>120</v>
      </c>
      <c r="C33" s="554" t="s">
        <v>464</v>
      </c>
      <c r="D33" s="331" t="s">
        <v>654</v>
      </c>
      <c r="E33" s="539" t="s">
        <v>642</v>
      </c>
      <c r="F33" s="164" t="s">
        <v>655</v>
      </c>
      <c r="G33" s="370" t="s">
        <v>487</v>
      </c>
      <c r="H33" s="169"/>
      <c r="I33" s="187" t="s">
        <v>74</v>
      </c>
      <c r="J33" s="443">
        <f>'RECETAS JARABES'!G699</f>
        <v>3065.3275255967665</v>
      </c>
      <c r="K33" s="443">
        <f>'Gtos Varios'!$B$22</f>
        <v>3070.542857142857</v>
      </c>
      <c r="L33" s="443">
        <f>+LISTPROD3[[#This Row],[PRECIO DE PRODUCCIÓN POR UND]]+LISTPROD3[[#This Row],[TOTAL GASTOS VARIOS]]</f>
        <v>6135.8703827396239</v>
      </c>
      <c r="M33" s="407">
        <f>'RECETAS JARABES'!G704</f>
        <v>3006.5764875424156</v>
      </c>
      <c r="N33" s="517">
        <f>'RECETAS JARABES'!H704</f>
        <v>0.49</v>
      </c>
      <c r="O33" s="560">
        <f>'RECETAS JARABES'!G705</f>
        <v>9142.4468702820395</v>
      </c>
      <c r="P33" s="385">
        <v>6000</v>
      </c>
      <c r="Q33" s="440">
        <f>(LISTPROD3[[#This Row],[PRECIO DE VENTA 1]]-LISTPROD3[[#This Row],[COSTO TOTAL UNIDAD]])/LISTPROD3[[#This Row],[COSTO TOTAL UNIDAD]]</f>
        <v>-2.2143620100227523E-2</v>
      </c>
      <c r="R33" s="429">
        <f>LISTPROD3[[#This Row],[% GANANCIA]]*LISTPROD3[[#This Row],[COSTO TOTAL UNIDAD]]</f>
        <v>-135.87038273962389</v>
      </c>
      <c r="S33" s="391">
        <f>+LISTPROD3[[#This Row],[PRECIO DE VENTA 1]]-LISTPROD3[[#This Row],[PRECIO VENTA POR RECETA]]</f>
        <v>-3142.4468702820395</v>
      </c>
      <c r="T33" s="429">
        <v>5000</v>
      </c>
      <c r="U33" s="511">
        <f>(LISTPROD3[[#This Row],[PRECIO DE VENTA2]]-LISTPROD3[[#This Row],[COSTO TOTAL UNIDAD]])/LISTPROD3[[#This Row],[COSTO TOTAL UNIDAD]]</f>
        <v>-0.18511968341685628</v>
      </c>
      <c r="V33" s="429">
        <f>+LISTPROD3[[#This Row],[% GANANCIA2]]*LISTPROD3[[#This Row],[COSTO TOTAL UNIDAD]]</f>
        <v>-1135.8703827396239</v>
      </c>
      <c r="W33" s="391">
        <f>LISTPROD3[[#This Row],[PRECIO DE VENTA2]]-LISTPROD3[[#This Row],[PRECIO VENTA POR RECETA]]</f>
        <v>-4142.4468702820395</v>
      </c>
      <c r="X33" s="429">
        <v>5000</v>
      </c>
      <c r="Y33" s="511">
        <f>(LISTPROD3[[#This Row],[PRECIO DE VENTA 3]]-LISTPROD3[[#This Row],[COSTO TOTAL UNIDAD]])/LISTPROD3[[#This Row],[COSTO TOTAL UNIDAD]]</f>
        <v>-0.18511968341685628</v>
      </c>
      <c r="Z33" s="429">
        <f>LISTPROD3[[#This Row],[% GANANCIA3]]*LISTPROD3[[#This Row],[COSTO TOTAL UNIDAD]]</f>
        <v>-1135.8703827396239</v>
      </c>
      <c r="AA33" s="391"/>
      <c r="AB33" s="391"/>
      <c r="AC33" s="45">
        <v>6000</v>
      </c>
      <c r="AD33" s="45">
        <v>5000</v>
      </c>
      <c r="AE33" s="45">
        <v>5000</v>
      </c>
      <c r="AF33" s="45">
        <v>5000</v>
      </c>
      <c r="AG33" s="40"/>
      <c r="AH33" t="s">
        <v>304</v>
      </c>
    </row>
    <row r="34" spans="1:34" ht="18" customHeight="1" x14ac:dyDescent="0.25">
      <c r="A34" s="572" t="s">
        <v>121</v>
      </c>
      <c r="B34" s="569" t="s">
        <v>325</v>
      </c>
      <c r="C34" s="240" t="s">
        <v>517</v>
      </c>
      <c r="D34" s="329" t="s">
        <v>654</v>
      </c>
      <c r="E34" s="329" t="s">
        <v>508</v>
      </c>
      <c r="F34" s="577" t="s">
        <v>657</v>
      </c>
      <c r="G34" s="372"/>
      <c r="H34" s="159"/>
      <c r="I34" s="291" t="s">
        <v>73</v>
      </c>
      <c r="J34" s="349">
        <f>'RECETAS CAPS'!AI19</f>
        <v>2926.25</v>
      </c>
      <c r="K34" s="443">
        <f>'Gtos Varios'!$B$22</f>
        <v>3070.542857142857</v>
      </c>
      <c r="L34" s="348">
        <f>+LISTPROD3[[#This Row],[TOTAL GASTOS VARIOS]]+LISTPROD3[[#This Row],[PRECIO DE PRODUCCIÓN POR UND]]</f>
        <v>5996.7928571428565</v>
      </c>
      <c r="M34" s="411">
        <f>'RECETAS CAPS'!AI25</f>
        <v>3365.5818000000004</v>
      </c>
      <c r="N34" s="386">
        <f>'RECETAS CAPS'!AJ25</f>
        <v>0.51</v>
      </c>
      <c r="O34" s="533">
        <f>'RECETAS CAPS'!AI26</f>
        <v>9964.7618000000002</v>
      </c>
      <c r="P34" s="361">
        <v>8700</v>
      </c>
      <c r="Q34" s="440">
        <f>(LISTPROD3[[#This Row],[PRECIO DE VENTA 1]]-LISTPROD3[[#This Row],[COSTO TOTAL UNIDAD]])/LISTPROD3[[#This Row],[COSTO TOTAL UNIDAD]]</f>
        <v>0.45077547403314405</v>
      </c>
      <c r="R34" s="429">
        <f>LISTPROD3[[#This Row],[% GANANCIA]]*LISTPROD3[[#This Row],[COSTO TOTAL UNIDAD]]</f>
        <v>2703.2071428571435</v>
      </c>
      <c r="S34" s="395"/>
      <c r="T34" s="432"/>
      <c r="U34" s="440"/>
      <c r="V34" s="429"/>
      <c r="W34" s="391"/>
      <c r="X34" s="432"/>
      <c r="Y34" s="395"/>
      <c r="Z34" s="395"/>
      <c r="AA34" s="395"/>
      <c r="AB34" s="395"/>
      <c r="AC34" s="53">
        <v>8700</v>
      </c>
      <c r="AD34" s="309">
        <v>0</v>
      </c>
      <c r="AE34" s="309">
        <v>0</v>
      </c>
      <c r="AF34" s="309">
        <v>0</v>
      </c>
      <c r="AG34" s="48"/>
      <c r="AH34" s="7" t="s">
        <v>304</v>
      </c>
    </row>
    <row r="35" spans="1:34" x14ac:dyDescent="0.25">
      <c r="A35" s="298" t="s">
        <v>122</v>
      </c>
      <c r="B35" s="254" t="s">
        <v>123</v>
      </c>
      <c r="C35" s="554" t="s">
        <v>465</v>
      </c>
      <c r="D35" s="331" t="s">
        <v>654</v>
      </c>
      <c r="E35" s="539" t="s">
        <v>642</v>
      </c>
      <c r="F35" s="164" t="s">
        <v>656</v>
      </c>
      <c r="G35" s="370" t="s">
        <v>491</v>
      </c>
      <c r="H35" s="169"/>
      <c r="I35" s="187" t="s">
        <v>73</v>
      </c>
      <c r="J35" s="443">
        <f>'RECETAS JARABES'!G730</f>
        <v>2202.7729406847361</v>
      </c>
      <c r="K35" s="443">
        <f>'Gtos Varios'!$B$22</f>
        <v>3070.542857142857</v>
      </c>
      <c r="L35" s="443">
        <f>+LISTPROD3[[#This Row],[PRECIO DE PRODUCCIÓN POR UND]]+LISTPROD3[[#This Row],[TOTAL GASTOS VARIOS]]</f>
        <v>5273.3157978275931</v>
      </c>
      <c r="M35" s="407">
        <f>'RECETAS JARABES'!G735</f>
        <v>3005.7900047617277</v>
      </c>
      <c r="N35" s="516">
        <f>'RECETAS JARABES'!H735</f>
        <v>0.56999999999999995</v>
      </c>
      <c r="O35" s="559">
        <f>'RECETAS JARABES'!G736</f>
        <v>8279.1058025893217</v>
      </c>
      <c r="P35" s="385">
        <v>7500</v>
      </c>
      <c r="Q35" s="440">
        <f>(LISTPROD3[[#This Row],[PRECIO DE VENTA 1]]-LISTPROD3[[#This Row],[COSTO TOTAL UNIDAD]])/LISTPROD3[[#This Row],[COSTO TOTAL UNIDAD]]</f>
        <v>0.42225504550471199</v>
      </c>
      <c r="R35" s="429">
        <f>LISTPROD3[[#This Row],[% GANANCIA]]*LISTPROD3[[#This Row],[COSTO TOTAL UNIDAD]]</f>
        <v>2226.6842021724069</v>
      </c>
      <c r="S35" s="391">
        <f>+LISTPROD3[[#This Row],[PRECIO DE VENTA 1]]-LISTPROD3[[#This Row],[PRECIO VENTA POR RECETA]]</f>
        <v>-779.10580258932168</v>
      </c>
      <c r="T35" s="429">
        <v>5000</v>
      </c>
      <c r="U35" s="511">
        <f>(LISTPROD3[[#This Row],[PRECIO DE VENTA2]]-LISTPROD3[[#This Row],[COSTO TOTAL UNIDAD]])/LISTPROD3[[#This Row],[COSTO TOTAL UNIDAD]]</f>
        <v>-5.1829969663525342E-2</v>
      </c>
      <c r="V35" s="429">
        <f>+LISTPROD3[[#This Row],[% GANANCIA2]]*LISTPROD3[[#This Row],[COSTO TOTAL UNIDAD]]</f>
        <v>-273.31579782759309</v>
      </c>
      <c r="W35" s="391">
        <f>LISTPROD3[[#This Row],[PRECIO DE VENTA2]]-LISTPROD3[[#This Row],[PRECIO VENTA POR RECETA]]</f>
        <v>-3279.1058025893217</v>
      </c>
      <c r="X35" s="429">
        <v>2000</v>
      </c>
      <c r="Y35" s="511">
        <f>(LISTPROD3[[#This Row],[PRECIO DE VENTA 3]]-LISTPROD3[[#This Row],[COSTO TOTAL UNIDAD]])/LISTPROD3[[#This Row],[COSTO TOTAL UNIDAD]]</f>
        <v>-0.62073198786541017</v>
      </c>
      <c r="Z35" s="429">
        <f>LISTPROD3[[#This Row],[% GANANCIA3]]*LISTPROD3[[#This Row],[COSTO TOTAL UNIDAD]]</f>
        <v>-3273.3157978275931</v>
      </c>
      <c r="AA35" s="391"/>
      <c r="AB35" s="391"/>
      <c r="AC35" s="299">
        <v>7500</v>
      </c>
      <c r="AD35" s="299">
        <v>5000</v>
      </c>
      <c r="AE35" s="299">
        <v>2000</v>
      </c>
      <c r="AF35" s="299">
        <v>2000</v>
      </c>
      <c r="AG35" s="40"/>
      <c r="AH35" t="s">
        <v>304</v>
      </c>
    </row>
    <row r="36" spans="1:34" x14ac:dyDescent="0.25">
      <c r="A36" s="50" t="s">
        <v>124</v>
      </c>
      <c r="B36" s="51" t="s">
        <v>125</v>
      </c>
      <c r="C36" s="554" t="s">
        <v>465</v>
      </c>
      <c r="D36" s="331" t="s">
        <v>654</v>
      </c>
      <c r="E36" s="539" t="s">
        <v>642</v>
      </c>
      <c r="F36" s="164" t="s">
        <v>656</v>
      </c>
      <c r="G36" s="370" t="s">
        <v>491</v>
      </c>
      <c r="H36" s="169"/>
      <c r="I36" s="188" t="s">
        <v>73</v>
      </c>
      <c r="J36" s="443">
        <f>'RECETAS JARABES'!G761</f>
        <v>2202.7729406847361</v>
      </c>
      <c r="K36" s="443">
        <f>'Gtos Varios'!$B$22</f>
        <v>3070.542857142857</v>
      </c>
      <c r="L36" s="443">
        <f>+LISTPROD3[[#This Row],[PRECIO DE PRODUCCIÓN POR UND]]+LISTPROD3[[#This Row],[TOTAL GASTOS VARIOS]]</f>
        <v>5273.3157978275931</v>
      </c>
      <c r="M36" s="408">
        <f>'RECETAS JARABES'!G766</f>
        <v>3005.7900047617277</v>
      </c>
      <c r="N36" s="517">
        <f>'RECETAS JARABES'!H766</f>
        <v>0.56999999999999995</v>
      </c>
      <c r="O36" s="560">
        <f>'RECETAS JARABES'!G767</f>
        <v>8279.1058025893217</v>
      </c>
      <c r="P36" s="385">
        <v>7500</v>
      </c>
      <c r="Q36" s="440">
        <f>(LISTPROD3[[#This Row],[PRECIO DE VENTA 1]]-LISTPROD3[[#This Row],[COSTO TOTAL UNIDAD]])/LISTPROD3[[#This Row],[COSTO TOTAL UNIDAD]]</f>
        <v>0.42225504550471199</v>
      </c>
      <c r="R36" s="429">
        <f>LISTPROD3[[#This Row],[% GANANCIA]]*LISTPROD3[[#This Row],[COSTO TOTAL UNIDAD]]</f>
        <v>2226.6842021724069</v>
      </c>
      <c r="S36" s="391">
        <f>+LISTPROD3[[#This Row],[PRECIO DE VENTA 1]]-LISTPROD3[[#This Row],[PRECIO VENTA POR RECETA]]</f>
        <v>-779.10580258932168</v>
      </c>
      <c r="T36" s="429"/>
      <c r="U36" s="440"/>
      <c r="V36" s="429"/>
      <c r="W36" s="391"/>
      <c r="X36" s="429"/>
      <c r="Y36" s="511"/>
      <c r="Z36" s="429"/>
      <c r="AA36" s="391"/>
      <c r="AB36" s="391"/>
      <c r="AC36" s="43">
        <v>7500</v>
      </c>
      <c r="AD36" s="43">
        <v>0</v>
      </c>
      <c r="AE36" s="43">
        <v>0</v>
      </c>
      <c r="AF36" s="43">
        <v>0</v>
      </c>
      <c r="AG36" s="48"/>
      <c r="AH36" s="12" t="s">
        <v>568</v>
      </c>
    </row>
    <row r="37" spans="1:34" ht="36.75" customHeight="1" x14ac:dyDescent="0.25">
      <c r="A37" s="44" t="s">
        <v>126</v>
      </c>
      <c r="B37" s="19" t="s">
        <v>127</v>
      </c>
      <c r="C37" s="240" t="s">
        <v>781</v>
      </c>
      <c r="D37" s="337" t="s">
        <v>654</v>
      </c>
      <c r="E37" s="329" t="s">
        <v>611</v>
      </c>
      <c r="F37" s="240" t="s">
        <v>782</v>
      </c>
      <c r="G37" s="551"/>
      <c r="H37" s="159"/>
      <c r="I37" s="187" t="s">
        <v>74</v>
      </c>
      <c r="J37" s="478">
        <f>'RECETAS PASTILLAS'!G45</f>
        <v>4670</v>
      </c>
      <c r="K37" s="443">
        <f>'Gtos Varios'!$B$22</f>
        <v>3070.542857142857</v>
      </c>
      <c r="L37" s="491">
        <f>+LISTPROD3[[#This Row],[TOTAL GASTOS VARIOS]]+LISTPROD3[[#This Row],[PRECIO DE PRODUCCIÓN POR UND]]</f>
        <v>7740.5428571428565</v>
      </c>
      <c r="M37" s="407">
        <f>'RECETAS PASTILLAS'!G50</f>
        <v>3253.7427000000002</v>
      </c>
      <c r="N37" s="517">
        <f>'RECETAS PASTILLAS'!H50</f>
        <v>0.39</v>
      </c>
      <c r="O37" s="560">
        <f>'RECETAS PASTILLAS'!G51</f>
        <v>11596.672700000001</v>
      </c>
      <c r="P37" s="385">
        <v>7000</v>
      </c>
      <c r="Q37" s="511">
        <f>(LISTPROD3[[#This Row],[PRECIO DE VENTA 1]]-LISTPROD3[[#This Row],[COSTO TOTAL UNIDAD]])/LISTPROD3[[#This Row],[COSTO TOTAL UNIDAD]]</f>
        <v>-9.5670661710695742E-2</v>
      </c>
      <c r="R37" s="360">
        <f>LISTPROD3[[#This Row],[% GANANCIA]]*LISTPROD3[[#This Row],[COSTO TOTAL UNIDAD]]</f>
        <v>-740.54285714285652</v>
      </c>
      <c r="S37" s="392"/>
      <c r="T37" s="385">
        <v>7000</v>
      </c>
      <c r="U37" s="511">
        <f>(LISTPROD3[[#This Row],[PRECIO DE VENTA2]]-LISTPROD3[[#This Row],[COSTO TOTAL UNIDAD]])/LISTPROD3[[#This Row],[COSTO TOTAL UNIDAD]]</f>
        <v>-9.5670661710695742E-2</v>
      </c>
      <c r="V37" s="360">
        <f>LISTPROD3[[#This Row],[PRECIO DE VENTA2]]*LISTPROD3[[#This Row],[% GANANCIA2]]</f>
        <v>-669.69463197487016</v>
      </c>
      <c r="W37" s="391"/>
      <c r="X37" s="385">
        <v>7000</v>
      </c>
      <c r="Y37" s="511">
        <f>(LISTPROD3[[#This Row],[PRECIO DE VENTA 3]]-LISTPROD3[[#This Row],[COSTO TOTAL UNIDAD]])/LISTPROD3[[#This Row],[COSTO TOTAL UNIDAD]]</f>
        <v>-9.5670661710695742E-2</v>
      </c>
      <c r="Z37" s="360">
        <f>+LISTPROD3[[#This Row],[PRECIO DE VENTA 3]]*LISTPROD3[[#This Row],[% GANANCIA3]]</f>
        <v>-669.69463197487016</v>
      </c>
      <c r="AA37" s="392"/>
      <c r="AB37" s="514" t="s">
        <v>773</v>
      </c>
      <c r="AC37" s="45">
        <v>7000</v>
      </c>
      <c r="AD37" s="45">
        <v>7000</v>
      </c>
      <c r="AE37" s="45">
        <v>7000</v>
      </c>
      <c r="AF37" s="45">
        <v>7000</v>
      </c>
      <c r="AG37" s="40"/>
      <c r="AH37" t="s">
        <v>304</v>
      </c>
    </row>
    <row r="38" spans="1:34" ht="23.25" customHeight="1" x14ac:dyDescent="0.25">
      <c r="A38" s="50" t="s">
        <v>128</v>
      </c>
      <c r="B38" s="51" t="s">
        <v>129</v>
      </c>
      <c r="C38" s="554" t="s">
        <v>464</v>
      </c>
      <c r="D38" s="331" t="s">
        <v>654</v>
      </c>
      <c r="E38" s="539" t="s">
        <v>642</v>
      </c>
      <c r="F38" s="164" t="s">
        <v>655</v>
      </c>
      <c r="G38" s="370" t="s">
        <v>689</v>
      </c>
      <c r="H38" s="169"/>
      <c r="I38" s="188" t="s">
        <v>74</v>
      </c>
      <c r="J38" s="443">
        <f>'RECETAS JARABES'!G794</f>
        <v>2122.6344122634332</v>
      </c>
      <c r="K38" s="443">
        <f>'Gtos Varios'!$B$22</f>
        <v>3070.542857142857</v>
      </c>
      <c r="L38" s="443">
        <f>+LISTPROD3[[#This Row],[PRECIO DE PRODUCCIÓN POR UND]]+LISTPROD3[[#This Row],[TOTAL GASTOS VARIOS]]</f>
        <v>5193.1772694062902</v>
      </c>
      <c r="M38" s="408">
        <f>'RECETAS JARABES'!G799</f>
        <v>2960.1110435615851</v>
      </c>
      <c r="N38" s="517">
        <f>'RECETAS JARABES'!H799</f>
        <v>0.56999999999999995</v>
      </c>
      <c r="O38" s="560">
        <f>'RECETAS JARABES'!G800</f>
        <v>8153.2883129678758</v>
      </c>
      <c r="P38" s="385">
        <v>7000</v>
      </c>
      <c r="Q38" s="440">
        <f>(LISTPROD3[[#This Row],[PRECIO DE VENTA 1]]-LISTPROD3[[#This Row],[COSTO TOTAL UNIDAD]])/LISTPROD3[[#This Row],[COSTO TOTAL UNIDAD]]</f>
        <v>0.34792240604570673</v>
      </c>
      <c r="R38" s="429">
        <f>LISTPROD3[[#This Row],[% GANANCIA]]*LISTPROD3[[#This Row],[COSTO TOTAL UNIDAD]]</f>
        <v>1806.8227305937098</v>
      </c>
      <c r="S38" s="391">
        <f>+LISTPROD3[[#This Row],[PRECIO DE VENTA 1]]-LISTPROD3[[#This Row],[PRECIO VENTA POR RECETA]]</f>
        <v>-1153.2883129678758</v>
      </c>
      <c r="T38" s="429"/>
      <c r="U38" s="440"/>
      <c r="V38" s="429"/>
      <c r="W38" s="391"/>
      <c r="X38" s="429"/>
      <c r="Y38" s="511"/>
      <c r="Z38" s="429"/>
      <c r="AA38" s="391"/>
      <c r="AB38" s="391"/>
      <c r="AC38" s="43">
        <v>7000</v>
      </c>
      <c r="AD38" s="43">
        <v>0</v>
      </c>
      <c r="AE38" s="43">
        <v>0</v>
      </c>
      <c r="AF38" s="43">
        <v>0</v>
      </c>
      <c r="AG38" s="48"/>
      <c r="AH38" t="s">
        <v>304</v>
      </c>
    </row>
    <row r="39" spans="1:34" ht="25.5" customHeight="1" x14ac:dyDescent="0.25">
      <c r="A39" s="49" t="s">
        <v>130</v>
      </c>
      <c r="B39" s="9" t="s">
        <v>131</v>
      </c>
      <c r="C39" s="554" t="s">
        <v>464</v>
      </c>
      <c r="D39" s="331" t="s">
        <v>654</v>
      </c>
      <c r="E39" s="539" t="s">
        <v>642</v>
      </c>
      <c r="F39" s="164" t="s">
        <v>655</v>
      </c>
      <c r="G39" s="370" t="s">
        <v>689</v>
      </c>
      <c r="H39" s="169"/>
      <c r="I39" s="187" t="s">
        <v>74</v>
      </c>
      <c r="J39" s="478">
        <f>'RECETAS JARABES'!G826</f>
        <v>2016.5143089300998</v>
      </c>
      <c r="K39" s="443">
        <f>'Gtos Varios'!$B$22</f>
        <v>3070.542857142857</v>
      </c>
      <c r="L39" s="443">
        <f>+LISTPROD3[[#This Row],[PRECIO DE PRODUCCIÓN POR UND]]+LISTPROD3[[#This Row],[TOTAL GASTOS VARIOS]]</f>
        <v>5087.0571660729565</v>
      </c>
      <c r="M39" s="415">
        <f>'RECETAS JARABES'!G831</f>
        <v>2899.6225846615848</v>
      </c>
      <c r="N39" s="517">
        <f>'RECETAS JARABES'!H831</f>
        <v>0.56999999999999995</v>
      </c>
      <c r="O39" s="560">
        <f>'RECETAS JARABES'!G832</f>
        <v>7986.6797507345418</v>
      </c>
      <c r="P39" s="385">
        <v>7000</v>
      </c>
      <c r="Q39" s="440">
        <f>(LISTPROD3[[#This Row],[PRECIO DE VENTA 1]]-LISTPROD3[[#This Row],[COSTO TOTAL UNIDAD]])/LISTPROD3[[#This Row],[COSTO TOTAL UNIDAD]]</f>
        <v>0.37604115139200872</v>
      </c>
      <c r="R39" s="429">
        <f>LISTPROD3[[#This Row],[% GANANCIA]]*LISTPROD3[[#This Row],[COSTO TOTAL UNIDAD]]</f>
        <v>1912.9428339270435</v>
      </c>
      <c r="S39" s="391">
        <f>+LISTPROD3[[#This Row],[PRECIO DE VENTA 1]]-LISTPROD3[[#This Row],[PRECIO VENTA POR RECETA]]</f>
        <v>-986.67975073454181</v>
      </c>
      <c r="T39" s="429"/>
      <c r="U39" s="440"/>
      <c r="V39" s="429"/>
      <c r="W39" s="391"/>
      <c r="X39" s="429"/>
      <c r="Y39" s="511"/>
      <c r="Z39" s="429"/>
      <c r="AA39" s="391"/>
      <c r="AB39" s="391"/>
      <c r="AC39" s="45">
        <v>7000</v>
      </c>
      <c r="AD39" s="45">
        <v>0</v>
      </c>
      <c r="AE39" s="45">
        <v>0</v>
      </c>
      <c r="AF39" s="45">
        <v>0</v>
      </c>
      <c r="AG39" s="40"/>
      <c r="AH39" t="s">
        <v>304</v>
      </c>
    </row>
    <row r="40" spans="1:34" s="275" customFormat="1" ht="15.75" customHeight="1" x14ac:dyDescent="0.25">
      <c r="A40" s="476" t="s">
        <v>132</v>
      </c>
      <c r="B40" s="477" t="s">
        <v>133</v>
      </c>
      <c r="C40" s="556" t="s">
        <v>464</v>
      </c>
      <c r="D40" s="462" t="s">
        <v>654</v>
      </c>
      <c r="E40" s="463" t="s">
        <v>642</v>
      </c>
      <c r="F40" s="327" t="s">
        <v>655</v>
      </c>
      <c r="G40" s="423" t="s">
        <v>487</v>
      </c>
      <c r="H40" s="464"/>
      <c r="I40" s="465" t="s">
        <v>74</v>
      </c>
      <c r="J40" s="482" t="s">
        <v>665</v>
      </c>
      <c r="K40" s="441">
        <f>'Gtos Varios'!$B$22</f>
        <v>3070.542857142857</v>
      </c>
      <c r="L40" s="441" t="e">
        <f>+LISTPROD3[[#This Row],[PRECIO DE PRODUCCIÓN POR UND]]+LISTPROD3[[#This Row],[TOTAL GASTOS VARIOS]]</f>
        <v>#VALUE!</v>
      </c>
      <c r="M40" s="466">
        <f>'RECETAS JARABES'!$G$866</f>
        <v>3032.8279040889811</v>
      </c>
      <c r="N40" s="518">
        <f>'RECETAS JARABES'!$H$866</f>
        <v>0.57999999999999996</v>
      </c>
      <c r="O40" s="561">
        <f>'RECETAS JARABES'!$G$867</f>
        <v>8261.8415318286043</v>
      </c>
      <c r="P40" s="467">
        <v>6000</v>
      </c>
      <c r="Q40" s="440" t="e">
        <f>(LISTPROD3[[#This Row],[PRECIO DE VENTA 1]]-LISTPROD3[[#This Row],[COSTO TOTAL UNIDAD]])/LISTPROD3[[#This Row],[COSTO TOTAL UNIDAD]]</f>
        <v>#VALUE!</v>
      </c>
      <c r="R40" s="429" t="e">
        <f>LISTPROD3[[#This Row],[% GANANCIA]]*LISTPROD3[[#This Row],[COSTO TOTAL UNIDAD]]</f>
        <v>#VALUE!</v>
      </c>
      <c r="S40" s="469">
        <f>+LISTPROD3[[#This Row],[PRECIO DE VENTA 1]]-LISTPROD3[[#This Row],[PRECIO VENTA POR RECETA]]</f>
        <v>-2261.8415318286043</v>
      </c>
      <c r="T40" s="468">
        <v>6000</v>
      </c>
      <c r="U40" s="440" t="e">
        <f>(LISTPROD3[[#This Row],[PRECIO DE VENTA2]]-LISTPROD3[[#This Row],[COSTO TOTAL UNIDAD]])/LISTPROD3[[#This Row],[COSTO TOTAL UNIDAD]]</f>
        <v>#VALUE!</v>
      </c>
      <c r="V40" s="429" t="e">
        <f>+LISTPROD3[[#This Row],[% GANANCIA2]]*LISTPROD3[[#This Row],[COSTO TOTAL UNIDAD]]</f>
        <v>#VALUE!</v>
      </c>
      <c r="W40" s="469">
        <f>LISTPROD3[[#This Row],[PRECIO DE VENTA2]]-LISTPROD3[[#This Row],[PRECIO VENTA POR RECETA]]</f>
        <v>-2261.8415318286043</v>
      </c>
      <c r="X40" s="468">
        <v>6000</v>
      </c>
      <c r="Y40" s="511" t="e">
        <f>(LISTPROD3[[#This Row],[PRECIO DE VENTA 3]]-LISTPROD3[[#This Row],[COSTO TOTAL UNIDAD]])/LISTPROD3[[#This Row],[COSTO TOTAL UNIDAD]]</f>
        <v>#VALUE!</v>
      </c>
      <c r="Z40" s="429" t="e">
        <f>LISTPROD3[[#This Row],[% GANANCIA3]]*LISTPROD3[[#This Row],[COSTO TOTAL UNIDAD]]</f>
        <v>#VALUE!</v>
      </c>
      <c r="AA40" s="469"/>
      <c r="AB40" s="391"/>
      <c r="AC40" s="475">
        <v>6000</v>
      </c>
      <c r="AD40" s="470">
        <v>6000</v>
      </c>
      <c r="AE40" s="470">
        <v>6000</v>
      </c>
      <c r="AF40" s="470">
        <v>6000</v>
      </c>
      <c r="AG40" s="471" t="s">
        <v>326</v>
      </c>
      <c r="AH40" s="275" t="s">
        <v>304</v>
      </c>
    </row>
    <row r="41" spans="1:34" s="275" customFormat="1" x14ac:dyDescent="0.25">
      <c r="A41" s="472" t="s">
        <v>134</v>
      </c>
      <c r="B41" s="259" t="s">
        <v>135</v>
      </c>
      <c r="C41" s="556" t="s">
        <v>464</v>
      </c>
      <c r="D41" s="462" t="s">
        <v>654</v>
      </c>
      <c r="E41" s="463" t="s">
        <v>642</v>
      </c>
      <c r="F41" s="327" t="s">
        <v>655</v>
      </c>
      <c r="G41" s="423" t="s">
        <v>491</v>
      </c>
      <c r="H41" s="464"/>
      <c r="I41" s="473" t="s">
        <v>73</v>
      </c>
      <c r="J41" s="482" t="s">
        <v>665</v>
      </c>
      <c r="K41" s="441">
        <f>'Gtos Varios'!$B$22</f>
        <v>3070.542857142857</v>
      </c>
      <c r="L41" s="441" t="e">
        <f>+LISTPROD3[[#This Row],[PRECIO DE PRODUCCIÓN POR UND]]+LISTPROD3[[#This Row],[TOTAL GASTOS VARIOS]]</f>
        <v>#VALUE!</v>
      </c>
      <c r="M41" s="474">
        <f>'RECETAS JARABES'!G901</f>
        <v>2975.6431445615854</v>
      </c>
      <c r="N41" s="518">
        <f>'RECETAS JARABES'!H901</f>
        <v>0.56999999999999995</v>
      </c>
      <c r="O41" s="561">
        <f>'RECETAS JARABES'!G902</f>
        <v>8196.0697139678759</v>
      </c>
      <c r="P41" s="467">
        <v>6000</v>
      </c>
      <c r="Q41" s="440" t="e">
        <f>(LISTPROD3[[#This Row],[PRECIO DE VENTA 1]]-LISTPROD3[[#This Row],[COSTO TOTAL UNIDAD]])/LISTPROD3[[#This Row],[COSTO TOTAL UNIDAD]]</f>
        <v>#VALUE!</v>
      </c>
      <c r="R41" s="429" t="e">
        <f>LISTPROD3[[#This Row],[% GANANCIA]]*LISTPROD3[[#This Row],[COSTO TOTAL UNIDAD]]</f>
        <v>#VALUE!</v>
      </c>
      <c r="S41" s="469">
        <f>+LISTPROD3[[#This Row],[PRECIO DE VENTA 1]]-LISTPROD3[[#This Row],[PRECIO VENTA POR RECETA]]</f>
        <v>-2196.0697139678759</v>
      </c>
      <c r="T41" s="468">
        <v>5000</v>
      </c>
      <c r="U41" s="440" t="e">
        <f>(LISTPROD3[[#This Row],[PRECIO DE VENTA2]]-LISTPROD3[[#This Row],[COSTO TOTAL UNIDAD]])/LISTPROD3[[#This Row],[COSTO TOTAL UNIDAD]]</f>
        <v>#VALUE!</v>
      </c>
      <c r="V41" s="429" t="e">
        <f>+LISTPROD3[[#This Row],[% GANANCIA2]]*LISTPROD3[[#This Row],[COSTO TOTAL UNIDAD]]</f>
        <v>#VALUE!</v>
      </c>
      <c r="W41" s="469">
        <f>LISTPROD3[[#This Row],[PRECIO DE VENTA2]]-LISTPROD3[[#This Row],[PRECIO VENTA POR RECETA]]</f>
        <v>-3196.0697139678759</v>
      </c>
      <c r="X41" s="468">
        <v>5000</v>
      </c>
      <c r="Y41" s="511" t="e">
        <f>(LISTPROD3[[#This Row],[PRECIO DE VENTA 3]]-LISTPROD3[[#This Row],[COSTO TOTAL UNIDAD]])/LISTPROD3[[#This Row],[COSTO TOTAL UNIDAD]]</f>
        <v>#VALUE!</v>
      </c>
      <c r="Z41" s="429" t="e">
        <f>LISTPROD3[[#This Row],[% GANANCIA3]]*LISTPROD3[[#This Row],[COSTO TOTAL UNIDAD]]</f>
        <v>#VALUE!</v>
      </c>
      <c r="AA41" s="469"/>
      <c r="AB41" s="391"/>
      <c r="AC41" s="475">
        <v>6000</v>
      </c>
      <c r="AD41" s="475">
        <v>5000</v>
      </c>
      <c r="AE41" s="475">
        <v>5000</v>
      </c>
      <c r="AF41" s="475">
        <v>5000</v>
      </c>
      <c r="AG41" s="72"/>
      <c r="AH41" s="275" t="s">
        <v>304</v>
      </c>
    </row>
    <row r="42" spans="1:34" ht="15.75" customHeight="1" x14ac:dyDescent="0.25">
      <c r="A42" s="50" t="s">
        <v>136</v>
      </c>
      <c r="B42" s="51" t="s">
        <v>137</v>
      </c>
      <c r="C42" s="554" t="s">
        <v>464</v>
      </c>
      <c r="D42" s="331" t="s">
        <v>654</v>
      </c>
      <c r="E42" s="539" t="s">
        <v>642</v>
      </c>
      <c r="F42" s="164" t="s">
        <v>655</v>
      </c>
      <c r="G42" s="423"/>
      <c r="H42" s="169"/>
      <c r="I42" s="188" t="s">
        <v>74</v>
      </c>
      <c r="J42" s="443">
        <f>'RECETAS JARABES'!G930</f>
        <v>3086.5143089300996</v>
      </c>
      <c r="K42" s="443">
        <f>'Gtos Varios'!$B$22</f>
        <v>3070.542857142857</v>
      </c>
      <c r="L42" s="443">
        <f>+LISTPROD3[[#This Row],[PRECIO DE PRODUCCIÓN POR UND]]+LISTPROD3[[#This Row],[TOTAL GASTOS VARIOS]]</f>
        <v>6157.0571660729565</v>
      </c>
      <c r="M42" s="408">
        <f>'RECETAS JARABES'!G935</f>
        <v>2893.8168680542894</v>
      </c>
      <c r="N42" s="517">
        <f>'RECETAS JARABES'!H935</f>
        <v>0.47</v>
      </c>
      <c r="O42" s="560">
        <f>'RECETAS JARABES'!G936</f>
        <v>9050.874034127246</v>
      </c>
      <c r="P42" s="385">
        <v>7000</v>
      </c>
      <c r="Q42" s="440">
        <f>(LISTPROD3[[#This Row],[PRECIO DE VENTA 1]]-LISTPROD3[[#This Row],[COSTO TOTAL UNIDAD]])/LISTPROD3[[#This Row],[COSTO TOTAL UNIDAD]]</f>
        <v>0.13690677399779322</v>
      </c>
      <c r="R42" s="429">
        <f>LISTPROD3[[#This Row],[% GANANCIA]]*LISTPROD3[[#This Row],[COSTO TOTAL UNIDAD]]</f>
        <v>842.94283392704347</v>
      </c>
      <c r="S42" s="391">
        <f>+LISTPROD3[[#This Row],[PRECIO DE VENTA 1]]-LISTPROD3[[#This Row],[PRECIO VENTA POR RECETA]]</f>
        <v>-2050.874034127246</v>
      </c>
      <c r="T42" s="429">
        <v>10000</v>
      </c>
      <c r="U42" s="440">
        <f>(LISTPROD3[[#This Row],[PRECIO DE VENTA2]]-LISTPROD3[[#This Row],[COSTO TOTAL UNIDAD]])/LISTPROD3[[#This Row],[COSTO TOTAL UNIDAD]]</f>
        <v>0.62415253428256179</v>
      </c>
      <c r="V42" s="429">
        <f>+LISTPROD3[[#This Row],[% GANANCIA2]]*LISTPROD3[[#This Row],[COSTO TOTAL UNIDAD]]</f>
        <v>3842.9428339270439</v>
      </c>
      <c r="W42" s="391">
        <f>LISTPROD3[[#This Row],[PRECIO DE VENTA2]]-LISTPROD3[[#This Row],[PRECIO VENTA POR RECETA]]</f>
        <v>949.12596587275402</v>
      </c>
      <c r="X42" s="429">
        <v>10000</v>
      </c>
      <c r="Y42" s="511">
        <f>(LISTPROD3[[#This Row],[PRECIO DE VENTA 3]]-LISTPROD3[[#This Row],[COSTO TOTAL UNIDAD]])/LISTPROD3[[#This Row],[COSTO TOTAL UNIDAD]]</f>
        <v>0.62415253428256179</v>
      </c>
      <c r="Z42" s="429">
        <f>LISTPROD3[[#This Row],[% GANANCIA3]]*LISTPROD3[[#This Row],[COSTO TOTAL UNIDAD]]</f>
        <v>3842.9428339270439</v>
      </c>
      <c r="AA42" s="391"/>
      <c r="AB42" s="391"/>
      <c r="AC42" s="54">
        <v>7000</v>
      </c>
      <c r="AD42" s="43">
        <v>10000</v>
      </c>
      <c r="AE42" s="43">
        <v>10000</v>
      </c>
      <c r="AF42" s="43">
        <v>10000</v>
      </c>
      <c r="AG42" s="48" t="s">
        <v>327</v>
      </c>
      <c r="AH42" s="12" t="s">
        <v>305</v>
      </c>
    </row>
    <row r="43" spans="1:34" s="275" customFormat="1" ht="15.75" customHeight="1" x14ac:dyDescent="0.25">
      <c r="A43" s="472" t="s">
        <v>138</v>
      </c>
      <c r="B43" s="259" t="s">
        <v>139</v>
      </c>
      <c r="C43" s="549" t="s">
        <v>663</v>
      </c>
      <c r="D43" s="545" t="s">
        <v>654</v>
      </c>
      <c r="E43" s="339" t="s">
        <v>644</v>
      </c>
      <c r="F43" s="382" t="s">
        <v>663</v>
      </c>
      <c r="G43" s="425"/>
      <c r="H43" s="501"/>
      <c r="I43" s="473" t="s">
        <v>74</v>
      </c>
      <c r="J43" s="444" t="s">
        <v>667</v>
      </c>
      <c r="K43" s="346">
        <f>'Gtos Varios'!$B$22</f>
        <v>3070.542857142857</v>
      </c>
      <c r="L43" s="346" t="e">
        <f>+LISTPROD3[[#This Row],[TOTAL GASTOS VARIOS]]+LISTPROD3[[#This Row],[PRECIO DE PRODUCCIÓN POR UND]]</f>
        <v>#VALUE!</v>
      </c>
      <c r="M43" s="474"/>
      <c r="N43" s="518"/>
      <c r="O43" s="561"/>
      <c r="P43" s="467">
        <v>2000</v>
      </c>
      <c r="Q43" s="547" t="e">
        <f>(LISTPROD3[[#This Row],[PRECIO DE VENTA 1]]-LISTPROD3[[#This Row],[COSTO TOTAL UNIDAD]])/LISTPROD3[[#This Row],[COSTO TOTAL UNIDAD]]</f>
        <v>#VALUE!</v>
      </c>
      <c r="R43" s="468" t="e">
        <f>LISTPROD3[[#This Row],[% GANANCIA]]*LISTPROD3[[#This Row],[COSTO TOTAL UNIDAD]]</f>
        <v>#VALUE!</v>
      </c>
      <c r="S43" s="548"/>
      <c r="T43" s="467">
        <v>2000</v>
      </c>
      <c r="U43" s="547" t="e">
        <f>(LISTPROD3[[#This Row],[PRECIO DE VENTA2]]-LISTPROD3[[#This Row],[COSTO TOTAL UNIDAD]])/LISTPROD3[[#This Row],[COSTO TOTAL UNIDAD]]</f>
        <v>#VALUE!</v>
      </c>
      <c r="V43" s="468" t="e">
        <f>LISTPROD3[[#This Row],[PRECIO DE VENTA2]]*LISTPROD3[[#This Row],[% GANANCIA2]]</f>
        <v>#VALUE!</v>
      </c>
      <c r="W43" s="469">
        <f>LISTPROD3[[#This Row],[PRECIO DE VENTA2]]-LISTPROD3[[#This Row],[PRECIO VENTA POR RECETA]]</f>
        <v>2000</v>
      </c>
      <c r="X43" s="467">
        <v>2000</v>
      </c>
      <c r="Y43" s="548"/>
      <c r="Z43" s="548"/>
      <c r="AA43" s="548"/>
      <c r="AB43" s="548"/>
      <c r="AC43" s="475">
        <v>2000</v>
      </c>
      <c r="AD43" s="475">
        <v>2000</v>
      </c>
      <c r="AE43" s="475">
        <v>2000</v>
      </c>
      <c r="AF43" s="475">
        <v>2000</v>
      </c>
      <c r="AG43" s="72"/>
      <c r="AH43" s="12" t="s">
        <v>305</v>
      </c>
    </row>
    <row r="44" spans="1:34" ht="23.25" customHeight="1" x14ac:dyDescent="0.25">
      <c r="A44" s="46" t="s">
        <v>140</v>
      </c>
      <c r="B44" s="47" t="s">
        <v>141</v>
      </c>
      <c r="C44" s="554" t="s">
        <v>464</v>
      </c>
      <c r="D44" s="331" t="s">
        <v>654</v>
      </c>
      <c r="E44" s="539" t="s">
        <v>642</v>
      </c>
      <c r="F44" s="164" t="s">
        <v>655</v>
      </c>
      <c r="G44" s="370" t="s">
        <v>689</v>
      </c>
      <c r="H44" s="169"/>
      <c r="I44" s="190" t="s">
        <v>74</v>
      </c>
      <c r="J44" s="443">
        <f>'RECETAS JARABES'!G964</f>
        <v>2102.6257583349793</v>
      </c>
      <c r="K44" s="443">
        <f>'Gtos Varios'!$B$22</f>
        <v>3070.542857142857</v>
      </c>
      <c r="L44" s="443">
        <f>+LISTPROD3[[#This Row],[PRECIO DE PRODUCCIÓN POR UND]]+LISTPROD3[[#This Row],[TOTAL GASTOS VARIOS]]</f>
        <v>5173.1686154778363</v>
      </c>
      <c r="M44" s="406">
        <f>'RECETAS JARABES'!G969</f>
        <v>3234.3112246675887</v>
      </c>
      <c r="N44" s="517">
        <f>'RECETAS JARABES'!H969</f>
        <v>0.56000000000000005</v>
      </c>
      <c r="O44" s="560">
        <f>'RECETAS JARABES'!G970</f>
        <v>9009.8669830025683</v>
      </c>
      <c r="P44" s="385">
        <v>7000</v>
      </c>
      <c r="Q44" s="440">
        <f>(LISTPROD3[[#This Row],[PRECIO DE VENTA 1]]-LISTPROD3[[#This Row],[COSTO TOTAL UNIDAD]])/LISTPROD3[[#This Row],[COSTO TOTAL UNIDAD]]</f>
        <v>0.35313586706924349</v>
      </c>
      <c r="R44" s="429">
        <f>LISTPROD3[[#This Row],[% GANANCIA]]*LISTPROD3[[#This Row],[COSTO TOTAL UNIDAD]]</f>
        <v>1826.8313845221635</v>
      </c>
      <c r="S44" s="391">
        <f>+LISTPROD3[[#This Row],[PRECIO DE VENTA 1]]-LISTPROD3[[#This Row],[PRECIO VENTA POR RECETA]]</f>
        <v>-2009.8669830025683</v>
      </c>
      <c r="T44" s="429"/>
      <c r="U44" s="440"/>
      <c r="V44" s="429"/>
      <c r="W44" s="391"/>
      <c r="X44" s="429"/>
      <c r="Y44" s="511"/>
      <c r="Z44" s="429"/>
      <c r="AA44" s="391"/>
      <c r="AB44" s="391"/>
      <c r="AC44" s="43">
        <v>7000</v>
      </c>
      <c r="AD44" s="43">
        <v>0</v>
      </c>
      <c r="AE44" s="43">
        <v>0</v>
      </c>
      <c r="AF44" s="43">
        <v>0</v>
      </c>
      <c r="AG44" s="48"/>
      <c r="AH44" t="s">
        <v>304</v>
      </c>
    </row>
    <row r="45" spans="1:34" ht="15.75" customHeight="1" x14ac:dyDescent="0.25">
      <c r="A45" s="44" t="s">
        <v>142</v>
      </c>
      <c r="B45" s="19" t="s">
        <v>542</v>
      </c>
      <c r="C45" s="374" t="s">
        <v>469</v>
      </c>
      <c r="D45" s="337" t="s">
        <v>654</v>
      </c>
      <c r="E45" s="338"/>
      <c r="F45" s="162"/>
      <c r="G45" s="374"/>
      <c r="H45" s="161"/>
      <c r="I45" s="187" t="s">
        <v>74</v>
      </c>
      <c r="J45" s="346"/>
      <c r="K45" s="346"/>
      <c r="L45" s="346"/>
      <c r="M45" s="407"/>
      <c r="N45" s="517">
        <f>'RECETAS UNGUENTOS'!H27</f>
        <v>0.63</v>
      </c>
      <c r="O45" s="560">
        <f>'RECETAS UNGUENTOS'!G28</f>
        <v>8775.5458523076923</v>
      </c>
      <c r="P45" s="385">
        <v>6000</v>
      </c>
      <c r="Q45" s="440" t="e">
        <f>(LISTPROD3[[#This Row],[PRECIO DE VENTA 1]]-LISTPROD3[[#This Row],[COSTO TOTAL UNIDAD]])/LISTPROD3[[#This Row],[COSTO TOTAL UNIDAD]]</f>
        <v>#DIV/0!</v>
      </c>
      <c r="R45" s="429" t="e">
        <f>LISTPROD3[[#This Row],[% GANANCIA]]*LISTPROD3[[#This Row],[COSTO TOTAL UNIDAD]]</f>
        <v>#DIV/0!</v>
      </c>
      <c r="S45" s="394"/>
      <c r="T45" s="385">
        <v>0</v>
      </c>
      <c r="U45" s="440" t="e">
        <f>(LISTPROD3[[#This Row],[PRECIO DE VENTA2]]-LISTPROD3[[#This Row],[COSTO TOTAL UNIDAD]])/LISTPROD3[[#This Row],[COSTO TOTAL UNIDAD]]</f>
        <v>#DIV/0!</v>
      </c>
      <c r="V45" s="429" t="e">
        <f>LISTPROD3[[#This Row],[PRECIO DE VENTA2]]*LISTPROD3[[#This Row],[% GANANCIA2]]</f>
        <v>#DIV/0!</v>
      </c>
      <c r="W45" s="391">
        <f>LISTPROD3[[#This Row],[PRECIO DE VENTA2]]-LISTPROD3[[#This Row],[PRECIO VENTA POR RECETA]]</f>
        <v>-8775.5458523076923</v>
      </c>
      <c r="X45" s="385">
        <v>0</v>
      </c>
      <c r="Y45" s="394"/>
      <c r="Z45" s="394"/>
      <c r="AA45" s="394"/>
      <c r="AB45" s="394"/>
      <c r="AC45" s="45">
        <v>6000</v>
      </c>
      <c r="AD45" s="45">
        <v>0</v>
      </c>
      <c r="AE45" s="45">
        <v>0</v>
      </c>
      <c r="AF45" s="45">
        <v>0</v>
      </c>
      <c r="AG45" s="40"/>
      <c r="AH45" s="7" t="s">
        <v>304</v>
      </c>
    </row>
    <row r="46" spans="1:34" x14ac:dyDescent="0.25">
      <c r="A46" s="46" t="s">
        <v>143</v>
      </c>
      <c r="B46" s="47" t="s">
        <v>144</v>
      </c>
      <c r="C46" s="554" t="s">
        <v>465</v>
      </c>
      <c r="D46" s="331" t="s">
        <v>654</v>
      </c>
      <c r="E46" s="539" t="s">
        <v>642</v>
      </c>
      <c r="F46" s="164" t="s">
        <v>656</v>
      </c>
      <c r="G46" s="370" t="s">
        <v>491</v>
      </c>
      <c r="H46" s="169"/>
      <c r="I46" s="190" t="s">
        <v>73</v>
      </c>
      <c r="J46" s="443">
        <f>'RECETAS JARABES'!G994</f>
        <v>2056.7813461392816</v>
      </c>
      <c r="K46" s="443">
        <f>'Gtos Varios'!$B$22</f>
        <v>3070.542857142857</v>
      </c>
      <c r="L46" s="443">
        <f>+LISTPROD3[[#This Row],[PRECIO DE PRODUCCIÓN POR UND]]+LISTPROD3[[#This Row],[TOTAL GASTOS VARIOS]]</f>
        <v>5127.3242032821381</v>
      </c>
      <c r="M46" s="406">
        <f>'RECETAS JARABES'!G999</f>
        <v>3380.5296942221762</v>
      </c>
      <c r="N46" s="517">
        <f>'RECETAS JARABES'!H999</f>
        <v>0.59</v>
      </c>
      <c r="O46" s="560">
        <f>'RECETAS JARABES'!G1000</f>
        <v>9110.2410403614576</v>
      </c>
      <c r="P46" s="385">
        <v>7500</v>
      </c>
      <c r="Q46" s="440">
        <f>(LISTPROD3[[#This Row],[PRECIO DE VENTA 1]]-LISTPROD3[[#This Row],[COSTO TOTAL UNIDAD]])/LISTPROD3[[#This Row],[COSTO TOTAL UNIDAD]]</f>
        <v>0.46275127194005955</v>
      </c>
      <c r="R46" s="429">
        <f>LISTPROD3[[#This Row],[% GANANCIA]]*LISTPROD3[[#This Row],[COSTO TOTAL UNIDAD]]</f>
        <v>2372.6757967178619</v>
      </c>
      <c r="S46" s="391">
        <f>+LISTPROD3[[#This Row],[PRECIO DE VENTA 1]]-LISTPROD3[[#This Row],[PRECIO VENTA POR RECETA]]</f>
        <v>-1610.2410403614576</v>
      </c>
      <c r="T46" s="429"/>
      <c r="U46" s="440"/>
      <c r="V46" s="429"/>
      <c r="W46" s="391"/>
      <c r="X46" s="429"/>
      <c r="Y46" s="511"/>
      <c r="Z46" s="429"/>
      <c r="AA46" s="391"/>
      <c r="AB46" s="391"/>
      <c r="AC46" s="43">
        <v>7500</v>
      </c>
      <c r="AD46" s="43">
        <v>0</v>
      </c>
      <c r="AE46" s="43">
        <v>0</v>
      </c>
      <c r="AF46" s="43">
        <v>0</v>
      </c>
      <c r="AG46" s="48"/>
      <c r="AH46" t="s">
        <v>304</v>
      </c>
    </row>
    <row r="47" spans="1:34" ht="15.75" customHeight="1" x14ac:dyDescent="0.25">
      <c r="A47" s="49" t="s">
        <v>145</v>
      </c>
      <c r="B47" s="9" t="s">
        <v>146</v>
      </c>
      <c r="C47" s="554" t="s">
        <v>464</v>
      </c>
      <c r="D47" s="331" t="s">
        <v>654</v>
      </c>
      <c r="E47" s="539" t="s">
        <v>642</v>
      </c>
      <c r="F47" s="164" t="s">
        <v>655</v>
      </c>
      <c r="G47" s="424" t="s">
        <v>714</v>
      </c>
      <c r="H47" s="169"/>
      <c r="I47" s="187" t="s">
        <v>74</v>
      </c>
      <c r="J47" s="443">
        <f>'RECETAS JARABES'!G1025</f>
        <v>2302.3862320434332</v>
      </c>
      <c r="K47" s="443">
        <f>'Gtos Varios'!$B$22</f>
        <v>3070.542857142857</v>
      </c>
      <c r="L47" s="443">
        <f>+LISTPROD3[[#This Row],[PRECIO DE PRODUCCIÓN POR UND]]+LISTPROD3[[#This Row],[TOTAL GASTOS VARIOS]]</f>
        <v>5372.9290891862902</v>
      </c>
      <c r="M47" s="407">
        <f>'RECETAS JARABES'!G1030</f>
        <v>3286.4239276238886</v>
      </c>
      <c r="N47" s="517">
        <f>'RECETAS JARABES'!H1030</f>
        <v>0.55000000000000004</v>
      </c>
      <c r="O47" s="560">
        <f>'RECETAS JARABES'!G1031</f>
        <v>9261.7401596673226</v>
      </c>
      <c r="P47" s="385">
        <v>6000</v>
      </c>
      <c r="Q47" s="440">
        <f>(LISTPROD3[[#This Row],[PRECIO DE VENTA 1]]-LISTPROD3[[#This Row],[COSTO TOTAL UNIDAD]])/LISTPROD3[[#This Row],[COSTO TOTAL UNIDAD]]</f>
        <v>0.11670932193685016</v>
      </c>
      <c r="R47" s="429">
        <f>LISTPROD3[[#This Row],[% GANANCIA]]*LISTPROD3[[#This Row],[COSTO TOTAL UNIDAD]]</f>
        <v>627.07091081370982</v>
      </c>
      <c r="S47" s="391">
        <f>+LISTPROD3[[#This Row],[PRECIO DE VENTA 1]]-LISTPROD3[[#This Row],[PRECIO VENTA POR RECETA]]</f>
        <v>-3261.7401596673226</v>
      </c>
      <c r="T47" s="429">
        <v>5000</v>
      </c>
      <c r="U47" s="511">
        <f>(LISTPROD3[[#This Row],[PRECIO DE VENTA2]]-LISTPROD3[[#This Row],[COSTO TOTAL UNIDAD]])/LISTPROD3[[#This Row],[COSTO TOTAL UNIDAD]]</f>
        <v>-6.9408898385958206E-2</v>
      </c>
      <c r="V47" s="429">
        <f>+LISTPROD3[[#This Row],[% GANANCIA2]]*LISTPROD3[[#This Row],[COSTO TOTAL UNIDAD]]</f>
        <v>-372.92908918629018</v>
      </c>
      <c r="W47" s="391">
        <f>LISTPROD3[[#This Row],[PRECIO DE VENTA2]]-LISTPROD3[[#This Row],[PRECIO VENTA POR RECETA]]</f>
        <v>-4261.7401596673226</v>
      </c>
      <c r="X47" s="429">
        <v>5000</v>
      </c>
      <c r="Y47" s="511">
        <f>(LISTPROD3[[#This Row],[PRECIO DE VENTA 3]]-LISTPROD3[[#This Row],[COSTO TOTAL UNIDAD]])/LISTPROD3[[#This Row],[COSTO TOTAL UNIDAD]]</f>
        <v>-6.9408898385958206E-2</v>
      </c>
      <c r="Z47" s="429">
        <f>LISTPROD3[[#This Row],[% GANANCIA3]]*LISTPROD3[[#This Row],[COSTO TOTAL UNIDAD]]</f>
        <v>-372.92908918629018</v>
      </c>
      <c r="AA47" s="391"/>
      <c r="AB47" s="391"/>
      <c r="AC47" s="45">
        <v>6000</v>
      </c>
      <c r="AD47" s="45">
        <v>5000</v>
      </c>
      <c r="AE47" s="45">
        <v>5000</v>
      </c>
      <c r="AF47" s="45">
        <v>5000</v>
      </c>
      <c r="AG47" s="40"/>
      <c r="AH47" s="12" t="s">
        <v>305</v>
      </c>
    </row>
    <row r="48" spans="1:34" ht="30" customHeight="1" x14ac:dyDescent="0.25">
      <c r="A48" s="44" t="s">
        <v>147</v>
      </c>
      <c r="B48" s="19" t="s">
        <v>483</v>
      </c>
      <c r="C48" s="240" t="s">
        <v>780</v>
      </c>
      <c r="D48" s="337" t="s">
        <v>654</v>
      </c>
      <c r="E48" s="329" t="s">
        <v>611</v>
      </c>
      <c r="F48" s="240" t="s">
        <v>673</v>
      </c>
      <c r="G48" s="551"/>
      <c r="H48" s="159"/>
      <c r="I48" s="188" t="s">
        <v>74</v>
      </c>
      <c r="J48" s="478">
        <f>'RECETAS PASTILLAS'!G70</f>
        <v>4950</v>
      </c>
      <c r="K48" s="443">
        <f>'Gtos Varios'!$B$22</f>
        <v>3070.542857142857</v>
      </c>
      <c r="L48" s="491">
        <f>+LISTPROD3[[#This Row],[TOTAL GASTOS VARIOS]]+LISTPROD3[[#This Row],[PRECIO DE PRODUCCIÓN POR UND]]</f>
        <v>8020.5428571428565</v>
      </c>
      <c r="M48" s="408">
        <f>'RECETAS PASTILLAS'!G75</f>
        <v>3276.7134000000001</v>
      </c>
      <c r="N48" s="517">
        <f>'RECETAS PASTILLAS'!H75</f>
        <v>0.38</v>
      </c>
      <c r="O48" s="560">
        <f>'RECETAS PASTILLAS'!G76</f>
        <v>11899.643400000001</v>
      </c>
      <c r="P48" s="385">
        <v>10500</v>
      </c>
      <c r="Q48" s="440">
        <f>(LISTPROD3[[#This Row],[PRECIO DE VENTA 1]]-LISTPROD3[[#This Row],[COSTO TOTAL UNIDAD]])/LISTPROD3[[#This Row],[COSTO TOTAL UNIDAD]]</f>
        <v>0.30913831981447648</v>
      </c>
      <c r="R48" s="429">
        <f>LISTPROD3[[#This Row],[% GANANCIA]]*LISTPROD3[[#This Row],[COSTO TOTAL UNIDAD]]</f>
        <v>2479.4571428571435</v>
      </c>
      <c r="S48" s="392"/>
      <c r="T48" s="385"/>
      <c r="U48" s="440"/>
      <c r="V48" s="429"/>
      <c r="W48" s="391"/>
      <c r="X48" s="385">
        <v>0</v>
      </c>
      <c r="Y48" s="392"/>
      <c r="Z48" s="392"/>
      <c r="AA48" s="392"/>
      <c r="AB48" s="392"/>
      <c r="AC48" s="43">
        <v>10500</v>
      </c>
      <c r="AD48" s="43">
        <v>0</v>
      </c>
      <c r="AE48" s="43">
        <v>0</v>
      </c>
      <c r="AF48" s="43">
        <v>0</v>
      </c>
      <c r="AG48" s="48"/>
      <c r="AH48" s="12" t="s">
        <v>568</v>
      </c>
    </row>
    <row r="49" spans="1:34" ht="18" customHeight="1" x14ac:dyDescent="0.25">
      <c r="A49" s="44" t="s">
        <v>148</v>
      </c>
      <c r="B49" s="19" t="s">
        <v>149</v>
      </c>
      <c r="C49" s="554" t="s">
        <v>464</v>
      </c>
      <c r="D49" s="331" t="s">
        <v>654</v>
      </c>
      <c r="E49" s="539" t="s">
        <v>642</v>
      </c>
      <c r="F49" s="164" t="s">
        <v>655</v>
      </c>
      <c r="G49" s="370" t="s">
        <v>691</v>
      </c>
      <c r="H49" s="169"/>
      <c r="I49" s="187" t="s">
        <v>70</v>
      </c>
      <c r="J49" s="478">
        <f>'RECETAS JARABES'!G1055</f>
        <v>944.32325167291867</v>
      </c>
      <c r="K49" s="443">
        <f>'Gtos Varios'!$B$22</f>
        <v>3070.542857142857</v>
      </c>
      <c r="L49" s="443">
        <f>+LISTPROD3[[#This Row],[PRECIO DE PRODUCCIÓN POR UND]]+LISTPROD3[[#This Row],[TOTAL GASTOS VARIOS]]</f>
        <v>4014.8661088157755</v>
      </c>
      <c r="M49" s="407">
        <f>'RECETAS JARABES'!G1060</f>
        <v>3370.5948737212307</v>
      </c>
      <c r="N49" s="517">
        <f>'RECETAS JARABES'!H1060</f>
        <v>0.73</v>
      </c>
      <c r="O49" s="560">
        <f>'RECETAS JARABES'!G1061</f>
        <v>7987.84812539415</v>
      </c>
      <c r="P49" s="385">
        <v>7000</v>
      </c>
      <c r="Q49" s="440">
        <f>(LISTPROD3[[#This Row],[PRECIO DE VENTA 1]]-LISTPROD3[[#This Row],[COSTO TOTAL UNIDAD]])/LISTPROD3[[#This Row],[COSTO TOTAL UNIDAD]]</f>
        <v>0.74352015989512521</v>
      </c>
      <c r="R49" s="429">
        <f>LISTPROD3[[#This Row],[% GANANCIA]]*LISTPROD3[[#This Row],[COSTO TOTAL UNIDAD]]</f>
        <v>2985.1338911842245</v>
      </c>
      <c r="S49" s="391">
        <f>+LISTPROD3[[#This Row],[PRECIO DE VENTA 1]]-LISTPROD3[[#This Row],[PRECIO VENTA POR RECETA]]</f>
        <v>-987.84812539414997</v>
      </c>
      <c r="T49" s="429"/>
      <c r="U49" s="440"/>
      <c r="V49" s="429"/>
      <c r="W49" s="391"/>
      <c r="X49" s="429"/>
      <c r="Y49" s="511"/>
      <c r="Z49" s="429"/>
      <c r="AA49" s="391"/>
      <c r="AB49" s="391"/>
      <c r="AC49" s="45">
        <v>7000</v>
      </c>
      <c r="AD49" s="45">
        <v>0</v>
      </c>
      <c r="AE49" s="45">
        <v>0</v>
      </c>
      <c r="AF49" s="45">
        <v>0</v>
      </c>
      <c r="AG49" s="40"/>
      <c r="AH49" s="12" t="s">
        <v>305</v>
      </c>
    </row>
    <row r="50" spans="1:34" ht="15.75" customHeight="1" x14ac:dyDescent="0.25">
      <c r="A50" s="46" t="s">
        <v>150</v>
      </c>
      <c r="B50" s="47" t="s">
        <v>151</v>
      </c>
      <c r="C50" s="554" t="s">
        <v>464</v>
      </c>
      <c r="D50" s="331" t="s">
        <v>654</v>
      </c>
      <c r="E50" s="539" t="s">
        <v>642</v>
      </c>
      <c r="F50" s="164" t="s">
        <v>655</v>
      </c>
      <c r="G50" s="370" t="s">
        <v>487</v>
      </c>
      <c r="H50" s="169"/>
      <c r="I50" s="188" t="s">
        <v>74</v>
      </c>
      <c r="J50" s="443">
        <f>'RECETAS JARABES'!G1088</f>
        <v>2103.0103389300998</v>
      </c>
      <c r="K50" s="443">
        <f>'Gtos Varios'!$B$22</f>
        <v>3070.542857142857</v>
      </c>
      <c r="L50" s="443">
        <f>+LISTPROD3[[#This Row],[PRECIO DE PRODUCCIÓN POR UND]]+LISTPROD3[[#This Row],[TOTAL GASTOS VARIOS]]</f>
        <v>5173.5531960729568</v>
      </c>
      <c r="M50" s="408">
        <f>'RECETAS JARABES'!G1093</f>
        <v>3350.0453965794577</v>
      </c>
      <c r="N50" s="517">
        <f>'RECETAS JARABES'!H1093</f>
        <v>0.57999999999999996</v>
      </c>
      <c r="O50" s="560">
        <f>'RECETAS JARABES'!G1094</f>
        <v>9125.9857355095573</v>
      </c>
      <c r="P50" s="385">
        <v>6000</v>
      </c>
      <c r="Q50" s="440">
        <f>(LISTPROD3[[#This Row],[PRECIO DE VENTA 1]]-LISTPROD3[[#This Row],[COSTO TOTAL UNIDAD]])/LISTPROD3[[#This Row],[COSTO TOTAL UNIDAD]]</f>
        <v>0.15974452617098184</v>
      </c>
      <c r="R50" s="429">
        <f>LISTPROD3[[#This Row],[% GANANCIA]]*LISTPROD3[[#This Row],[COSTO TOTAL UNIDAD]]</f>
        <v>826.44680392704322</v>
      </c>
      <c r="S50" s="391">
        <f>+LISTPROD3[[#This Row],[PRECIO DE VENTA 1]]-LISTPROD3[[#This Row],[PRECIO VENTA POR RECETA]]</f>
        <v>-3125.9857355095573</v>
      </c>
      <c r="T50" s="429">
        <v>5000</v>
      </c>
      <c r="U50" s="511">
        <f>(LISTPROD3[[#This Row],[PRECIO DE VENTA2]]-LISTPROD3[[#This Row],[COSTO TOTAL UNIDAD]])/LISTPROD3[[#This Row],[COSTO TOTAL UNIDAD]]</f>
        <v>-3.3546228190848459E-2</v>
      </c>
      <c r="V50" s="429">
        <f>+LISTPROD3[[#This Row],[% GANANCIA2]]*LISTPROD3[[#This Row],[COSTO TOTAL UNIDAD]]</f>
        <v>-173.55319607295678</v>
      </c>
      <c r="W50" s="391">
        <f>LISTPROD3[[#This Row],[PRECIO DE VENTA2]]-LISTPROD3[[#This Row],[PRECIO VENTA POR RECETA]]</f>
        <v>-4125.9857355095573</v>
      </c>
      <c r="X50" s="429">
        <v>5000</v>
      </c>
      <c r="Y50" s="511">
        <f>(LISTPROD3[[#This Row],[PRECIO DE VENTA 3]]-LISTPROD3[[#This Row],[COSTO TOTAL UNIDAD]])/LISTPROD3[[#This Row],[COSTO TOTAL UNIDAD]]</f>
        <v>-3.3546228190848459E-2</v>
      </c>
      <c r="Z50" s="429">
        <f>LISTPROD3[[#This Row],[% GANANCIA3]]*LISTPROD3[[#This Row],[COSTO TOTAL UNIDAD]]</f>
        <v>-173.55319607295678</v>
      </c>
      <c r="AA50" s="391"/>
      <c r="AB50" s="391"/>
      <c r="AC50" s="43">
        <v>6000</v>
      </c>
      <c r="AD50" s="43">
        <v>5000</v>
      </c>
      <c r="AE50" s="43">
        <v>5000</v>
      </c>
      <c r="AF50" s="43">
        <v>5000</v>
      </c>
      <c r="AG50" s="48"/>
      <c r="AH50" t="s">
        <v>304</v>
      </c>
    </row>
    <row r="51" spans="1:34" s="275" customFormat="1" ht="15.75" customHeight="1" x14ac:dyDescent="0.25">
      <c r="A51" s="472" t="s">
        <v>152</v>
      </c>
      <c r="B51" s="259" t="s">
        <v>153</v>
      </c>
      <c r="C51" s="556" t="s">
        <v>464</v>
      </c>
      <c r="D51" s="462" t="s">
        <v>654</v>
      </c>
      <c r="E51" s="463" t="s">
        <v>642</v>
      </c>
      <c r="F51" s="327" t="s">
        <v>655</v>
      </c>
      <c r="G51" s="423"/>
      <c r="H51" s="464"/>
      <c r="I51" s="473" t="s">
        <v>74</v>
      </c>
      <c r="J51" s="482" t="s">
        <v>665</v>
      </c>
      <c r="K51" s="441">
        <f>'Gtos Varios'!$B$22</f>
        <v>3070.542857142857</v>
      </c>
      <c r="L51" s="441" t="e">
        <f>+LISTPROD3[[#This Row],[PRECIO DE PRODUCCIÓN POR UND]]+LISTPROD3[[#This Row],[TOTAL GASTOS VARIOS]]</f>
        <v>#VALUE!</v>
      </c>
      <c r="M51" s="474">
        <f>'RECETAS JARABES'!G1128</f>
        <v>3328.431824637898</v>
      </c>
      <c r="N51" s="518">
        <f>'RECETAS JARABES'!H1128</f>
        <v>0.65</v>
      </c>
      <c r="O51" s="561">
        <f>'RECETAS JARABES'!G1129</f>
        <v>8449.0961702346649</v>
      </c>
      <c r="P51" s="467">
        <v>6000</v>
      </c>
      <c r="Q51" s="440" t="e">
        <f>(LISTPROD3[[#This Row],[PRECIO DE VENTA 1]]-LISTPROD3[[#This Row],[COSTO TOTAL UNIDAD]])/LISTPROD3[[#This Row],[COSTO TOTAL UNIDAD]]</f>
        <v>#VALUE!</v>
      </c>
      <c r="R51" s="429" t="e">
        <f>LISTPROD3[[#This Row],[% GANANCIA]]*LISTPROD3[[#This Row],[COSTO TOTAL UNIDAD]]</f>
        <v>#VALUE!</v>
      </c>
      <c r="S51" s="469">
        <f>+LISTPROD3[[#This Row],[PRECIO DE VENTA 1]]-LISTPROD3[[#This Row],[PRECIO VENTA POR RECETA]]</f>
        <v>-2449.0961702346649</v>
      </c>
      <c r="T51" s="468">
        <v>0</v>
      </c>
      <c r="U51" s="440" t="e">
        <f>(LISTPROD3[[#This Row],[PRECIO DE VENTA2]]-LISTPROD3[[#This Row],[COSTO TOTAL UNIDAD]])/LISTPROD3[[#This Row],[COSTO TOTAL UNIDAD]]</f>
        <v>#VALUE!</v>
      </c>
      <c r="V51" s="429" t="e">
        <f>+LISTPROD3[[#This Row],[% GANANCIA2]]*LISTPROD3[[#This Row],[COSTO TOTAL UNIDAD]]</f>
        <v>#VALUE!</v>
      </c>
      <c r="W51" s="469">
        <f>LISTPROD3[[#This Row],[PRECIO DE VENTA2]]-LISTPROD3[[#This Row],[PRECIO VENTA POR RECETA]]</f>
        <v>-8449.0961702346649</v>
      </c>
      <c r="X51" s="468">
        <v>0</v>
      </c>
      <c r="Y51" s="511" t="e">
        <f>(LISTPROD3[[#This Row],[PRECIO DE VENTA 3]]-LISTPROD3[[#This Row],[COSTO TOTAL UNIDAD]])/LISTPROD3[[#This Row],[COSTO TOTAL UNIDAD]]</f>
        <v>#VALUE!</v>
      </c>
      <c r="Z51" s="429" t="e">
        <f>LISTPROD3[[#This Row],[% GANANCIA3]]*LISTPROD3[[#This Row],[COSTO TOTAL UNIDAD]]</f>
        <v>#VALUE!</v>
      </c>
      <c r="AA51" s="469"/>
      <c r="AB51" s="391"/>
      <c r="AC51" s="475">
        <v>6000</v>
      </c>
      <c r="AD51" s="475">
        <v>0</v>
      </c>
      <c r="AE51" s="475">
        <v>0</v>
      </c>
      <c r="AF51" s="475">
        <v>0</v>
      </c>
      <c r="AG51" s="72"/>
      <c r="AH51" s="12" t="s">
        <v>305</v>
      </c>
    </row>
    <row r="52" spans="1:34" ht="15.75" customHeight="1" x14ac:dyDescent="0.25">
      <c r="A52" s="50" t="s">
        <v>154</v>
      </c>
      <c r="B52" s="51" t="s">
        <v>155</v>
      </c>
      <c r="C52" s="554" t="s">
        <v>464</v>
      </c>
      <c r="D52" s="331" t="s">
        <v>654</v>
      </c>
      <c r="E52" s="539" t="s">
        <v>642</v>
      </c>
      <c r="F52" s="164" t="s">
        <v>655</v>
      </c>
      <c r="G52" s="370" t="s">
        <v>487</v>
      </c>
      <c r="H52" s="169"/>
      <c r="I52" s="188" t="s">
        <v>74</v>
      </c>
      <c r="J52" s="443">
        <f>'RECETAS JARABES'!G1157</f>
        <v>2155.183743215814</v>
      </c>
      <c r="K52" s="443">
        <f>'Gtos Varios'!$B$22</f>
        <v>3070.542857142857</v>
      </c>
      <c r="L52" s="443">
        <f>+LISTPROD3[[#This Row],[PRECIO DE PRODUCCIÓN POR UND]]+LISTPROD3[[#This Row],[TOTAL GASTOS VARIOS]]</f>
        <v>5225.726600358671</v>
      </c>
      <c r="M52" s="408">
        <f>'RECETAS JARABES'!$G$1162</f>
        <v>2855.7757341757488</v>
      </c>
      <c r="N52" s="517">
        <f>'RECETAS JARABES'!$H$1162</f>
        <v>0.49</v>
      </c>
      <c r="O52" s="560">
        <f>'RECETAS JARABES'!$G$1163</f>
        <v>8683.8894773915636</v>
      </c>
      <c r="P52" s="385">
        <v>6000</v>
      </c>
      <c r="Q52" s="440">
        <f>(LISTPROD3[[#This Row],[PRECIO DE VENTA 1]]-LISTPROD3[[#This Row],[COSTO TOTAL UNIDAD]])/LISTPROD3[[#This Row],[COSTO TOTAL UNIDAD]]</f>
        <v>0.14816569232462071</v>
      </c>
      <c r="R52" s="429">
        <f>LISTPROD3[[#This Row],[% GANANCIA]]*LISTPROD3[[#This Row],[COSTO TOTAL UNIDAD]]</f>
        <v>774.27339964132898</v>
      </c>
      <c r="S52" s="391">
        <f>+LISTPROD3[[#This Row],[PRECIO DE VENTA 1]]-LISTPROD3[[#This Row],[PRECIO VENTA POR RECETA]]</f>
        <v>-2683.8894773915636</v>
      </c>
      <c r="T52" s="429">
        <v>5000</v>
      </c>
      <c r="U52" s="511">
        <f>(LISTPROD3[[#This Row],[PRECIO DE VENTA2]]-LISTPROD3[[#This Row],[COSTO TOTAL UNIDAD]])/LISTPROD3[[#This Row],[COSTO TOTAL UNIDAD]]</f>
        <v>-4.3195256396149413E-2</v>
      </c>
      <c r="V52" s="429">
        <f>+LISTPROD3[[#This Row],[% GANANCIA2]]*LISTPROD3[[#This Row],[COSTO TOTAL UNIDAD]]</f>
        <v>-225.72660035867102</v>
      </c>
      <c r="W52" s="391">
        <f>LISTPROD3[[#This Row],[PRECIO DE VENTA2]]-LISTPROD3[[#This Row],[PRECIO VENTA POR RECETA]]</f>
        <v>-3683.8894773915636</v>
      </c>
      <c r="X52" s="429">
        <v>5000</v>
      </c>
      <c r="Y52" s="511">
        <f>(LISTPROD3[[#This Row],[PRECIO DE VENTA 3]]-LISTPROD3[[#This Row],[COSTO TOTAL UNIDAD]])/LISTPROD3[[#This Row],[COSTO TOTAL UNIDAD]]</f>
        <v>-4.3195256396149413E-2</v>
      </c>
      <c r="Z52" s="429">
        <f>LISTPROD3[[#This Row],[% GANANCIA3]]*LISTPROD3[[#This Row],[COSTO TOTAL UNIDAD]]</f>
        <v>-225.72660035867102</v>
      </c>
      <c r="AA52" s="391"/>
      <c r="AB52" s="391"/>
      <c r="AC52" s="43">
        <v>6000</v>
      </c>
      <c r="AD52" s="43">
        <v>5000</v>
      </c>
      <c r="AE52" s="43">
        <v>5000</v>
      </c>
      <c r="AF52" s="43">
        <v>5000</v>
      </c>
      <c r="AG52" s="48"/>
      <c r="AH52" t="s">
        <v>304</v>
      </c>
    </row>
    <row r="53" spans="1:34" s="275" customFormat="1" ht="23.25" customHeight="1" x14ac:dyDescent="0.25">
      <c r="A53" s="472" t="s">
        <v>156</v>
      </c>
      <c r="B53" s="259" t="s">
        <v>157</v>
      </c>
      <c r="C53" s="556" t="s">
        <v>470</v>
      </c>
      <c r="D53" s="462" t="s">
        <v>654</v>
      </c>
      <c r="E53" s="463" t="s">
        <v>642</v>
      </c>
      <c r="F53" s="327" t="s">
        <v>655</v>
      </c>
      <c r="G53" s="423" t="s">
        <v>698</v>
      </c>
      <c r="H53" s="464"/>
      <c r="I53" s="473" t="s">
        <v>74</v>
      </c>
      <c r="J53" s="482" t="s">
        <v>665</v>
      </c>
      <c r="K53" s="441">
        <f>'Gtos Varios'!$B$22</f>
        <v>3070.542857142857</v>
      </c>
      <c r="L53" s="441" t="e">
        <f>+LISTPROD3[[#This Row],[PRECIO DE PRODUCCIÓN POR UND]]+LISTPROD3[[#This Row],[TOTAL GASTOS VARIOS]]</f>
        <v>#VALUE!</v>
      </c>
      <c r="M53" s="474">
        <f>'RECETAS JARABES'!G1201</f>
        <v>3403.9762281026465</v>
      </c>
      <c r="N53" s="518">
        <f>'RECETAS JARABES'!H1201</f>
        <v>0.62</v>
      </c>
      <c r="O53" s="561">
        <f>'RECETAS JARABES'!G1202</f>
        <v>8894.260466977883</v>
      </c>
      <c r="P53" s="467">
        <v>8000</v>
      </c>
      <c r="Q53" s="440" t="e">
        <f>(LISTPROD3[[#This Row],[PRECIO DE VENTA 1]]-LISTPROD3[[#This Row],[COSTO TOTAL UNIDAD]])/LISTPROD3[[#This Row],[COSTO TOTAL UNIDAD]]</f>
        <v>#VALUE!</v>
      </c>
      <c r="R53" s="429" t="e">
        <f>LISTPROD3[[#This Row],[% GANANCIA]]*LISTPROD3[[#This Row],[COSTO TOTAL UNIDAD]]</f>
        <v>#VALUE!</v>
      </c>
      <c r="S53" s="469">
        <f>+LISTPROD3[[#This Row],[PRECIO DE VENTA 1]]-LISTPROD3[[#This Row],[PRECIO VENTA POR RECETA]]</f>
        <v>-894.26046697788297</v>
      </c>
      <c r="T53" s="468">
        <v>5000</v>
      </c>
      <c r="U53" s="440" t="e">
        <f>(LISTPROD3[[#This Row],[PRECIO DE VENTA2]]-LISTPROD3[[#This Row],[COSTO TOTAL UNIDAD]])/LISTPROD3[[#This Row],[COSTO TOTAL UNIDAD]]</f>
        <v>#VALUE!</v>
      </c>
      <c r="V53" s="429" t="e">
        <f>+LISTPROD3[[#This Row],[% GANANCIA2]]*LISTPROD3[[#This Row],[COSTO TOTAL UNIDAD]]</f>
        <v>#VALUE!</v>
      </c>
      <c r="W53" s="469">
        <f>LISTPROD3[[#This Row],[PRECIO DE VENTA2]]-LISTPROD3[[#This Row],[PRECIO VENTA POR RECETA]]</f>
        <v>-3894.260466977883</v>
      </c>
      <c r="X53" s="468">
        <v>5000</v>
      </c>
      <c r="Y53" s="511" t="e">
        <f>(LISTPROD3[[#This Row],[PRECIO DE VENTA 3]]-LISTPROD3[[#This Row],[COSTO TOTAL UNIDAD]])/LISTPROD3[[#This Row],[COSTO TOTAL UNIDAD]]</f>
        <v>#VALUE!</v>
      </c>
      <c r="Z53" s="429" t="e">
        <f>LISTPROD3[[#This Row],[% GANANCIA3]]*LISTPROD3[[#This Row],[COSTO TOTAL UNIDAD]]</f>
        <v>#VALUE!</v>
      </c>
      <c r="AA53" s="469"/>
      <c r="AB53" s="391"/>
      <c r="AC53" s="475">
        <v>8000</v>
      </c>
      <c r="AD53" s="475">
        <v>5000</v>
      </c>
      <c r="AE53" s="475">
        <v>5000</v>
      </c>
      <c r="AF53" s="475">
        <v>5000</v>
      </c>
      <c r="AG53" s="72"/>
      <c r="AH53" s="12" t="s">
        <v>568</v>
      </c>
    </row>
    <row r="54" spans="1:34" ht="15.75" customHeight="1" x14ac:dyDescent="0.25">
      <c r="A54" s="50" t="s">
        <v>158</v>
      </c>
      <c r="B54" s="51" t="s">
        <v>159</v>
      </c>
      <c r="C54" s="554" t="s">
        <v>464</v>
      </c>
      <c r="D54" s="331" t="s">
        <v>654</v>
      </c>
      <c r="E54" s="539" t="s">
        <v>642</v>
      </c>
      <c r="F54" s="164" t="s">
        <v>655</v>
      </c>
      <c r="G54" s="370" t="s">
        <v>487</v>
      </c>
      <c r="H54" s="169"/>
      <c r="I54" s="188" t="s">
        <v>74</v>
      </c>
      <c r="J54" s="443">
        <f>'RECETAS JARABES'!G1228</f>
        <v>2102.6344122634332</v>
      </c>
      <c r="K54" s="443">
        <f>'Gtos Varios'!$B$22</f>
        <v>3070.542857142857</v>
      </c>
      <c r="L54" s="443">
        <f>+LISTPROD3[[#This Row],[PRECIO DE PRODUCCIÓN POR UND]]+LISTPROD3[[#This Row],[TOTAL GASTOS VARIOS]]</f>
        <v>5173.1772694062902</v>
      </c>
      <c r="M54" s="408">
        <f>'RECETAS JARABES'!G1233</f>
        <v>3349.8273591127909</v>
      </c>
      <c r="N54" s="517">
        <f>'RECETAS JARABES'!H1233</f>
        <v>0.57999999999999996</v>
      </c>
      <c r="O54" s="560">
        <f>'RECETAS JARABES'!G1234</f>
        <v>9125.3917713762239</v>
      </c>
      <c r="P54" s="385">
        <v>6000</v>
      </c>
      <c r="Q54" s="440">
        <f>(LISTPROD3[[#This Row],[PRECIO DE VENTA 1]]-LISTPROD3[[#This Row],[COSTO TOTAL UNIDAD]])/LISTPROD3[[#This Row],[COSTO TOTAL UNIDAD]]</f>
        <v>0.15982880298408986</v>
      </c>
      <c r="R54" s="429">
        <f>LISTPROD3[[#This Row],[% GANANCIA]]*LISTPROD3[[#This Row],[COSTO TOTAL UNIDAD]]</f>
        <v>826.82273059370993</v>
      </c>
      <c r="S54" s="391">
        <f>+LISTPROD3[[#This Row],[PRECIO DE VENTA 1]]-LISTPROD3[[#This Row],[PRECIO VENTA POR RECETA]]</f>
        <v>-3125.3917713762239</v>
      </c>
      <c r="T54" s="429">
        <v>5000</v>
      </c>
      <c r="U54" s="511">
        <f>(LISTPROD3[[#This Row],[PRECIO DE VENTA2]]-LISTPROD3[[#This Row],[COSTO TOTAL UNIDAD]])/LISTPROD3[[#This Row],[COSTO TOTAL UNIDAD]]</f>
        <v>-3.3475997513258464E-2</v>
      </c>
      <c r="V54" s="429">
        <f>+LISTPROD3[[#This Row],[% GANANCIA2]]*LISTPROD3[[#This Row],[COSTO TOTAL UNIDAD]]</f>
        <v>-173.17726940629018</v>
      </c>
      <c r="W54" s="391">
        <f>LISTPROD3[[#This Row],[PRECIO DE VENTA2]]-LISTPROD3[[#This Row],[PRECIO VENTA POR RECETA]]</f>
        <v>-4125.3917713762239</v>
      </c>
      <c r="X54" s="429">
        <v>5000</v>
      </c>
      <c r="Y54" s="511">
        <f>(LISTPROD3[[#This Row],[PRECIO DE VENTA 3]]-LISTPROD3[[#This Row],[COSTO TOTAL UNIDAD]])/LISTPROD3[[#This Row],[COSTO TOTAL UNIDAD]]</f>
        <v>-3.3475997513258464E-2</v>
      </c>
      <c r="Z54" s="429">
        <f>LISTPROD3[[#This Row],[% GANANCIA3]]*LISTPROD3[[#This Row],[COSTO TOTAL UNIDAD]]</f>
        <v>-173.17726940629018</v>
      </c>
      <c r="AA54" s="391"/>
      <c r="AB54" s="391"/>
      <c r="AC54" s="43">
        <v>6000</v>
      </c>
      <c r="AD54" s="43">
        <v>5000</v>
      </c>
      <c r="AE54" s="43">
        <v>5000</v>
      </c>
      <c r="AF54" s="43">
        <v>5000</v>
      </c>
      <c r="AG54" s="48"/>
      <c r="AH54" t="s">
        <v>304</v>
      </c>
    </row>
    <row r="55" spans="1:34" ht="15.75" customHeight="1" x14ac:dyDescent="0.25">
      <c r="A55" s="44" t="s">
        <v>160</v>
      </c>
      <c r="B55" s="19" t="s">
        <v>161</v>
      </c>
      <c r="C55" s="554" t="s">
        <v>464</v>
      </c>
      <c r="D55" s="331" t="s">
        <v>654</v>
      </c>
      <c r="E55" s="539" t="s">
        <v>642</v>
      </c>
      <c r="F55" s="164" t="s">
        <v>655</v>
      </c>
      <c r="G55" s="370" t="s">
        <v>487</v>
      </c>
      <c r="H55" s="169"/>
      <c r="I55" s="187" t="s">
        <v>74</v>
      </c>
      <c r="J55" s="443">
        <f>'RECETAS JARABES'!G1264</f>
        <v>2129.0702622634331</v>
      </c>
      <c r="K55" s="443">
        <f>'Gtos Varios'!$B$22</f>
        <v>3070.542857142857</v>
      </c>
      <c r="L55" s="443">
        <f>+LISTPROD3[[#This Row],[PRECIO DE PRODUCCIÓN POR UND]]+LISTPROD3[[#This Row],[TOTAL GASTOS VARIOS]]</f>
        <v>5199.61311940629</v>
      </c>
      <c r="M55" s="407">
        <f>'RECETAS JARABES'!G1269</f>
        <v>3365.1601521127909</v>
      </c>
      <c r="N55" s="517">
        <f>'RECETAS JARABES'!H1269</f>
        <v>0.57999999999999996</v>
      </c>
      <c r="O55" s="560">
        <f>'RECETAS JARABES'!G1270</f>
        <v>9167.1604143762233</v>
      </c>
      <c r="P55" s="385">
        <v>6000</v>
      </c>
      <c r="Q55" s="440">
        <f>(LISTPROD3[[#This Row],[PRECIO DE VENTA 1]]-LISTPROD3[[#This Row],[COSTO TOTAL UNIDAD]])/LISTPROD3[[#This Row],[COSTO TOTAL UNIDAD]]</f>
        <v>0.15393200651918906</v>
      </c>
      <c r="R55" s="429">
        <f>LISTPROD3[[#This Row],[% GANANCIA]]*LISTPROD3[[#This Row],[COSTO TOTAL UNIDAD]]</f>
        <v>800.38688059370998</v>
      </c>
      <c r="S55" s="391">
        <f>+LISTPROD3[[#This Row],[PRECIO DE VENTA 1]]-LISTPROD3[[#This Row],[PRECIO VENTA POR RECETA]]</f>
        <v>-3167.1604143762233</v>
      </c>
      <c r="T55" s="429">
        <v>5000</v>
      </c>
      <c r="U55" s="511">
        <f>(LISTPROD3[[#This Row],[PRECIO DE VENTA2]]-LISTPROD3[[#This Row],[COSTO TOTAL UNIDAD]])/LISTPROD3[[#This Row],[COSTO TOTAL UNIDAD]]</f>
        <v>-3.8389994567342454E-2</v>
      </c>
      <c r="V55" s="429">
        <f>+LISTPROD3[[#This Row],[% GANANCIA2]]*LISTPROD3[[#This Row],[COSTO TOTAL UNIDAD]]</f>
        <v>-199.61311940629002</v>
      </c>
      <c r="W55" s="391">
        <f>LISTPROD3[[#This Row],[PRECIO DE VENTA2]]-LISTPROD3[[#This Row],[PRECIO VENTA POR RECETA]]</f>
        <v>-4167.1604143762233</v>
      </c>
      <c r="X55" s="429">
        <v>5000</v>
      </c>
      <c r="Y55" s="511">
        <f>(LISTPROD3[[#This Row],[PRECIO DE VENTA 3]]-LISTPROD3[[#This Row],[COSTO TOTAL UNIDAD]])/LISTPROD3[[#This Row],[COSTO TOTAL UNIDAD]]</f>
        <v>-3.8389994567342454E-2</v>
      </c>
      <c r="Z55" s="429">
        <f>LISTPROD3[[#This Row],[% GANANCIA3]]*LISTPROD3[[#This Row],[COSTO TOTAL UNIDAD]]</f>
        <v>-199.61311940629002</v>
      </c>
      <c r="AA55" s="391"/>
      <c r="AB55" s="391"/>
      <c r="AC55" s="45">
        <v>6000</v>
      </c>
      <c r="AD55" s="45">
        <v>5000</v>
      </c>
      <c r="AE55" s="45">
        <v>5000</v>
      </c>
      <c r="AF55" s="45">
        <v>5000</v>
      </c>
      <c r="AG55" s="40"/>
      <c r="AH55" t="s">
        <v>304</v>
      </c>
    </row>
    <row r="56" spans="1:34" x14ac:dyDescent="0.25">
      <c r="A56" s="50" t="s">
        <v>162</v>
      </c>
      <c r="B56" s="51" t="s">
        <v>163</v>
      </c>
      <c r="C56" s="554" t="s">
        <v>465</v>
      </c>
      <c r="D56" s="331" t="s">
        <v>654</v>
      </c>
      <c r="E56" s="539" t="s">
        <v>642</v>
      </c>
      <c r="F56" s="164" t="s">
        <v>656</v>
      </c>
      <c r="G56" s="370" t="s">
        <v>491</v>
      </c>
      <c r="H56" s="169"/>
      <c r="I56" s="188" t="s">
        <v>73</v>
      </c>
      <c r="J56" s="443">
        <f>'RECETAS JARABES'!G1296</f>
        <v>2274.0440770483724</v>
      </c>
      <c r="K56" s="443">
        <f>'Gtos Varios'!$B$22</f>
        <v>3070.542857142857</v>
      </c>
      <c r="L56" s="443">
        <f>+LISTPROD3[[#This Row],[PRECIO DE PRODUCCIÓN POR UND]]+LISTPROD3[[#This Row],[TOTAL GASTOS VARIOS]]</f>
        <v>5344.5869341912294</v>
      </c>
      <c r="M56" s="408">
        <f>'RECETAS JARABES'!$G$1301</f>
        <v>3330.3054831470886</v>
      </c>
      <c r="N56" s="517">
        <f>'RECETAS JARABES'!$H$1301</f>
        <v>0.56000000000000005</v>
      </c>
      <c r="O56" s="560">
        <f>'RECETAS JARABES'!$G$1302</f>
        <v>9277.2795601954604</v>
      </c>
      <c r="P56" s="385">
        <v>7500</v>
      </c>
      <c r="Q56" s="440">
        <f>(LISTPROD3[[#This Row],[PRECIO DE VENTA 1]]-LISTPROD3[[#This Row],[COSTO TOTAL UNIDAD]])/LISTPROD3[[#This Row],[COSTO TOTAL UNIDAD]]</f>
        <v>0.40328898984125872</v>
      </c>
      <c r="R56" s="429">
        <f>LISTPROD3[[#This Row],[% GANANCIA]]*LISTPROD3[[#This Row],[COSTO TOTAL UNIDAD]]</f>
        <v>2155.4130658087706</v>
      </c>
      <c r="S56" s="391">
        <f>+LISTPROD3[[#This Row],[PRECIO DE VENTA 1]]-LISTPROD3[[#This Row],[PRECIO VENTA POR RECETA]]</f>
        <v>-1777.2795601954604</v>
      </c>
      <c r="T56" s="429">
        <v>5000</v>
      </c>
      <c r="U56" s="511">
        <f>(LISTPROD3[[#This Row],[PRECIO DE VENTA2]]-LISTPROD3[[#This Row],[COSTO TOTAL UNIDAD]])/LISTPROD3[[#This Row],[COSTO TOTAL UNIDAD]]</f>
        <v>-6.4474006772494208E-2</v>
      </c>
      <c r="V56" s="429">
        <f>+LISTPROD3[[#This Row],[% GANANCIA2]]*LISTPROD3[[#This Row],[COSTO TOTAL UNIDAD]]</f>
        <v>-344.58693419122937</v>
      </c>
      <c r="W56" s="391">
        <f>LISTPROD3[[#This Row],[PRECIO DE VENTA2]]-LISTPROD3[[#This Row],[PRECIO VENTA POR RECETA]]</f>
        <v>-4277.2795601954604</v>
      </c>
      <c r="X56" s="429">
        <v>5000</v>
      </c>
      <c r="Y56" s="511">
        <f>(LISTPROD3[[#This Row],[PRECIO DE VENTA 3]]-LISTPROD3[[#This Row],[COSTO TOTAL UNIDAD]])/LISTPROD3[[#This Row],[COSTO TOTAL UNIDAD]]</f>
        <v>-6.4474006772494208E-2</v>
      </c>
      <c r="Z56" s="429">
        <f>LISTPROD3[[#This Row],[% GANANCIA3]]*LISTPROD3[[#This Row],[COSTO TOTAL UNIDAD]]</f>
        <v>-344.58693419122937</v>
      </c>
      <c r="AA56" s="391"/>
      <c r="AB56" s="391"/>
      <c r="AC56" s="43">
        <v>7500</v>
      </c>
      <c r="AD56" s="43">
        <v>5000</v>
      </c>
      <c r="AE56" s="43">
        <v>5000</v>
      </c>
      <c r="AF56" s="43">
        <v>5000</v>
      </c>
      <c r="AG56" s="48"/>
      <c r="AH56" t="s">
        <v>304</v>
      </c>
    </row>
    <row r="57" spans="1:34" ht="16.5" customHeight="1" x14ac:dyDescent="0.25">
      <c r="A57" s="44" t="s">
        <v>164</v>
      </c>
      <c r="B57" s="19" t="s">
        <v>165</v>
      </c>
      <c r="C57" s="373" t="s">
        <v>471</v>
      </c>
      <c r="D57" s="336" t="s">
        <v>654</v>
      </c>
      <c r="E57" s="339"/>
      <c r="F57" s="159"/>
      <c r="G57" s="373"/>
      <c r="H57" s="159"/>
      <c r="I57" s="187" t="s">
        <v>74</v>
      </c>
      <c r="J57" s="346"/>
      <c r="K57" s="346"/>
      <c r="L57" s="346"/>
      <c r="M57" s="407"/>
      <c r="N57" s="517"/>
      <c r="O57" s="560"/>
      <c r="P57" s="385">
        <v>8000</v>
      </c>
      <c r="Q57" s="440" t="e">
        <f>(LISTPROD3[[#This Row],[PRECIO DE VENTA 1]]-LISTPROD3[[#This Row],[COSTO TOTAL UNIDAD]])/LISTPROD3[[#This Row],[COSTO TOTAL UNIDAD]]</f>
        <v>#DIV/0!</v>
      </c>
      <c r="R57" s="429" t="e">
        <f>LISTPROD3[[#This Row],[% GANANCIA]]*LISTPROD3[[#This Row],[COSTO TOTAL UNIDAD]]</f>
        <v>#DIV/0!</v>
      </c>
      <c r="S57" s="394"/>
      <c r="T57" s="385">
        <v>0</v>
      </c>
      <c r="U57" s="440" t="e">
        <f>(LISTPROD3[[#This Row],[PRECIO DE VENTA2]]-LISTPROD3[[#This Row],[COSTO TOTAL UNIDAD]])/LISTPROD3[[#This Row],[COSTO TOTAL UNIDAD]]</f>
        <v>#DIV/0!</v>
      </c>
      <c r="V57" s="429" t="e">
        <f>LISTPROD3[[#This Row],[PRECIO DE VENTA2]]*LISTPROD3[[#This Row],[% GANANCIA2]]</f>
        <v>#DIV/0!</v>
      </c>
      <c r="W57" s="391">
        <f>LISTPROD3[[#This Row],[PRECIO DE VENTA2]]-LISTPROD3[[#This Row],[PRECIO VENTA POR RECETA]]</f>
        <v>0</v>
      </c>
      <c r="X57" s="385">
        <v>0</v>
      </c>
      <c r="Y57" s="394"/>
      <c r="Z57" s="394"/>
      <c r="AA57" s="394"/>
      <c r="AB57" s="394"/>
      <c r="AC57" s="45">
        <v>8000</v>
      </c>
      <c r="AD57" s="45">
        <v>0</v>
      </c>
      <c r="AE57" s="45">
        <v>0</v>
      </c>
      <c r="AF57" s="45">
        <v>0</v>
      </c>
      <c r="AG57" s="40"/>
      <c r="AH57" s="12" t="s">
        <v>305</v>
      </c>
    </row>
    <row r="58" spans="1:34" ht="16.5" customHeight="1" thickBot="1" x14ac:dyDescent="0.3">
      <c r="A58" s="55" t="s">
        <v>166</v>
      </c>
      <c r="B58" s="56" t="s">
        <v>167</v>
      </c>
      <c r="C58" s="554" t="s">
        <v>464</v>
      </c>
      <c r="D58" s="340" t="s">
        <v>654</v>
      </c>
      <c r="E58" s="539" t="s">
        <v>642</v>
      </c>
      <c r="F58" s="164" t="s">
        <v>655</v>
      </c>
      <c r="G58" s="371" t="s">
        <v>691</v>
      </c>
      <c r="H58" s="172"/>
      <c r="I58" s="191" t="s">
        <v>74</v>
      </c>
      <c r="J58" s="443">
        <f>'RECETAS JARABES'!G1328</f>
        <v>1331.1353619247229</v>
      </c>
      <c r="K58" s="443">
        <f>'Gtos Varios'!$B$22</f>
        <v>3070.542857142857</v>
      </c>
      <c r="L58" s="443">
        <f>+LISTPROD3[[#This Row],[PRECIO DE PRODUCCIÓN POR UND]]+LISTPROD3[[#This Row],[TOTAL GASTOS VARIOS]]</f>
        <v>4401.6782190675804</v>
      </c>
      <c r="M58" s="412">
        <f>'RECETAS JARABES'!G1333</f>
        <v>3452.8050997280579</v>
      </c>
      <c r="N58" s="519">
        <f>'RECETAS JARABES'!H1333</f>
        <v>0.69</v>
      </c>
      <c r="O58" s="562">
        <f>'RECETAS JARABES'!G1334</f>
        <v>8456.8704616527793</v>
      </c>
      <c r="P58" s="385">
        <v>6000</v>
      </c>
      <c r="Q58" s="440">
        <f>(LISTPROD3[[#This Row],[PRECIO DE VENTA 1]]-LISTPROD3[[#This Row],[COSTO TOTAL UNIDAD]])/LISTPROD3[[#This Row],[COSTO TOTAL UNIDAD]]</f>
        <v>0.36311645272220661</v>
      </c>
      <c r="R58" s="429">
        <f>LISTPROD3[[#This Row],[% GANANCIA]]*LISTPROD3[[#This Row],[COSTO TOTAL UNIDAD]]</f>
        <v>1598.3217809324196</v>
      </c>
      <c r="S58" s="391">
        <f>+LISTPROD3[[#This Row],[PRECIO DE VENTA 1]]-LISTPROD3[[#This Row],[PRECIO VENTA POR RECETA]]</f>
        <v>-2456.8704616527793</v>
      </c>
      <c r="T58" s="460"/>
      <c r="U58" s="440"/>
      <c r="V58" s="429"/>
      <c r="W58" s="391"/>
      <c r="X58" s="460"/>
      <c r="Y58" s="511"/>
      <c r="Z58" s="429"/>
      <c r="AA58" s="447"/>
      <c r="AB58" s="447"/>
      <c r="AC58" s="57">
        <v>6000</v>
      </c>
      <c r="AD58" s="57">
        <v>0</v>
      </c>
      <c r="AE58" s="57">
        <v>0</v>
      </c>
      <c r="AF58" s="57">
        <v>0</v>
      </c>
      <c r="AG58" s="58"/>
      <c r="AH58" t="s">
        <v>304</v>
      </c>
    </row>
    <row r="59" spans="1:34" ht="15" customHeight="1" thickBot="1" x14ac:dyDescent="0.3">
      <c r="A59" s="59" t="s">
        <v>168</v>
      </c>
      <c r="B59" s="60" t="s">
        <v>472</v>
      </c>
      <c r="C59" s="554" t="s">
        <v>465</v>
      </c>
      <c r="D59" s="331" t="s">
        <v>654</v>
      </c>
      <c r="E59" s="539" t="s">
        <v>642</v>
      </c>
      <c r="F59" s="164" t="s">
        <v>656</v>
      </c>
      <c r="G59" s="370"/>
      <c r="H59" s="169"/>
      <c r="I59" s="192" t="s">
        <v>70</v>
      </c>
      <c r="J59" s="443">
        <f>'RECETAS JARABES'!G1357</f>
        <v>1660.4126852301906</v>
      </c>
      <c r="K59" s="443">
        <f>'Gtos Varios'!$B$22</f>
        <v>3070.542857142857</v>
      </c>
      <c r="L59" s="443">
        <f>+LISTPROD3[[#This Row],[PRECIO DE PRODUCCIÓN POR UND]]+LISTPROD3[[#This Row],[TOTAL GASTOS VARIOS]]</f>
        <v>4730.9555423730471</v>
      </c>
      <c r="M59" s="413">
        <f>'RECETAS JARABES'!G1362</f>
        <v>3413.3393185473224</v>
      </c>
      <c r="N59" s="520">
        <f>'RECETAS JARABES'!H1362</f>
        <v>0.64</v>
      </c>
      <c r="O59" s="563">
        <f>'RECETAS JARABES'!G1363</f>
        <v>8746.6820037775142</v>
      </c>
      <c r="P59" s="431">
        <v>10000</v>
      </c>
      <c r="Q59" s="440">
        <f>(LISTPROD3[[#This Row],[PRECIO DE VENTA 1]]-LISTPROD3[[#This Row],[COSTO TOTAL UNIDAD]])/LISTPROD3[[#This Row],[COSTO TOTAL UNIDAD]]</f>
        <v>1.1137378929974049</v>
      </c>
      <c r="R59" s="429">
        <f>LISTPROD3[[#This Row],[% GANANCIA]]*LISTPROD3[[#This Row],[COSTO TOTAL UNIDAD]]</f>
        <v>5269.044457626952</v>
      </c>
      <c r="S59" s="391">
        <f>+LISTPROD3[[#This Row],[PRECIO DE VENTA 1]]-LISTPROD3[[#This Row],[PRECIO VENTA POR RECETA]]</f>
        <v>1253.3179962224858</v>
      </c>
      <c r="T59" s="429"/>
      <c r="U59" s="440"/>
      <c r="V59" s="429"/>
      <c r="W59" s="391"/>
      <c r="X59" s="429"/>
      <c r="Y59" s="511"/>
      <c r="Z59" s="429"/>
      <c r="AA59" s="391"/>
      <c r="AB59" s="391"/>
      <c r="AC59" s="61">
        <v>10000</v>
      </c>
      <c r="AD59" s="61">
        <v>0</v>
      </c>
      <c r="AE59" s="61">
        <v>0</v>
      </c>
      <c r="AF59" s="61">
        <v>0</v>
      </c>
      <c r="AG59" s="62" t="s">
        <v>235</v>
      </c>
      <c r="AH59" t="s">
        <v>304</v>
      </c>
    </row>
    <row r="60" spans="1:34" ht="18" customHeight="1" thickBot="1" x14ac:dyDescent="0.3">
      <c r="A60" s="572" t="s">
        <v>96</v>
      </c>
      <c r="B60" s="569" t="s">
        <v>516</v>
      </c>
      <c r="C60" s="240" t="s">
        <v>515</v>
      </c>
      <c r="D60" s="330" t="s">
        <v>654</v>
      </c>
      <c r="E60" s="329" t="s">
        <v>508</v>
      </c>
      <c r="F60" s="577" t="s">
        <v>658</v>
      </c>
      <c r="G60" s="375"/>
      <c r="H60" s="173"/>
      <c r="I60" s="292" t="s">
        <v>73</v>
      </c>
      <c r="J60" s="350">
        <f>'RECETAS CAPS'!AW19</f>
        <v>2237.75</v>
      </c>
      <c r="K60" s="443">
        <f>'Gtos Varios'!$B$22</f>
        <v>3070.542857142857</v>
      </c>
      <c r="L60" s="348">
        <f>+LISTPROD3[[#This Row],[TOTAL GASTOS VARIOS]]+LISTPROD3[[#This Row],[PRECIO DE PRODUCCIÓN POR UND]]</f>
        <v>5308.2928571428565</v>
      </c>
      <c r="M60" s="414">
        <f>'RECETAS CAPS'!AW25</f>
        <v>3428.1943999999999</v>
      </c>
      <c r="N60" s="387">
        <f>'RECETAS CAPS'!AX25</f>
        <v>0.57999999999999996</v>
      </c>
      <c r="O60" s="532">
        <f>'RECETAS CAPS'!AW26</f>
        <v>9338.8744000000006</v>
      </c>
      <c r="P60" s="362">
        <v>5000</v>
      </c>
      <c r="Q60" s="440">
        <f>(LISTPROD3[[#This Row],[PRECIO DE VENTA 1]]-LISTPROD3[[#This Row],[COSTO TOTAL UNIDAD]])/LISTPROD3[[#This Row],[COSTO TOTAL UNIDAD]]</f>
        <v>-5.8077590185706622E-2</v>
      </c>
      <c r="R60" s="429">
        <f>LISTPROD3[[#This Row],[% GANANCIA]]*LISTPROD3[[#This Row],[COSTO TOTAL UNIDAD]]</f>
        <v>-308.29285714285652</v>
      </c>
      <c r="S60" s="393"/>
      <c r="T60" s="435"/>
      <c r="U60" s="440"/>
      <c r="V60" s="429"/>
      <c r="W60" s="391"/>
      <c r="X60" s="435"/>
      <c r="Y60" s="393"/>
      <c r="Z60" s="393"/>
      <c r="AA60" s="393"/>
      <c r="AB60" s="393"/>
      <c r="AC60" s="309">
        <v>5000</v>
      </c>
      <c r="AD60" s="309">
        <v>0</v>
      </c>
      <c r="AE60" s="309">
        <v>0</v>
      </c>
      <c r="AF60" s="309">
        <v>0</v>
      </c>
      <c r="AG60" s="63" t="s">
        <v>235</v>
      </c>
      <c r="AH60" s="7" t="s">
        <v>304</v>
      </c>
    </row>
    <row r="61" spans="1:34" s="275" customFormat="1" ht="15.75" customHeight="1" x14ac:dyDescent="0.25">
      <c r="A61" s="307" t="s">
        <v>169</v>
      </c>
      <c r="B61" s="483" t="s">
        <v>170</v>
      </c>
      <c r="C61" s="556" t="s">
        <v>464</v>
      </c>
      <c r="D61" s="484" t="s">
        <v>654</v>
      </c>
      <c r="E61" s="463" t="s">
        <v>642</v>
      </c>
      <c r="F61" s="327" t="s">
        <v>655</v>
      </c>
      <c r="G61" s="485" t="s">
        <v>714</v>
      </c>
      <c r="H61" s="486"/>
      <c r="I61" s="487" t="s">
        <v>74</v>
      </c>
      <c r="J61" s="482" t="s">
        <v>665</v>
      </c>
      <c r="K61" s="441">
        <f>'Gtos Varios'!$B$22</f>
        <v>3070.542857142857</v>
      </c>
      <c r="L61" s="441" t="e">
        <f>+LISTPROD3[[#This Row],[PRECIO DE PRODUCCIÓN POR UND]]+LISTPROD3[[#This Row],[TOTAL GASTOS VARIOS]]</f>
        <v>#VALUE!</v>
      </c>
      <c r="M61" s="488">
        <f>'RECETAS JARABES'!G1394</f>
        <v>3516.2865769926575</v>
      </c>
      <c r="N61" s="521">
        <f>'RECETAS JARABES'!H1394</f>
        <v>0.83</v>
      </c>
      <c r="O61" s="564">
        <f>'RECETAS JARABES'!G1395</f>
        <v>7752.7764287910404</v>
      </c>
      <c r="P61" s="468">
        <v>2000</v>
      </c>
      <c r="Q61" s="440" t="e">
        <f>(LISTPROD3[[#This Row],[PRECIO DE VENTA 1]]-LISTPROD3[[#This Row],[COSTO TOTAL UNIDAD]])/LISTPROD3[[#This Row],[COSTO TOTAL UNIDAD]]</f>
        <v>#VALUE!</v>
      </c>
      <c r="R61" s="429" t="e">
        <f>LISTPROD3[[#This Row],[% GANANCIA]]*LISTPROD3[[#This Row],[COSTO TOTAL UNIDAD]]</f>
        <v>#VALUE!</v>
      </c>
      <c r="S61" s="469">
        <f>+LISTPROD3[[#This Row],[PRECIO DE VENTA 1]]-LISTPROD3[[#This Row],[PRECIO VENTA POR RECETA]]</f>
        <v>-5752.7764287910404</v>
      </c>
      <c r="T61" s="468">
        <v>5000</v>
      </c>
      <c r="U61" s="440" t="e">
        <f>(LISTPROD3[[#This Row],[PRECIO DE VENTA2]]-LISTPROD3[[#This Row],[COSTO TOTAL UNIDAD]])/LISTPROD3[[#This Row],[COSTO TOTAL UNIDAD]]</f>
        <v>#VALUE!</v>
      </c>
      <c r="V61" s="429" t="e">
        <f>+LISTPROD3[[#This Row],[% GANANCIA2]]*LISTPROD3[[#This Row],[COSTO TOTAL UNIDAD]]</f>
        <v>#VALUE!</v>
      </c>
      <c r="W61" s="469">
        <f>LISTPROD3[[#This Row],[PRECIO DE VENTA2]]-LISTPROD3[[#This Row],[PRECIO VENTA POR RECETA]]</f>
        <v>-2752.7764287910404</v>
      </c>
      <c r="X61" s="468">
        <v>5000</v>
      </c>
      <c r="Y61" s="511" t="e">
        <f>(LISTPROD3[[#This Row],[PRECIO DE VENTA 3]]-LISTPROD3[[#This Row],[COSTO TOTAL UNIDAD]])/LISTPROD3[[#This Row],[COSTO TOTAL UNIDAD]]</f>
        <v>#VALUE!</v>
      </c>
      <c r="Z61" s="429" t="e">
        <f>LISTPROD3[[#This Row],[% GANANCIA3]]*LISTPROD3[[#This Row],[COSTO TOTAL UNIDAD]]</f>
        <v>#VALUE!</v>
      </c>
      <c r="AA61" s="469"/>
      <c r="AB61" s="391"/>
      <c r="AC61" s="489">
        <v>2000</v>
      </c>
      <c r="AD61" s="489">
        <v>5000</v>
      </c>
      <c r="AE61" s="489">
        <v>5000</v>
      </c>
      <c r="AF61" s="489">
        <v>5000</v>
      </c>
      <c r="AG61" s="490"/>
      <c r="AH61" s="275" t="s">
        <v>304</v>
      </c>
    </row>
    <row r="62" spans="1:34" ht="15.75" customHeight="1" x14ac:dyDescent="0.25">
      <c r="A62" s="50" t="s">
        <v>171</v>
      </c>
      <c r="B62" s="158" t="s">
        <v>474</v>
      </c>
      <c r="C62" s="373" t="s">
        <v>473</v>
      </c>
      <c r="D62" s="336" t="s">
        <v>654</v>
      </c>
      <c r="E62" s="342"/>
      <c r="F62" s="343"/>
      <c r="G62" s="373"/>
      <c r="H62" s="159"/>
      <c r="I62" s="188" t="s">
        <v>74</v>
      </c>
      <c r="J62" s="347"/>
      <c r="K62" s="347"/>
      <c r="L62" s="347"/>
      <c r="M62" s="408"/>
      <c r="N62" s="517"/>
      <c r="O62" s="560"/>
      <c r="P62" s="385">
        <v>7000</v>
      </c>
      <c r="Q62" s="440" t="e">
        <f>(LISTPROD3[[#This Row],[PRECIO DE VENTA 1]]-LISTPROD3[[#This Row],[COSTO TOTAL UNIDAD]])/LISTPROD3[[#This Row],[COSTO TOTAL UNIDAD]]</f>
        <v>#DIV/0!</v>
      </c>
      <c r="R62" s="429" t="e">
        <f>LISTPROD3[[#This Row],[% GANANCIA]]*LISTPROD3[[#This Row],[COSTO TOTAL UNIDAD]]</f>
        <v>#DIV/0!</v>
      </c>
      <c r="S62" s="394"/>
      <c r="T62" s="385">
        <v>5000</v>
      </c>
      <c r="U62" s="440" t="e">
        <f>(LISTPROD3[[#This Row],[PRECIO DE VENTA2]]-LISTPROD3[[#This Row],[COSTO TOTAL UNIDAD]])/LISTPROD3[[#This Row],[COSTO TOTAL UNIDAD]]</f>
        <v>#DIV/0!</v>
      </c>
      <c r="V62" s="429" t="e">
        <f>LISTPROD3[[#This Row],[PRECIO DE VENTA2]]*LISTPROD3[[#This Row],[% GANANCIA2]]</f>
        <v>#DIV/0!</v>
      </c>
      <c r="W62" s="391">
        <f>LISTPROD3[[#This Row],[PRECIO DE VENTA2]]-LISTPROD3[[#This Row],[PRECIO VENTA POR RECETA]]</f>
        <v>5000</v>
      </c>
      <c r="X62" s="385">
        <v>5000</v>
      </c>
      <c r="Y62" s="394"/>
      <c r="Z62" s="394"/>
      <c r="AA62" s="394"/>
      <c r="AB62" s="394"/>
      <c r="AC62" s="43">
        <v>7000</v>
      </c>
      <c r="AD62" s="43">
        <v>5000</v>
      </c>
      <c r="AE62" s="43">
        <v>5000</v>
      </c>
      <c r="AF62" s="43">
        <v>5000</v>
      </c>
      <c r="AG62" s="48"/>
      <c r="AH62" s="12" t="s">
        <v>305</v>
      </c>
    </row>
    <row r="63" spans="1:34" ht="23.25" customHeight="1" x14ac:dyDescent="0.25">
      <c r="A63" s="49" t="s">
        <v>172</v>
      </c>
      <c r="B63" s="9" t="s">
        <v>173</v>
      </c>
      <c r="C63" s="554" t="s">
        <v>464</v>
      </c>
      <c r="D63" s="331" t="s">
        <v>654</v>
      </c>
      <c r="E63" s="539" t="s">
        <v>642</v>
      </c>
      <c r="F63" s="164" t="s">
        <v>655</v>
      </c>
      <c r="G63" s="370" t="s">
        <v>689</v>
      </c>
      <c r="H63" s="169"/>
      <c r="I63" s="187" t="s">
        <v>74</v>
      </c>
      <c r="J63" s="491">
        <f>'RECETAS JARABES'!G33</f>
        <v>3672.93</v>
      </c>
      <c r="K63" s="443">
        <f>'Gtos Varios'!$B$22</f>
        <v>3070.542857142857</v>
      </c>
      <c r="L63" s="443">
        <f>+LISTPROD3[[#This Row],[PRECIO DE PRODUCCIÓN POR UND]]+LISTPROD3[[#This Row],[TOTAL GASTOS VARIOS]]</f>
        <v>6743.4728571428568</v>
      </c>
      <c r="M63" s="415">
        <f>'RECETAS JARABES'!G38</f>
        <v>3526.0127999999995</v>
      </c>
      <c r="N63" s="517">
        <f>'RECETAS JARABES'!H38</f>
        <v>0.48</v>
      </c>
      <c r="O63" s="560">
        <f>'RECETAS JARABES'!G39</f>
        <v>10871.872799999999</v>
      </c>
      <c r="P63" s="446">
        <v>8000</v>
      </c>
      <c r="Q63" s="440">
        <f>(LISTPROD3[[#This Row],[PRECIO DE VENTA 1]]-LISTPROD3[[#This Row],[COSTO TOTAL UNIDAD]])/LISTPROD3[[#This Row],[COSTO TOTAL UNIDAD]]</f>
        <v>0.18633234973670842</v>
      </c>
      <c r="R63" s="429">
        <f>LISTPROD3[[#This Row],[% GANANCIA]]*LISTPROD3[[#This Row],[COSTO TOTAL UNIDAD]]</f>
        <v>1256.5271428571432</v>
      </c>
      <c r="S63" s="391">
        <f>+LISTPROD3[[#This Row],[PRECIO DE VENTA 1]]-LISTPROD3[[#This Row],[PRECIO VENTA POR RECETA]]</f>
        <v>-2871.8727999999992</v>
      </c>
      <c r="T63" s="429"/>
      <c r="U63" s="440"/>
      <c r="V63" s="429"/>
      <c r="W63" s="391"/>
      <c r="X63" s="429"/>
      <c r="Y63" s="511"/>
      <c r="Z63" s="429"/>
      <c r="AA63" s="391"/>
      <c r="AB63" s="391"/>
      <c r="AC63" s="45">
        <v>8000</v>
      </c>
      <c r="AD63" s="45">
        <v>0</v>
      </c>
      <c r="AE63" s="45">
        <v>0</v>
      </c>
      <c r="AF63" s="45">
        <v>0</v>
      </c>
      <c r="AG63" s="40"/>
      <c r="AH63" s="7" t="s">
        <v>304</v>
      </c>
    </row>
    <row r="64" spans="1:34" ht="15.75" customHeight="1" x14ac:dyDescent="0.25">
      <c r="A64" s="50" t="s">
        <v>174</v>
      </c>
      <c r="B64" s="51" t="s">
        <v>175</v>
      </c>
      <c r="C64" s="554" t="s">
        <v>475</v>
      </c>
      <c r="D64" s="331" t="s">
        <v>654</v>
      </c>
      <c r="E64" s="539" t="s">
        <v>642</v>
      </c>
      <c r="F64" s="164" t="s">
        <v>679</v>
      </c>
      <c r="G64" s="423"/>
      <c r="H64" s="169"/>
      <c r="I64" s="188" t="s">
        <v>74</v>
      </c>
      <c r="J64" s="443">
        <f>'RECETAS JARABES'!G1480</f>
        <v>3428.9000755725192</v>
      </c>
      <c r="K64" s="443">
        <f>'Gtos Varios'!$B$22</f>
        <v>3070.542857142857</v>
      </c>
      <c r="L64" s="443">
        <f>+LISTPROD3[[#This Row],[PRECIO DE PRODUCCIÓN POR UND]]+LISTPROD3[[#This Row],[TOTAL GASTOS VARIOS]]</f>
        <v>6499.4429327153757</v>
      </c>
      <c r="M64" s="408">
        <f>'RECETAS JARABES'!G1485</f>
        <v>3763.9699400534355</v>
      </c>
      <c r="N64" s="517">
        <f>'RECETAS JARABES'!H1485</f>
        <v>0.53</v>
      </c>
      <c r="O64" s="560">
        <f>'RECETAS JARABES'!G1486</f>
        <v>10865.800015625955</v>
      </c>
      <c r="P64" s="446">
        <v>8000</v>
      </c>
      <c r="Q64" s="440">
        <f>(LISTPROD3[[#This Row],[PRECIO DE VENTA 1]]-LISTPROD3[[#This Row],[COSTO TOTAL UNIDAD]])/LISTPROD3[[#This Row],[COSTO TOTAL UNIDAD]]</f>
        <v>0.23087472000584405</v>
      </c>
      <c r="R64" s="429">
        <f>LISTPROD3[[#This Row],[% GANANCIA]]*LISTPROD3[[#This Row],[COSTO TOTAL UNIDAD]]</f>
        <v>1500.5570672846243</v>
      </c>
      <c r="S64" s="391">
        <f>+LISTPROD3[[#This Row],[PRECIO DE VENTA 1]]-LISTPROD3[[#This Row],[PRECIO VENTA POR RECETA]]</f>
        <v>-2865.800015625955</v>
      </c>
      <c r="T64" s="429"/>
      <c r="U64" s="440"/>
      <c r="V64" s="429"/>
      <c r="W64" s="391"/>
      <c r="X64" s="429"/>
      <c r="Y64" s="511"/>
      <c r="Z64" s="429"/>
      <c r="AA64" s="391"/>
      <c r="AB64" s="391"/>
      <c r="AC64" s="43">
        <v>8000</v>
      </c>
      <c r="AD64" s="43">
        <v>0</v>
      </c>
      <c r="AE64" s="43">
        <v>0</v>
      </c>
      <c r="AF64" s="43">
        <v>0</v>
      </c>
      <c r="AG64" s="48"/>
      <c r="AH64" t="s">
        <v>304</v>
      </c>
    </row>
    <row r="65" spans="1:34" ht="15.75" customHeight="1" x14ac:dyDescent="0.25">
      <c r="A65" s="44" t="s">
        <v>176</v>
      </c>
      <c r="B65" s="19" t="s">
        <v>177</v>
      </c>
      <c r="C65" s="554" t="s">
        <v>464</v>
      </c>
      <c r="D65" s="331" t="s">
        <v>654</v>
      </c>
      <c r="E65" s="539" t="s">
        <v>642</v>
      </c>
      <c r="F65" s="164" t="s">
        <v>655</v>
      </c>
      <c r="G65" s="370" t="s">
        <v>487</v>
      </c>
      <c r="H65" s="169"/>
      <c r="I65" s="189" t="s">
        <v>74</v>
      </c>
      <c r="J65" s="443">
        <f>'RECETAS JARABES'!G1513</f>
        <v>2129.0702622634331</v>
      </c>
      <c r="K65" s="443">
        <f>'Gtos Varios'!$B$22</f>
        <v>3070.542857142857</v>
      </c>
      <c r="L65" s="443">
        <f>+LISTPROD3[[#This Row],[PRECIO DE PRODUCCIÓN POR UND]]+LISTPROD3[[#This Row],[TOTAL GASTOS VARIOS]]</f>
        <v>5199.61311940629</v>
      </c>
      <c r="M65" s="409">
        <f>'RECETAS JARABES'!G1518</f>
        <v>3365.1601521127909</v>
      </c>
      <c r="N65" s="517">
        <f>'RECETAS JARABES'!H1518</f>
        <v>0.57999999999999996</v>
      </c>
      <c r="O65" s="560">
        <f>'RECETAS JARABES'!G1519</f>
        <v>9167.1604143762233</v>
      </c>
      <c r="P65" s="385">
        <v>6000</v>
      </c>
      <c r="Q65" s="440">
        <f>(LISTPROD3[[#This Row],[PRECIO DE VENTA 1]]-LISTPROD3[[#This Row],[COSTO TOTAL UNIDAD]])/LISTPROD3[[#This Row],[COSTO TOTAL UNIDAD]]</f>
        <v>0.15393200651918906</v>
      </c>
      <c r="R65" s="429">
        <f>LISTPROD3[[#This Row],[% GANANCIA]]*LISTPROD3[[#This Row],[COSTO TOTAL UNIDAD]]</f>
        <v>800.38688059370998</v>
      </c>
      <c r="S65" s="391">
        <f>+LISTPROD3[[#This Row],[PRECIO DE VENTA 1]]-LISTPROD3[[#This Row],[PRECIO VENTA POR RECETA]]</f>
        <v>-3167.1604143762233</v>
      </c>
      <c r="T65" s="429">
        <v>5000</v>
      </c>
      <c r="U65" s="511">
        <f>(LISTPROD3[[#This Row],[PRECIO DE VENTA2]]-LISTPROD3[[#This Row],[COSTO TOTAL UNIDAD]])/LISTPROD3[[#This Row],[COSTO TOTAL UNIDAD]]</f>
        <v>-3.8389994567342454E-2</v>
      </c>
      <c r="V65" s="429">
        <f>+LISTPROD3[[#This Row],[% GANANCIA2]]*LISTPROD3[[#This Row],[COSTO TOTAL UNIDAD]]</f>
        <v>-199.61311940629002</v>
      </c>
      <c r="W65" s="391">
        <f>LISTPROD3[[#This Row],[PRECIO DE VENTA2]]-LISTPROD3[[#This Row],[PRECIO VENTA POR RECETA]]</f>
        <v>-4167.1604143762233</v>
      </c>
      <c r="X65" s="429">
        <v>5000</v>
      </c>
      <c r="Y65" s="511">
        <f>(LISTPROD3[[#This Row],[PRECIO DE VENTA 3]]-LISTPROD3[[#This Row],[COSTO TOTAL UNIDAD]])/LISTPROD3[[#This Row],[COSTO TOTAL UNIDAD]]</f>
        <v>-3.8389994567342454E-2</v>
      </c>
      <c r="Z65" s="429">
        <f>LISTPROD3[[#This Row],[% GANANCIA3]]*LISTPROD3[[#This Row],[COSTO TOTAL UNIDAD]]</f>
        <v>-199.61311940629002</v>
      </c>
      <c r="AA65" s="391"/>
      <c r="AB65" s="391"/>
      <c r="AC65" s="45">
        <v>6000</v>
      </c>
      <c r="AD65" s="45">
        <v>5000</v>
      </c>
      <c r="AE65" s="45">
        <v>5000</v>
      </c>
      <c r="AF65" s="45">
        <v>5000</v>
      </c>
      <c r="AG65" s="40"/>
      <c r="AH65" t="s">
        <v>304</v>
      </c>
    </row>
    <row r="66" spans="1:34" ht="48.75" x14ac:dyDescent="0.25">
      <c r="A66" s="46" t="s">
        <v>178</v>
      </c>
      <c r="B66" s="47" t="s">
        <v>179</v>
      </c>
      <c r="C66" s="554" t="s">
        <v>464</v>
      </c>
      <c r="D66" s="331" t="s">
        <v>654</v>
      </c>
      <c r="E66" s="539" t="s">
        <v>642</v>
      </c>
      <c r="F66" s="164" t="s">
        <v>655</v>
      </c>
      <c r="G66" s="370" t="s">
        <v>491</v>
      </c>
      <c r="H66" s="176" t="s">
        <v>505</v>
      </c>
      <c r="I66" s="190" t="s">
        <v>73</v>
      </c>
      <c r="J66" s="443">
        <f>'RECETAS JARABES'!G1547</f>
        <v>2149.0702622634331</v>
      </c>
      <c r="K66" s="443">
        <f>'Gtos Varios'!$B$22</f>
        <v>3070.542857142857</v>
      </c>
      <c r="L66" s="443">
        <f>+LISTPROD3[[#This Row],[PRECIO DE PRODUCCIÓN POR UND]]+LISTPROD3[[#This Row],[TOTAL GASTOS VARIOS]]</f>
        <v>5219.61311940629</v>
      </c>
      <c r="M66" s="406">
        <f>'RECETAS JARABES'!G1552</f>
        <v>3260.3201468675229</v>
      </c>
      <c r="N66" s="517">
        <f>'RECETAS JARABES'!H1552</f>
        <v>0.56000000000000005</v>
      </c>
      <c r="O66" s="560">
        <f>'RECETAS JARABES'!G1553</f>
        <v>9082.3204091309563</v>
      </c>
      <c r="P66" s="385">
        <v>6000</v>
      </c>
      <c r="Q66" s="440">
        <f>(LISTPROD3[[#This Row],[PRECIO DE VENTA 1]]-LISTPROD3[[#This Row],[COSTO TOTAL UNIDAD]])/LISTPROD3[[#This Row],[COSTO TOTAL UNIDAD]]</f>
        <v>0.14951048339047701</v>
      </c>
      <c r="R66" s="429">
        <f>LISTPROD3[[#This Row],[% GANANCIA]]*LISTPROD3[[#This Row],[COSTO TOTAL UNIDAD]]</f>
        <v>780.38688059370998</v>
      </c>
      <c r="S66" s="391">
        <f>+LISTPROD3[[#This Row],[PRECIO DE VENTA 1]]-LISTPROD3[[#This Row],[PRECIO VENTA POR RECETA]]</f>
        <v>-3082.3204091309563</v>
      </c>
      <c r="T66" s="429">
        <v>5000</v>
      </c>
      <c r="U66" s="511">
        <f>(LISTPROD3[[#This Row],[PRECIO DE VENTA2]]-LISTPROD3[[#This Row],[COSTO TOTAL UNIDAD]])/LISTPROD3[[#This Row],[COSTO TOTAL UNIDAD]]</f>
        <v>-4.2074597174602497E-2</v>
      </c>
      <c r="V66" s="429">
        <f>+LISTPROD3[[#This Row],[% GANANCIA2]]*LISTPROD3[[#This Row],[COSTO TOTAL UNIDAD]]</f>
        <v>-219.61311940629002</v>
      </c>
      <c r="W66" s="391">
        <f>LISTPROD3[[#This Row],[PRECIO DE VENTA2]]-LISTPROD3[[#This Row],[PRECIO VENTA POR RECETA]]</f>
        <v>-4082.3204091309563</v>
      </c>
      <c r="X66" s="429">
        <v>5000</v>
      </c>
      <c r="Y66" s="511">
        <f>(LISTPROD3[[#This Row],[PRECIO DE VENTA 3]]-LISTPROD3[[#This Row],[COSTO TOTAL UNIDAD]])/LISTPROD3[[#This Row],[COSTO TOTAL UNIDAD]]</f>
        <v>-4.2074597174602497E-2</v>
      </c>
      <c r="Z66" s="429">
        <f>LISTPROD3[[#This Row],[% GANANCIA3]]*LISTPROD3[[#This Row],[COSTO TOTAL UNIDAD]]</f>
        <v>-219.61311940629002</v>
      </c>
      <c r="AA66" s="391"/>
      <c r="AB66" s="391"/>
      <c r="AC66" s="43">
        <v>6000</v>
      </c>
      <c r="AD66" s="43">
        <v>5000</v>
      </c>
      <c r="AE66" s="43">
        <v>5000</v>
      </c>
      <c r="AF66" s="43">
        <v>5000</v>
      </c>
      <c r="AG66" s="48"/>
      <c r="AH66" s="12" t="s">
        <v>568</v>
      </c>
    </row>
    <row r="67" spans="1:34" x14ac:dyDescent="0.25">
      <c r="A67" s="49" t="s">
        <v>180</v>
      </c>
      <c r="B67" s="9" t="s">
        <v>181</v>
      </c>
      <c r="C67" s="554" t="s">
        <v>465</v>
      </c>
      <c r="D67" s="331" t="s">
        <v>654</v>
      </c>
      <c r="E67" s="539" t="s">
        <v>642</v>
      </c>
      <c r="F67" s="164" t="s">
        <v>656</v>
      </c>
      <c r="G67" s="370" t="s">
        <v>491</v>
      </c>
      <c r="H67" s="169"/>
      <c r="I67" s="187" t="s">
        <v>73</v>
      </c>
      <c r="J67" s="443">
        <f>'RECETAS JARABES'!G1579</f>
        <v>2108.2250461392819</v>
      </c>
      <c r="K67" s="443">
        <f>'Gtos Varios'!$B$22</f>
        <v>3070.542857142857</v>
      </c>
      <c r="L67" s="443">
        <f>+LISTPROD3[[#This Row],[PRECIO DE PRODUCCIÓN POR UND]]+LISTPROD3[[#This Row],[TOTAL GASTOS VARIOS]]</f>
        <v>5178.7679032821388</v>
      </c>
      <c r="M67" s="407">
        <f>'RECETAS JARABES'!G1584</f>
        <v>3353.0699267607833</v>
      </c>
      <c r="N67" s="517">
        <f>'RECETAS JARABES'!H1584</f>
        <v>0.57999999999999996</v>
      </c>
      <c r="O67" s="560">
        <f>'RECETAS JARABES'!G1585</f>
        <v>9134.224972900065</v>
      </c>
      <c r="P67" s="385">
        <v>7500</v>
      </c>
      <c r="Q67" s="440">
        <f>(LISTPROD3[[#This Row],[PRECIO DE VENTA 1]]-LISTPROD3[[#This Row],[COSTO TOTAL UNIDAD]])/LISTPROD3[[#This Row],[COSTO TOTAL UNIDAD]]</f>
        <v>0.44822091664828961</v>
      </c>
      <c r="R67" s="429">
        <f>LISTPROD3[[#This Row],[% GANANCIA]]*LISTPROD3[[#This Row],[COSTO TOTAL UNIDAD]]</f>
        <v>2321.2320967178612</v>
      </c>
      <c r="S67" s="391">
        <f>+LISTPROD3[[#This Row],[PRECIO DE VENTA 1]]-LISTPROD3[[#This Row],[PRECIO VENTA POR RECETA]]</f>
        <v>-1634.224972900065</v>
      </c>
      <c r="T67" s="429"/>
      <c r="U67" s="440"/>
      <c r="V67" s="429"/>
      <c r="W67" s="391"/>
      <c r="X67" s="429"/>
      <c r="Y67" s="511"/>
      <c r="Z67" s="429"/>
      <c r="AA67" s="391"/>
      <c r="AB67" s="391"/>
      <c r="AC67" s="45">
        <v>7500</v>
      </c>
      <c r="AD67" s="45">
        <v>0</v>
      </c>
      <c r="AE67" s="45">
        <v>0</v>
      </c>
      <c r="AF67" s="45">
        <v>0</v>
      </c>
      <c r="AG67" s="40"/>
      <c r="AH67" t="s">
        <v>304</v>
      </c>
    </row>
    <row r="68" spans="1:34" ht="15.75" customHeight="1" x14ac:dyDescent="0.25">
      <c r="A68" s="50" t="s">
        <v>182</v>
      </c>
      <c r="B68" s="51" t="s">
        <v>183</v>
      </c>
      <c r="C68" s="554" t="s">
        <v>464</v>
      </c>
      <c r="D68" s="331" t="s">
        <v>654</v>
      </c>
      <c r="E68" s="539" t="s">
        <v>642</v>
      </c>
      <c r="F68" s="164" t="s">
        <v>655</v>
      </c>
      <c r="G68" s="370" t="s">
        <v>487</v>
      </c>
      <c r="H68" s="169"/>
      <c r="I68" s="188" t="s">
        <v>74</v>
      </c>
      <c r="J68" s="443">
        <f>'RECETAS JARABES'!G1613</f>
        <v>2129.0702622634331</v>
      </c>
      <c r="K68" s="443">
        <f>'Gtos Varios'!$B$22</f>
        <v>3070.542857142857</v>
      </c>
      <c r="L68" s="443">
        <f>+LISTPROD3[[#This Row],[PRECIO DE PRODUCCIÓN POR UND]]+LISTPROD3[[#This Row],[TOTAL GASTOS VARIOS]]</f>
        <v>5199.61311940629</v>
      </c>
      <c r="M68" s="408">
        <f>'RECETAS JARABES'!G1618</f>
        <v>3365.1601521127909</v>
      </c>
      <c r="N68" s="517">
        <f>'RECETAS JARABES'!H1618</f>
        <v>0.57999999999999996</v>
      </c>
      <c r="O68" s="560">
        <f>'RECETAS JARABES'!G1619</f>
        <v>9167.1604143762233</v>
      </c>
      <c r="P68" s="385">
        <v>6000</v>
      </c>
      <c r="Q68" s="440">
        <f>(LISTPROD3[[#This Row],[PRECIO DE VENTA 1]]-LISTPROD3[[#This Row],[COSTO TOTAL UNIDAD]])/LISTPROD3[[#This Row],[COSTO TOTAL UNIDAD]]</f>
        <v>0.15393200651918906</v>
      </c>
      <c r="R68" s="429">
        <f>LISTPROD3[[#This Row],[% GANANCIA]]*LISTPROD3[[#This Row],[COSTO TOTAL UNIDAD]]</f>
        <v>800.38688059370998</v>
      </c>
      <c r="S68" s="391">
        <f>+LISTPROD3[[#This Row],[PRECIO DE VENTA 1]]-LISTPROD3[[#This Row],[PRECIO VENTA POR RECETA]]</f>
        <v>-3167.1604143762233</v>
      </c>
      <c r="T68" s="429">
        <v>5000</v>
      </c>
      <c r="U68" s="511">
        <f>(LISTPROD3[[#This Row],[PRECIO DE VENTA2]]-LISTPROD3[[#This Row],[COSTO TOTAL UNIDAD]])/LISTPROD3[[#This Row],[COSTO TOTAL UNIDAD]]</f>
        <v>-3.8389994567342454E-2</v>
      </c>
      <c r="V68" s="429">
        <f>+LISTPROD3[[#This Row],[% GANANCIA2]]*LISTPROD3[[#This Row],[COSTO TOTAL UNIDAD]]</f>
        <v>-199.61311940629002</v>
      </c>
      <c r="W68" s="391">
        <f>LISTPROD3[[#This Row],[PRECIO DE VENTA2]]-LISTPROD3[[#This Row],[PRECIO VENTA POR RECETA]]</f>
        <v>-4167.1604143762233</v>
      </c>
      <c r="X68" s="429">
        <v>5000</v>
      </c>
      <c r="Y68" s="511">
        <f>(LISTPROD3[[#This Row],[PRECIO DE VENTA 3]]-LISTPROD3[[#This Row],[COSTO TOTAL UNIDAD]])/LISTPROD3[[#This Row],[COSTO TOTAL UNIDAD]]</f>
        <v>-3.8389994567342454E-2</v>
      </c>
      <c r="Z68" s="429">
        <f>LISTPROD3[[#This Row],[% GANANCIA3]]*LISTPROD3[[#This Row],[COSTO TOTAL UNIDAD]]</f>
        <v>-199.61311940629002</v>
      </c>
      <c r="AA68" s="391"/>
      <c r="AB68" s="391"/>
      <c r="AC68" s="43">
        <v>6000</v>
      </c>
      <c r="AD68" s="43">
        <v>5000</v>
      </c>
      <c r="AE68" s="43">
        <v>5000</v>
      </c>
      <c r="AF68" s="43">
        <v>5000</v>
      </c>
      <c r="AG68" s="48"/>
      <c r="AH68" t="s">
        <v>304</v>
      </c>
    </row>
    <row r="69" spans="1:34" x14ac:dyDescent="0.25">
      <c r="A69" s="44" t="s">
        <v>184</v>
      </c>
      <c r="B69" s="19" t="s">
        <v>185</v>
      </c>
      <c r="C69" s="554" t="s">
        <v>465</v>
      </c>
      <c r="D69" s="331" t="s">
        <v>654</v>
      </c>
      <c r="E69" s="539" t="s">
        <v>642</v>
      </c>
      <c r="F69" s="164" t="s">
        <v>656</v>
      </c>
      <c r="G69" s="370" t="s">
        <v>491</v>
      </c>
      <c r="H69" s="169"/>
      <c r="I69" s="187" t="s">
        <v>73</v>
      </c>
      <c r="J69" s="443">
        <f>'RECETAS JARABES'!G1644</f>
        <v>2745.6158752301908</v>
      </c>
      <c r="K69" s="443">
        <f>'Gtos Varios'!$B$22</f>
        <v>3070.542857142857</v>
      </c>
      <c r="L69" s="443">
        <f>+LISTPROD3[[#This Row],[PRECIO DE PRODUCCIÓN POR UND]]+LISTPROD3[[#This Row],[TOTAL GASTOS VARIOS]]</f>
        <v>5816.1587323730473</v>
      </c>
      <c r="M69" s="407">
        <f>'RECETAS JARABES'!G1649</f>
        <v>3337.6438551196993</v>
      </c>
      <c r="N69" s="517">
        <f>'RECETAS JARABES'!H1649</f>
        <v>0.52</v>
      </c>
      <c r="O69" s="560">
        <f>'RECETAS JARABES'!G1650</f>
        <v>9756.1897303498899</v>
      </c>
      <c r="P69" s="385">
        <v>7500</v>
      </c>
      <c r="Q69" s="440">
        <f>(LISTPROD3[[#This Row],[PRECIO DE VENTA 1]]-LISTPROD3[[#This Row],[COSTO TOTAL UNIDAD]])/LISTPROD3[[#This Row],[COSTO TOTAL UNIDAD]]</f>
        <v>0.28951088598297758</v>
      </c>
      <c r="R69" s="429">
        <f>LISTPROD3[[#This Row],[% GANANCIA]]*LISTPROD3[[#This Row],[COSTO TOTAL UNIDAD]]</f>
        <v>1683.8412676269527</v>
      </c>
      <c r="S69" s="391">
        <f>+LISTPROD3[[#This Row],[PRECIO DE VENTA 1]]-LISTPROD3[[#This Row],[PRECIO VENTA POR RECETA]]</f>
        <v>-2256.1897303498899</v>
      </c>
      <c r="T69" s="429"/>
      <c r="U69" s="440"/>
      <c r="V69" s="429"/>
      <c r="W69" s="391"/>
      <c r="X69" s="429"/>
      <c r="Y69" s="511"/>
      <c r="Z69" s="429"/>
      <c r="AA69" s="391"/>
      <c r="AB69" s="391"/>
      <c r="AC69" s="45">
        <v>7500</v>
      </c>
      <c r="AD69" s="45">
        <v>0</v>
      </c>
      <c r="AE69" s="45">
        <v>0</v>
      </c>
      <c r="AF69" s="45">
        <v>0</v>
      </c>
      <c r="AG69" s="40"/>
      <c r="AH69" t="s">
        <v>304</v>
      </c>
    </row>
    <row r="70" spans="1:34" ht="15.75" customHeight="1" x14ac:dyDescent="0.25">
      <c r="A70" s="64" t="s">
        <v>186</v>
      </c>
      <c r="B70" s="51" t="s">
        <v>187</v>
      </c>
      <c r="C70" s="554" t="s">
        <v>464</v>
      </c>
      <c r="D70" s="331" t="s">
        <v>654</v>
      </c>
      <c r="E70" s="539" t="s">
        <v>642</v>
      </c>
      <c r="F70" s="164" t="s">
        <v>655</v>
      </c>
      <c r="G70" s="370" t="s">
        <v>487</v>
      </c>
      <c r="H70" s="169"/>
      <c r="I70" s="188" t="s">
        <v>74</v>
      </c>
      <c r="J70" s="443">
        <f>'RECETAS JARABES'!G1680</f>
        <v>2129.0702622634331</v>
      </c>
      <c r="K70" s="443">
        <f>'Gtos Varios'!$B$22</f>
        <v>3070.542857142857</v>
      </c>
      <c r="L70" s="443">
        <f>+LISTPROD3[[#This Row],[PRECIO DE PRODUCCIÓN POR UND]]+LISTPROD3[[#This Row],[TOTAL GASTOS VARIOS]]</f>
        <v>5199.61311940629</v>
      </c>
      <c r="M70" s="408">
        <f>'RECETAS JARABES'!G1685</f>
        <v>3365.1601521127909</v>
      </c>
      <c r="N70" s="517">
        <f>'RECETAS JARABES'!H1685</f>
        <v>0.57999999999999996</v>
      </c>
      <c r="O70" s="560">
        <f>'RECETAS JARABES'!G1686</f>
        <v>9167.1604143762233</v>
      </c>
      <c r="P70" s="385">
        <v>6000</v>
      </c>
      <c r="Q70" s="440">
        <f>(LISTPROD3[[#This Row],[PRECIO DE VENTA 1]]-LISTPROD3[[#This Row],[COSTO TOTAL UNIDAD]])/LISTPROD3[[#This Row],[COSTO TOTAL UNIDAD]]</f>
        <v>0.15393200651918906</v>
      </c>
      <c r="R70" s="429">
        <f>LISTPROD3[[#This Row],[% GANANCIA]]*LISTPROD3[[#This Row],[COSTO TOTAL UNIDAD]]</f>
        <v>800.38688059370998</v>
      </c>
      <c r="S70" s="391">
        <f>+LISTPROD3[[#This Row],[PRECIO DE VENTA 1]]-LISTPROD3[[#This Row],[PRECIO VENTA POR RECETA]]</f>
        <v>-3167.1604143762233</v>
      </c>
      <c r="T70" s="429">
        <v>5000</v>
      </c>
      <c r="U70" s="511">
        <f>(LISTPROD3[[#This Row],[PRECIO DE VENTA2]]-LISTPROD3[[#This Row],[COSTO TOTAL UNIDAD]])/LISTPROD3[[#This Row],[COSTO TOTAL UNIDAD]]</f>
        <v>-3.8389994567342454E-2</v>
      </c>
      <c r="V70" s="429">
        <f>+LISTPROD3[[#This Row],[% GANANCIA2]]*LISTPROD3[[#This Row],[COSTO TOTAL UNIDAD]]</f>
        <v>-199.61311940629002</v>
      </c>
      <c r="W70" s="391">
        <f>LISTPROD3[[#This Row],[PRECIO DE VENTA2]]-LISTPROD3[[#This Row],[PRECIO VENTA POR RECETA]]</f>
        <v>-4167.1604143762233</v>
      </c>
      <c r="X70" s="429">
        <v>5000</v>
      </c>
      <c r="Y70" s="511">
        <f>(LISTPROD3[[#This Row],[PRECIO DE VENTA 3]]-LISTPROD3[[#This Row],[COSTO TOTAL UNIDAD]])/LISTPROD3[[#This Row],[COSTO TOTAL UNIDAD]]</f>
        <v>-3.8389994567342454E-2</v>
      </c>
      <c r="Z70" s="429">
        <f>LISTPROD3[[#This Row],[% GANANCIA3]]*LISTPROD3[[#This Row],[COSTO TOTAL UNIDAD]]</f>
        <v>-199.61311940629002</v>
      </c>
      <c r="AA70" s="391"/>
      <c r="AB70" s="391"/>
      <c r="AC70" s="43">
        <v>6000</v>
      </c>
      <c r="AD70" s="43">
        <v>5000</v>
      </c>
      <c r="AE70" s="43">
        <v>5000</v>
      </c>
      <c r="AF70" s="43">
        <v>5000</v>
      </c>
      <c r="AG70" s="48"/>
      <c r="AH70" t="s">
        <v>304</v>
      </c>
    </row>
    <row r="71" spans="1:34" s="275" customFormat="1" ht="15.75" customHeight="1" x14ac:dyDescent="0.25">
      <c r="A71" s="472" t="s">
        <v>188</v>
      </c>
      <c r="B71" s="259" t="s">
        <v>189</v>
      </c>
      <c r="C71" s="556" t="s">
        <v>464</v>
      </c>
      <c r="D71" s="462" t="s">
        <v>654</v>
      </c>
      <c r="E71" s="463" t="s">
        <v>642</v>
      </c>
      <c r="F71" s="327" t="s">
        <v>655</v>
      </c>
      <c r="G71" s="423" t="s">
        <v>487</v>
      </c>
      <c r="H71" s="464"/>
      <c r="I71" s="473" t="s">
        <v>74</v>
      </c>
      <c r="J71" s="482" t="s">
        <v>665</v>
      </c>
      <c r="K71" s="441">
        <f>'Gtos Varios'!$B$22</f>
        <v>3070.542857142857</v>
      </c>
      <c r="L71" s="441" t="e">
        <f>+LISTPROD3[[#This Row],[PRECIO DE PRODUCCIÓN POR UND]]+LISTPROD3[[#This Row],[TOTAL GASTOS VARIOS]]</f>
        <v>#VALUE!</v>
      </c>
      <c r="M71" s="474">
        <f>'RECETAS JARABES'!G1720</f>
        <v>3364.3853204461238</v>
      </c>
      <c r="N71" s="518">
        <f>'RECETAS JARABES'!H1720</f>
        <v>0.57999999999999996</v>
      </c>
      <c r="O71" s="561">
        <f>'RECETAS JARABES'!G1721</f>
        <v>9165.0496660428907</v>
      </c>
      <c r="P71" s="467">
        <v>6000</v>
      </c>
      <c r="Q71" s="440" t="e">
        <f>(LISTPROD3[[#This Row],[PRECIO DE VENTA 1]]-LISTPROD3[[#This Row],[COSTO TOTAL UNIDAD]])/LISTPROD3[[#This Row],[COSTO TOTAL UNIDAD]]</f>
        <v>#VALUE!</v>
      </c>
      <c r="R71" s="429" t="e">
        <f>LISTPROD3[[#This Row],[% GANANCIA]]*LISTPROD3[[#This Row],[COSTO TOTAL UNIDAD]]</f>
        <v>#VALUE!</v>
      </c>
      <c r="S71" s="469">
        <f>+LISTPROD3[[#This Row],[PRECIO DE VENTA 1]]-LISTPROD3[[#This Row],[PRECIO VENTA POR RECETA]]</f>
        <v>-3165.0496660428907</v>
      </c>
      <c r="T71" s="468">
        <v>5000</v>
      </c>
      <c r="U71" s="440" t="e">
        <f>(LISTPROD3[[#This Row],[PRECIO DE VENTA2]]-LISTPROD3[[#This Row],[COSTO TOTAL UNIDAD]])/LISTPROD3[[#This Row],[COSTO TOTAL UNIDAD]]</f>
        <v>#VALUE!</v>
      </c>
      <c r="V71" s="429" t="e">
        <f>+LISTPROD3[[#This Row],[% GANANCIA2]]*LISTPROD3[[#This Row],[COSTO TOTAL UNIDAD]]</f>
        <v>#VALUE!</v>
      </c>
      <c r="W71" s="469">
        <f>LISTPROD3[[#This Row],[PRECIO DE VENTA2]]-LISTPROD3[[#This Row],[PRECIO VENTA POR RECETA]]</f>
        <v>-4165.0496660428907</v>
      </c>
      <c r="X71" s="468">
        <v>5000</v>
      </c>
      <c r="Y71" s="511" t="e">
        <f>(LISTPROD3[[#This Row],[PRECIO DE VENTA 3]]-LISTPROD3[[#This Row],[COSTO TOTAL UNIDAD]])/LISTPROD3[[#This Row],[COSTO TOTAL UNIDAD]]</f>
        <v>#VALUE!</v>
      </c>
      <c r="Z71" s="429" t="e">
        <f>LISTPROD3[[#This Row],[% GANANCIA3]]*LISTPROD3[[#This Row],[COSTO TOTAL UNIDAD]]</f>
        <v>#VALUE!</v>
      </c>
      <c r="AA71" s="469"/>
      <c r="AB71" s="391"/>
      <c r="AC71" s="475">
        <v>6000</v>
      </c>
      <c r="AD71" s="475">
        <v>5000</v>
      </c>
      <c r="AE71" s="475">
        <v>5000</v>
      </c>
      <c r="AF71" s="475">
        <v>5000</v>
      </c>
      <c r="AG71" s="72"/>
      <c r="AH71" s="275" t="s">
        <v>304</v>
      </c>
    </row>
    <row r="72" spans="1:34" ht="15.75" customHeight="1" x14ac:dyDescent="0.25">
      <c r="A72" s="50" t="s">
        <v>190</v>
      </c>
      <c r="B72" s="51" t="s">
        <v>191</v>
      </c>
      <c r="C72" s="554" t="s">
        <v>464</v>
      </c>
      <c r="D72" s="331" t="s">
        <v>654</v>
      </c>
      <c r="E72" s="539" t="s">
        <v>642</v>
      </c>
      <c r="F72" s="164" t="s">
        <v>655</v>
      </c>
      <c r="G72" s="424" t="s">
        <v>714</v>
      </c>
      <c r="H72" s="169"/>
      <c r="I72" s="580" t="s">
        <v>74</v>
      </c>
      <c r="J72" s="443">
        <f>'RECETAS JARABES'!G1751</f>
        <v>3036.5143089300996</v>
      </c>
      <c r="K72" s="443">
        <f>'Gtos Varios'!$B$22</f>
        <v>3070.542857142857</v>
      </c>
      <c r="L72" s="443">
        <f>+LISTPROD3[[#This Row],[PRECIO DE PRODUCCIÓN POR UND]]+LISTPROD3[[#This Row],[TOTAL GASTOS VARIOS]]</f>
        <v>6107.0571660729565</v>
      </c>
      <c r="M72" s="408">
        <f>'RECETAS JARABES'!G1756</f>
        <v>3220.5332682864478</v>
      </c>
      <c r="N72" s="517">
        <f>'RECETAS JARABES'!H1756</f>
        <v>0.48</v>
      </c>
      <c r="O72" s="560">
        <f>'RECETAS JARABES'!G1757</f>
        <v>9929.9775772165467</v>
      </c>
      <c r="P72" s="385">
        <v>8000</v>
      </c>
      <c r="Q72" s="440">
        <f>(LISTPROD3[[#This Row],[PRECIO DE VENTA 1]]-LISTPROD3[[#This Row],[COSTO TOTAL UNIDAD]])/LISTPROD3[[#This Row],[COSTO TOTAL UNIDAD]]</f>
        <v>0.30995990089024655</v>
      </c>
      <c r="R72" s="429">
        <f>LISTPROD3[[#This Row],[% GANANCIA]]*LISTPROD3[[#This Row],[COSTO TOTAL UNIDAD]]</f>
        <v>1892.9428339270437</v>
      </c>
      <c r="S72" s="391">
        <f>+LISTPROD3[[#This Row],[PRECIO DE VENTA 1]]-LISTPROD3[[#This Row],[PRECIO VENTA POR RECETA]]</f>
        <v>-1929.9775772165467</v>
      </c>
      <c r="T72" s="429">
        <v>10000</v>
      </c>
      <c r="U72" s="440">
        <f>(LISTPROD3[[#This Row],[PRECIO DE VENTA2]]-LISTPROD3[[#This Row],[COSTO TOTAL UNIDAD]])/LISTPROD3[[#This Row],[COSTO TOTAL UNIDAD]]</f>
        <v>0.63744987611280812</v>
      </c>
      <c r="V72" s="429">
        <f>+LISTPROD3[[#This Row],[% GANANCIA2]]*LISTPROD3[[#This Row],[COSTO TOTAL UNIDAD]]</f>
        <v>3892.942833927043</v>
      </c>
      <c r="W72" s="391">
        <f>LISTPROD3[[#This Row],[PRECIO DE VENTA2]]-LISTPROD3[[#This Row],[PRECIO VENTA POR RECETA]]</f>
        <v>70.022422783453294</v>
      </c>
      <c r="X72" s="429">
        <v>10000</v>
      </c>
      <c r="Y72" s="511">
        <f>(LISTPROD3[[#This Row],[PRECIO DE VENTA 3]]-LISTPROD3[[#This Row],[COSTO TOTAL UNIDAD]])/LISTPROD3[[#This Row],[COSTO TOTAL UNIDAD]]</f>
        <v>0.63744987611280812</v>
      </c>
      <c r="Z72" s="429">
        <f>LISTPROD3[[#This Row],[% GANANCIA3]]*LISTPROD3[[#This Row],[COSTO TOTAL UNIDAD]]</f>
        <v>3892.942833927043</v>
      </c>
      <c r="AA72" s="391"/>
      <c r="AB72" s="391"/>
      <c r="AC72" s="43">
        <v>8000</v>
      </c>
      <c r="AD72" s="43">
        <v>10000</v>
      </c>
      <c r="AE72" s="43">
        <v>10000</v>
      </c>
      <c r="AF72" s="43">
        <v>10000</v>
      </c>
      <c r="AG72" s="48"/>
      <c r="AH72" t="s">
        <v>304</v>
      </c>
    </row>
    <row r="73" spans="1:34" ht="20.25" customHeight="1" x14ac:dyDescent="0.25">
      <c r="A73" s="571" t="s">
        <v>192</v>
      </c>
      <c r="B73" s="570" t="s">
        <v>328</v>
      </c>
      <c r="C73" s="240" t="s">
        <v>517</v>
      </c>
      <c r="D73" s="329" t="s">
        <v>654</v>
      </c>
      <c r="E73" s="329" t="s">
        <v>508</v>
      </c>
      <c r="F73" s="577" t="s">
        <v>657</v>
      </c>
      <c r="G73" s="240"/>
      <c r="H73" s="578"/>
      <c r="I73" s="185" t="s">
        <v>73</v>
      </c>
      <c r="J73" s="579">
        <f>'RECETAS CAPS'!BK19</f>
        <v>6756.8600000000006</v>
      </c>
      <c r="K73" s="443">
        <f>'Gtos Varios'!$B$22</f>
        <v>3070.542857142857</v>
      </c>
      <c r="L73" s="348">
        <f>+LISTPROD3[[#This Row],[TOTAL GASTOS VARIOS]]+LISTPROD3[[#This Row],[PRECIO DE PRODUCCIÓN POR UND]]</f>
        <v>9827.4028571428571</v>
      </c>
      <c r="M73" s="410">
        <f>'RECETAS CAPS'!BK25</f>
        <v>3128.9370000000004</v>
      </c>
      <c r="N73" s="387">
        <f>'RECETAS CAPS'!BL25</f>
        <v>0.3</v>
      </c>
      <c r="O73" s="532">
        <f>'RECETAS CAPS'!BK26</f>
        <v>13558.727000000001</v>
      </c>
      <c r="P73" s="362">
        <v>13559</v>
      </c>
      <c r="Q73" s="440">
        <f>(LISTPROD3[[#This Row],[PRECIO DE VENTA 1]]-LISTPROD3[[#This Row],[COSTO TOTAL UNIDAD]])/LISTPROD3[[#This Row],[COSTO TOTAL UNIDAD]]</f>
        <v>0.37971346011778728</v>
      </c>
      <c r="R73" s="429">
        <f>LISTPROD3[[#This Row],[% GANANCIA]]*LISTPROD3[[#This Row],[COSTO TOTAL UNIDAD]]</f>
        <v>3731.5971428571429</v>
      </c>
      <c r="S73" s="393"/>
      <c r="T73" s="435"/>
      <c r="U73" s="440"/>
      <c r="V73" s="429"/>
      <c r="W73" s="391"/>
      <c r="X73" s="435"/>
      <c r="Y73" s="393"/>
      <c r="Z73" s="393"/>
      <c r="AA73" s="393"/>
      <c r="AB73" s="393"/>
      <c r="AC73" s="52">
        <v>12800</v>
      </c>
      <c r="AD73" s="308">
        <v>0</v>
      </c>
      <c r="AE73" s="308">
        <v>0</v>
      </c>
      <c r="AF73" s="308">
        <v>0</v>
      </c>
      <c r="AG73" s="40" t="s">
        <v>329</v>
      </c>
      <c r="AH73" s="7" t="s">
        <v>304</v>
      </c>
    </row>
    <row r="74" spans="1:34" ht="48.75" x14ac:dyDescent="0.25">
      <c r="A74" s="296" t="s">
        <v>193</v>
      </c>
      <c r="B74" s="297" t="s">
        <v>194</v>
      </c>
      <c r="C74" s="554" t="s">
        <v>464</v>
      </c>
      <c r="D74" s="331" t="s">
        <v>654</v>
      </c>
      <c r="E74" s="539" t="s">
        <v>642</v>
      </c>
      <c r="F74" s="164" t="s">
        <v>655</v>
      </c>
      <c r="G74" s="370" t="s">
        <v>491</v>
      </c>
      <c r="H74" s="176" t="s">
        <v>505</v>
      </c>
      <c r="I74" s="581" t="s">
        <v>73</v>
      </c>
      <c r="J74" s="443">
        <f>'RECETAS JARABES'!G1784</f>
        <v>2502.3862320434337</v>
      </c>
      <c r="K74" s="443">
        <f>'Gtos Varios'!$B$22</f>
        <v>3070.542857142857</v>
      </c>
      <c r="L74" s="443">
        <f>+LISTPROD3[[#This Row],[PRECIO DE PRODUCCIÓN POR UND]]+LISTPROD3[[#This Row],[TOTAL GASTOS VARIOS]]</f>
        <v>5572.9290891862911</v>
      </c>
      <c r="M74" s="408">
        <f>'RECETAS JARABES'!$G$1787</f>
        <v>3272.9176029830196</v>
      </c>
      <c r="N74" s="516">
        <f>'RECETAS JARABES'!$H$1787</f>
        <v>0.53</v>
      </c>
      <c r="O74" s="559">
        <f>'RECETAS JARABES'!$G$1788</f>
        <v>9448.2338350264527</v>
      </c>
      <c r="P74" s="385">
        <v>7000</v>
      </c>
      <c r="Q74" s="440">
        <f>(LISTPROD3[[#This Row],[PRECIO DE VENTA 1]]-LISTPROD3[[#This Row],[COSTO TOTAL UNIDAD]])/LISTPROD3[[#This Row],[COSTO TOTAL UNIDAD]]</f>
        <v>0.25607196646065289</v>
      </c>
      <c r="R74" s="429">
        <f>LISTPROD3[[#This Row],[% GANANCIA]]*LISTPROD3[[#This Row],[COSTO TOTAL UNIDAD]]</f>
        <v>1427.0709108137087</v>
      </c>
      <c r="S74" s="391">
        <f>+LISTPROD3[[#This Row],[PRECIO DE VENTA 1]]-LISTPROD3[[#This Row],[PRECIO VENTA POR RECETA]]</f>
        <v>-2448.2338350264527</v>
      </c>
      <c r="T74" s="429">
        <v>5000</v>
      </c>
      <c r="U74" s="511">
        <f>(LISTPROD3[[#This Row],[PRECIO DE VENTA2]]-LISTPROD3[[#This Row],[COSTO TOTAL UNIDAD]])/LISTPROD3[[#This Row],[COSTO TOTAL UNIDAD]]</f>
        <v>-0.10280573824239078</v>
      </c>
      <c r="V74" s="429">
        <f>+LISTPROD3[[#This Row],[% GANANCIA2]]*LISTPROD3[[#This Row],[COSTO TOTAL UNIDAD]]</f>
        <v>-572.92908918629109</v>
      </c>
      <c r="W74" s="391">
        <f>LISTPROD3[[#This Row],[PRECIO DE VENTA2]]-LISTPROD3[[#This Row],[PRECIO VENTA POR RECETA]]</f>
        <v>-4448.2338350264527</v>
      </c>
      <c r="X74" s="429">
        <v>5000</v>
      </c>
      <c r="Y74" s="511">
        <f>(LISTPROD3[[#This Row],[PRECIO DE VENTA 3]]-LISTPROD3[[#This Row],[COSTO TOTAL UNIDAD]])/LISTPROD3[[#This Row],[COSTO TOTAL UNIDAD]]</f>
        <v>-0.10280573824239078</v>
      </c>
      <c r="Z74" s="429">
        <f>LISTPROD3[[#This Row],[% GANANCIA3]]*LISTPROD3[[#This Row],[COSTO TOTAL UNIDAD]]</f>
        <v>-572.92908918629109</v>
      </c>
      <c r="AA74" s="391"/>
      <c r="AB74" s="391"/>
      <c r="AC74" s="247">
        <v>6000</v>
      </c>
      <c r="AD74" s="247">
        <v>5000</v>
      </c>
      <c r="AE74" s="247">
        <v>5000</v>
      </c>
      <c r="AF74" s="247">
        <v>5000</v>
      </c>
      <c r="AG74" s="65"/>
      <c r="AH74" t="s">
        <v>304</v>
      </c>
    </row>
    <row r="75" spans="1:34" ht="48.75" x14ac:dyDescent="0.25">
      <c r="A75" s="49" t="s">
        <v>195</v>
      </c>
      <c r="B75" s="9" t="s">
        <v>196</v>
      </c>
      <c r="C75" s="554" t="s">
        <v>464</v>
      </c>
      <c r="D75" s="331" t="s">
        <v>654</v>
      </c>
      <c r="E75" s="539" t="s">
        <v>642</v>
      </c>
      <c r="F75" s="164" t="s">
        <v>655</v>
      </c>
      <c r="G75" s="370" t="s">
        <v>491</v>
      </c>
      <c r="H75" s="176" t="s">
        <v>505</v>
      </c>
      <c r="I75" s="189" t="s">
        <v>73</v>
      </c>
      <c r="J75" s="478">
        <f>'RECETAS JARABES'!G1816</f>
        <v>1875.183743215814</v>
      </c>
      <c r="K75" s="443">
        <f>'Gtos Varios'!$B$22</f>
        <v>3070.542857142857</v>
      </c>
      <c r="L75" s="443">
        <f>+LISTPROD3[[#This Row],[PRECIO DE PRODUCCIÓN POR UND]]+LISTPROD3[[#This Row],[TOTAL GASTOS VARIOS]]</f>
        <v>4945.726600358671</v>
      </c>
      <c r="M75" s="492">
        <f>'RECETAS JARABES'!$G$1821</f>
        <v>3273.3871084973302</v>
      </c>
      <c r="N75" s="493">
        <f>'RECETAS JARABES'!$H$1821</f>
        <v>0.59</v>
      </c>
      <c r="O75" s="565">
        <f>'RECETAS JARABES'!$G$1822</f>
        <v>8821.5008517131446</v>
      </c>
      <c r="P75" s="385">
        <v>6000</v>
      </c>
      <c r="Q75" s="440">
        <f>(LISTPROD3[[#This Row],[PRECIO DE VENTA 1]]-LISTPROD3[[#This Row],[COSTO TOTAL UNIDAD]])/LISTPROD3[[#This Row],[COSTO TOTAL UNIDAD]]</f>
        <v>0.21316855637852516</v>
      </c>
      <c r="R75" s="429">
        <f>LISTPROD3[[#This Row],[% GANANCIA]]*LISTPROD3[[#This Row],[COSTO TOTAL UNIDAD]]</f>
        <v>1054.273399641329</v>
      </c>
      <c r="S75" s="391">
        <f>+LISTPROD3[[#This Row],[PRECIO DE VENTA 1]]-LISTPROD3[[#This Row],[PRECIO VENTA POR RECETA]]</f>
        <v>-2821.5008517131446</v>
      </c>
      <c r="T75" s="429">
        <v>5000</v>
      </c>
      <c r="U75" s="511">
        <f>(LISTPROD3[[#This Row],[PRECIO DE VENTA2]]-LISTPROD3[[#This Row],[COSTO TOTAL UNIDAD]])/LISTPROD3[[#This Row],[COSTO TOTAL UNIDAD]]</f>
        <v>1.0973796982104307E-2</v>
      </c>
      <c r="V75" s="429">
        <f>+LISTPROD3[[#This Row],[% GANANCIA2]]*LISTPROD3[[#This Row],[COSTO TOTAL UNIDAD]]</f>
        <v>54.273399641328979</v>
      </c>
      <c r="W75" s="391">
        <f>LISTPROD3[[#This Row],[PRECIO DE VENTA2]]-LISTPROD3[[#This Row],[PRECIO VENTA POR RECETA]]</f>
        <v>-3821.5008517131446</v>
      </c>
      <c r="X75" s="429">
        <v>5000</v>
      </c>
      <c r="Y75" s="511">
        <f>(LISTPROD3[[#This Row],[PRECIO DE VENTA 3]]-LISTPROD3[[#This Row],[COSTO TOTAL UNIDAD]])/LISTPROD3[[#This Row],[COSTO TOTAL UNIDAD]]</f>
        <v>1.0973796982104307E-2</v>
      </c>
      <c r="Z75" s="429">
        <f>LISTPROD3[[#This Row],[% GANANCIA3]]*LISTPROD3[[#This Row],[COSTO TOTAL UNIDAD]]</f>
        <v>54.273399641328979</v>
      </c>
      <c r="AA75" s="391"/>
      <c r="AB75" s="391"/>
      <c r="AC75" s="45">
        <v>6000</v>
      </c>
      <c r="AD75" s="45">
        <v>5000</v>
      </c>
      <c r="AE75" s="45">
        <v>5000</v>
      </c>
      <c r="AF75" s="45">
        <v>5000</v>
      </c>
      <c r="AG75" s="66"/>
      <c r="AH75" t="s">
        <v>304</v>
      </c>
    </row>
    <row r="76" spans="1:34" s="275" customFormat="1" ht="15.75" customHeight="1" x14ac:dyDescent="0.25">
      <c r="A76" s="461" t="s">
        <v>197</v>
      </c>
      <c r="B76" s="383" t="s">
        <v>198</v>
      </c>
      <c r="C76" s="556" t="s">
        <v>464</v>
      </c>
      <c r="D76" s="462" t="s">
        <v>654</v>
      </c>
      <c r="E76" s="463" t="s">
        <v>642</v>
      </c>
      <c r="F76" s="327" t="s">
        <v>655</v>
      </c>
      <c r="G76" s="423" t="s">
        <v>487</v>
      </c>
      <c r="H76" s="464"/>
      <c r="I76" s="494" t="s">
        <v>74</v>
      </c>
      <c r="J76" s="482" t="s">
        <v>665</v>
      </c>
      <c r="K76" s="441">
        <f>'Gtos Varios'!$B$22</f>
        <v>3070.542857142857</v>
      </c>
      <c r="L76" s="441" t="e">
        <f>+LISTPROD3[[#This Row],[PRECIO DE PRODUCCIÓN POR UND]]+LISTPROD3[[#This Row],[TOTAL GASTOS VARIOS]]</f>
        <v>#VALUE!</v>
      </c>
      <c r="M76" s="495">
        <f>'RECETAS JARABES'!G1857</f>
        <v>3386.6192468985055</v>
      </c>
      <c r="N76" s="518">
        <f>'RECETAS JARABES'!H1857</f>
        <v>0.57999999999999996</v>
      </c>
      <c r="O76" s="561">
        <f>'RECETAS JARABES'!G1858</f>
        <v>9225.6179484476525</v>
      </c>
      <c r="P76" s="467">
        <v>6000</v>
      </c>
      <c r="Q76" s="440" t="e">
        <f>(LISTPROD3[[#This Row],[PRECIO DE VENTA 1]]-LISTPROD3[[#This Row],[COSTO TOTAL UNIDAD]])/LISTPROD3[[#This Row],[COSTO TOTAL UNIDAD]]</f>
        <v>#VALUE!</v>
      </c>
      <c r="R76" s="429" t="e">
        <f>LISTPROD3[[#This Row],[% GANANCIA]]*LISTPROD3[[#This Row],[COSTO TOTAL UNIDAD]]</f>
        <v>#VALUE!</v>
      </c>
      <c r="S76" s="469">
        <f>+LISTPROD3[[#This Row],[PRECIO DE VENTA 1]]-LISTPROD3[[#This Row],[PRECIO VENTA POR RECETA]]</f>
        <v>-3225.6179484476525</v>
      </c>
      <c r="T76" s="468">
        <v>5000</v>
      </c>
      <c r="U76" s="440" t="e">
        <f>(LISTPROD3[[#This Row],[PRECIO DE VENTA2]]-LISTPROD3[[#This Row],[COSTO TOTAL UNIDAD]])/LISTPROD3[[#This Row],[COSTO TOTAL UNIDAD]]</f>
        <v>#VALUE!</v>
      </c>
      <c r="V76" s="429" t="e">
        <f>+LISTPROD3[[#This Row],[% GANANCIA2]]*LISTPROD3[[#This Row],[COSTO TOTAL UNIDAD]]</f>
        <v>#VALUE!</v>
      </c>
      <c r="W76" s="469">
        <f>LISTPROD3[[#This Row],[PRECIO DE VENTA2]]-LISTPROD3[[#This Row],[PRECIO VENTA POR RECETA]]</f>
        <v>-4225.6179484476525</v>
      </c>
      <c r="X76" s="468">
        <v>5000</v>
      </c>
      <c r="Y76" s="511" t="e">
        <f>(LISTPROD3[[#This Row],[PRECIO DE VENTA 3]]-LISTPROD3[[#This Row],[COSTO TOTAL UNIDAD]])/LISTPROD3[[#This Row],[COSTO TOTAL UNIDAD]]</f>
        <v>#VALUE!</v>
      </c>
      <c r="Z76" s="429" t="e">
        <f>LISTPROD3[[#This Row],[% GANANCIA3]]*LISTPROD3[[#This Row],[COSTO TOTAL UNIDAD]]</f>
        <v>#VALUE!</v>
      </c>
      <c r="AA76" s="469"/>
      <c r="AB76" s="391"/>
      <c r="AC76" s="470">
        <v>6000</v>
      </c>
      <c r="AD76" s="470">
        <v>5000</v>
      </c>
      <c r="AE76" s="470">
        <v>5000</v>
      </c>
      <c r="AF76" s="470">
        <v>5000</v>
      </c>
      <c r="AG76" s="471"/>
      <c r="AH76" s="275" t="s">
        <v>304</v>
      </c>
    </row>
    <row r="77" spans="1:34" ht="15.75" customHeight="1" x14ac:dyDescent="0.25">
      <c r="A77" s="44" t="s">
        <v>199</v>
      </c>
      <c r="B77" s="19" t="s">
        <v>200</v>
      </c>
      <c r="C77" s="554" t="s">
        <v>464</v>
      </c>
      <c r="D77" s="331" t="s">
        <v>654</v>
      </c>
      <c r="E77" s="539" t="s">
        <v>642</v>
      </c>
      <c r="F77" s="164" t="s">
        <v>655</v>
      </c>
      <c r="G77" s="370" t="s">
        <v>487</v>
      </c>
      <c r="H77" s="169"/>
      <c r="I77" s="187" t="s">
        <v>74</v>
      </c>
      <c r="J77" s="443">
        <f>'RECETAS JARABES'!G1887</f>
        <v>2085.0595799300995</v>
      </c>
      <c r="K77" s="443">
        <f>'Gtos Varios'!$B$22</f>
        <v>3070.542857142857</v>
      </c>
      <c r="L77" s="443">
        <f>+LISTPROD3[[#This Row],[PRECIO DE PRODUCCIÓN POR UND]]+LISTPROD3[[#This Row],[TOTAL GASTOS VARIOS]]</f>
        <v>5155.6024370729565</v>
      </c>
      <c r="M77" s="407">
        <f>'RECETAS JARABES'!G1892</f>
        <v>3397.2138521587585</v>
      </c>
      <c r="N77" s="517">
        <f>'RECETAS JARABES'!H1892</f>
        <v>0.59</v>
      </c>
      <c r="O77" s="560">
        <f>'RECETAS JARABES'!G1893</f>
        <v>9155.2034320888579</v>
      </c>
      <c r="P77" s="385">
        <v>6000</v>
      </c>
      <c r="Q77" s="440">
        <f>(LISTPROD3[[#This Row],[PRECIO DE VENTA 1]]-LISTPROD3[[#This Row],[COSTO TOTAL UNIDAD]])/LISTPROD3[[#This Row],[COSTO TOTAL UNIDAD]]</f>
        <v>0.16378252071089525</v>
      </c>
      <c r="R77" s="429">
        <f>LISTPROD3[[#This Row],[% GANANCIA]]*LISTPROD3[[#This Row],[COSTO TOTAL UNIDAD]]</f>
        <v>844.39756292704351</v>
      </c>
      <c r="S77" s="391">
        <f>+LISTPROD3[[#This Row],[PRECIO DE VENTA 1]]-LISTPROD3[[#This Row],[PRECIO VENTA POR RECETA]]</f>
        <v>-3155.2034320888579</v>
      </c>
      <c r="T77" s="429">
        <v>5000</v>
      </c>
      <c r="U77" s="511">
        <f>(LISTPROD3[[#This Row],[PRECIO DE VENTA2]]-LISTPROD3[[#This Row],[COSTO TOTAL UNIDAD]])/LISTPROD3[[#This Row],[COSTO TOTAL UNIDAD]]</f>
        <v>-3.0181232740920626E-2</v>
      </c>
      <c r="V77" s="429">
        <f>+LISTPROD3[[#This Row],[% GANANCIA2]]*LISTPROD3[[#This Row],[COSTO TOTAL UNIDAD]]</f>
        <v>-155.60243707295649</v>
      </c>
      <c r="W77" s="391">
        <f>LISTPROD3[[#This Row],[PRECIO DE VENTA2]]-LISTPROD3[[#This Row],[PRECIO VENTA POR RECETA]]</f>
        <v>-4155.2034320888579</v>
      </c>
      <c r="X77" s="429">
        <v>5000</v>
      </c>
      <c r="Y77" s="511">
        <f>(LISTPROD3[[#This Row],[PRECIO DE VENTA 3]]-LISTPROD3[[#This Row],[COSTO TOTAL UNIDAD]])/LISTPROD3[[#This Row],[COSTO TOTAL UNIDAD]]</f>
        <v>-3.0181232740920626E-2</v>
      </c>
      <c r="Z77" s="429">
        <f>LISTPROD3[[#This Row],[% GANANCIA3]]*LISTPROD3[[#This Row],[COSTO TOTAL UNIDAD]]</f>
        <v>-155.60243707295649</v>
      </c>
      <c r="AA77" s="391"/>
      <c r="AB77" s="391"/>
      <c r="AC77" s="45">
        <v>6000</v>
      </c>
      <c r="AD77" s="45">
        <v>5000</v>
      </c>
      <c r="AE77" s="45">
        <v>5000</v>
      </c>
      <c r="AF77" s="45">
        <v>5000</v>
      </c>
      <c r="AG77" s="40"/>
      <c r="AH77" t="s">
        <v>304</v>
      </c>
    </row>
    <row r="78" spans="1:34" ht="15.75" customHeight="1" x14ac:dyDescent="0.25">
      <c r="A78" s="46" t="s">
        <v>201</v>
      </c>
      <c r="B78" s="47" t="s">
        <v>202</v>
      </c>
      <c r="C78" s="554" t="s">
        <v>464</v>
      </c>
      <c r="D78" s="331" t="s">
        <v>654</v>
      </c>
      <c r="E78" s="539" t="s">
        <v>642</v>
      </c>
      <c r="F78" s="164" t="s">
        <v>655</v>
      </c>
      <c r="G78" s="370" t="s">
        <v>487</v>
      </c>
      <c r="H78" s="169"/>
      <c r="I78" s="188" t="s">
        <v>74</v>
      </c>
      <c r="J78" s="443">
        <f>'RECETAS JARABES'!G1922</f>
        <v>2085.0595799300995</v>
      </c>
      <c r="K78" s="443">
        <f>'Gtos Varios'!$B$22</f>
        <v>3070.542857142857</v>
      </c>
      <c r="L78" s="443">
        <f>+LISTPROD3[[#This Row],[PRECIO DE PRODUCCIÓN POR UND]]+LISTPROD3[[#This Row],[TOTAL GASTOS VARIOS]]</f>
        <v>5155.6024370729565</v>
      </c>
      <c r="M78" s="408">
        <f>'RECETAS JARABES'!G1927</f>
        <v>3397.2138521587585</v>
      </c>
      <c r="N78" s="517">
        <f>'RECETAS JARABES'!H1927</f>
        <v>0.59</v>
      </c>
      <c r="O78" s="560">
        <f>'RECETAS JARABES'!G1928</f>
        <v>9155.2034320888579</v>
      </c>
      <c r="P78" s="385">
        <v>6000</v>
      </c>
      <c r="Q78" s="440">
        <f>(LISTPROD3[[#This Row],[PRECIO DE VENTA 1]]-LISTPROD3[[#This Row],[COSTO TOTAL UNIDAD]])/LISTPROD3[[#This Row],[COSTO TOTAL UNIDAD]]</f>
        <v>0.16378252071089525</v>
      </c>
      <c r="R78" s="429">
        <f>LISTPROD3[[#This Row],[% GANANCIA]]*LISTPROD3[[#This Row],[COSTO TOTAL UNIDAD]]</f>
        <v>844.39756292704351</v>
      </c>
      <c r="S78" s="391">
        <f>+LISTPROD3[[#This Row],[PRECIO DE VENTA 1]]-LISTPROD3[[#This Row],[PRECIO VENTA POR RECETA]]</f>
        <v>-3155.2034320888579</v>
      </c>
      <c r="T78" s="429">
        <v>5000</v>
      </c>
      <c r="U78" s="511">
        <f>(LISTPROD3[[#This Row],[PRECIO DE VENTA2]]-LISTPROD3[[#This Row],[COSTO TOTAL UNIDAD]])/LISTPROD3[[#This Row],[COSTO TOTAL UNIDAD]]</f>
        <v>-3.0181232740920626E-2</v>
      </c>
      <c r="V78" s="429">
        <f>+LISTPROD3[[#This Row],[% GANANCIA2]]*LISTPROD3[[#This Row],[COSTO TOTAL UNIDAD]]</f>
        <v>-155.60243707295649</v>
      </c>
      <c r="W78" s="391">
        <f>LISTPROD3[[#This Row],[PRECIO DE VENTA2]]-LISTPROD3[[#This Row],[PRECIO VENTA POR RECETA]]</f>
        <v>-4155.2034320888579</v>
      </c>
      <c r="X78" s="429">
        <v>5000</v>
      </c>
      <c r="Y78" s="511">
        <f>(LISTPROD3[[#This Row],[PRECIO DE VENTA 3]]-LISTPROD3[[#This Row],[COSTO TOTAL UNIDAD]])/LISTPROD3[[#This Row],[COSTO TOTAL UNIDAD]]</f>
        <v>-3.0181232740920626E-2</v>
      </c>
      <c r="Z78" s="429">
        <f>LISTPROD3[[#This Row],[% GANANCIA3]]*LISTPROD3[[#This Row],[COSTO TOTAL UNIDAD]]</f>
        <v>-155.60243707295649</v>
      </c>
      <c r="AA78" s="391"/>
      <c r="AB78" s="391"/>
      <c r="AC78" s="43">
        <v>6000</v>
      </c>
      <c r="AD78" s="43">
        <v>5000</v>
      </c>
      <c r="AE78" s="43">
        <v>5000</v>
      </c>
      <c r="AF78" s="43">
        <v>5000</v>
      </c>
      <c r="AG78" s="48"/>
      <c r="AH78" t="s">
        <v>304</v>
      </c>
    </row>
    <row r="79" spans="1:34" ht="30.75" customHeight="1" x14ac:dyDescent="0.25">
      <c r="A79" s="44" t="s">
        <v>203</v>
      </c>
      <c r="B79" s="19" t="s">
        <v>204</v>
      </c>
      <c r="C79" s="240" t="s">
        <v>780</v>
      </c>
      <c r="D79" s="337" t="s">
        <v>654</v>
      </c>
      <c r="E79" s="329" t="s">
        <v>611</v>
      </c>
      <c r="F79" s="240" t="s">
        <v>673</v>
      </c>
      <c r="G79" s="551"/>
      <c r="H79" s="159"/>
      <c r="I79" s="187" t="s">
        <v>74</v>
      </c>
      <c r="J79" s="478">
        <f>'RECETAS PASTILLAS'!AC16</f>
        <v>4900</v>
      </c>
      <c r="K79" s="443">
        <f>'Gtos Varios'!$B$22</f>
        <v>3070.542857142857</v>
      </c>
      <c r="L79" s="491">
        <f>+LISTPROD3[[#This Row],[TOTAL GASTOS VARIOS]]+LISTPROD3[[#This Row],[PRECIO DE PRODUCCIÓN POR UND]]</f>
        <v>7970.5428571428565</v>
      </c>
      <c r="M79" s="407">
        <f>'RECETAS PASTILLAS'!AC21</f>
        <v>3257.7134000000001</v>
      </c>
      <c r="N79" s="517">
        <f>'RECETAS PASTILLAS'!AD21</f>
        <v>0.38</v>
      </c>
      <c r="O79" s="560">
        <f>'RECETAS PASTILLAS'!AC22</f>
        <v>11830.643400000001</v>
      </c>
      <c r="P79" s="385"/>
      <c r="Q79" s="440"/>
      <c r="R79" s="429"/>
      <c r="S79" s="392"/>
      <c r="T79" s="385">
        <v>6000</v>
      </c>
      <c r="U79" s="511">
        <f>(LISTPROD3[[#This Row],[PRECIO DE VENTA2]]-LISTPROD3[[#This Row],[COSTO TOTAL UNIDAD]])/LISTPROD3[[#This Row],[COSTO TOTAL UNIDAD]]</f>
        <v>-0.24722818664439411</v>
      </c>
      <c r="V79" s="360">
        <f>LISTPROD3[[#This Row],[PRECIO DE VENTA2]]*LISTPROD3[[#This Row],[% GANANCIA2]]</f>
        <v>-1483.3691198663646</v>
      </c>
      <c r="W79" s="391"/>
      <c r="X79" s="385">
        <v>8000</v>
      </c>
      <c r="Y79" s="511">
        <f>(LISTPROD3[[#This Row],[PRECIO DE VENTA 3]]-LISTPROD3[[#This Row],[COSTO TOTAL UNIDAD]])/LISTPROD3[[#This Row],[COSTO TOTAL UNIDAD]]</f>
        <v>3.6957511408078386E-3</v>
      </c>
      <c r="Z79" s="360">
        <f>+LISTPROD3[[#This Row],[PRECIO DE VENTA 3]]*LISTPROD3[[#This Row],[% GANANCIA3]]</f>
        <v>29.56600912646271</v>
      </c>
      <c r="AA79" s="392"/>
      <c r="AB79" s="392"/>
      <c r="AC79" s="45">
        <v>0</v>
      </c>
      <c r="AD79" s="45">
        <v>6000</v>
      </c>
      <c r="AE79" s="45">
        <v>8000</v>
      </c>
      <c r="AF79" s="45">
        <v>8000</v>
      </c>
      <c r="AG79" s="40"/>
      <c r="AH79" s="12" t="s">
        <v>305</v>
      </c>
    </row>
    <row r="80" spans="1:34" x14ac:dyDescent="0.25">
      <c r="A80" s="50" t="s">
        <v>205</v>
      </c>
      <c r="B80" s="51" t="s">
        <v>206</v>
      </c>
      <c r="C80" s="373" t="s">
        <v>469</v>
      </c>
      <c r="D80" s="336" t="s">
        <v>654</v>
      </c>
      <c r="E80" s="341"/>
      <c r="F80" s="159"/>
      <c r="G80" s="373"/>
      <c r="H80" s="159"/>
      <c r="I80" s="188" t="s">
        <v>73</v>
      </c>
      <c r="J80" s="347"/>
      <c r="K80" s="347"/>
      <c r="L80" s="347"/>
      <c r="M80" s="408"/>
      <c r="N80" s="517"/>
      <c r="O80" s="560"/>
      <c r="P80" s="385">
        <v>6000</v>
      </c>
      <c r="Q80" s="440" t="e">
        <f>(LISTPROD3[[#This Row],[PRECIO DE VENTA 1]]-LISTPROD3[[#This Row],[COSTO TOTAL UNIDAD]])/LISTPROD3[[#This Row],[COSTO TOTAL UNIDAD]]</f>
        <v>#DIV/0!</v>
      </c>
      <c r="R80" s="429" t="e">
        <f>LISTPROD3[[#This Row],[% GANANCIA]]*LISTPROD3[[#This Row],[COSTO TOTAL UNIDAD]]</f>
        <v>#DIV/0!</v>
      </c>
      <c r="S80" s="394"/>
      <c r="T80" s="385">
        <v>5000</v>
      </c>
      <c r="U80" s="440" t="e">
        <f>(LISTPROD3[[#This Row],[PRECIO DE VENTA2]]-LISTPROD3[[#This Row],[COSTO TOTAL UNIDAD]])/LISTPROD3[[#This Row],[COSTO TOTAL UNIDAD]]</f>
        <v>#DIV/0!</v>
      </c>
      <c r="V80" s="429" t="e">
        <f>LISTPROD3[[#This Row],[PRECIO DE VENTA2]]*LISTPROD3[[#This Row],[% GANANCIA2]]</f>
        <v>#DIV/0!</v>
      </c>
      <c r="W80" s="391">
        <f>LISTPROD3[[#This Row],[PRECIO DE VENTA2]]-LISTPROD3[[#This Row],[PRECIO VENTA POR RECETA]]</f>
        <v>5000</v>
      </c>
      <c r="X80" s="385">
        <v>5000</v>
      </c>
      <c r="Y80" s="511" t="e">
        <f>(LISTPROD3[[#This Row],[PRECIO DE VENTA 3]]-LISTPROD3[[#This Row],[COSTO TOTAL UNIDAD]])/LISTPROD3[[#This Row],[COSTO TOTAL UNIDAD]]</f>
        <v>#DIV/0!</v>
      </c>
      <c r="Z80" s="429" t="e">
        <f>LISTPROD3[[#This Row],[% GANANCIA3]]*LISTPROD3[[#This Row],[COSTO TOTAL UNIDAD]]</f>
        <v>#DIV/0!</v>
      </c>
      <c r="AA80" s="394"/>
      <c r="AB80" s="394"/>
      <c r="AC80" s="43">
        <v>6000</v>
      </c>
      <c r="AD80" s="43">
        <v>5000</v>
      </c>
      <c r="AE80" s="43">
        <v>5000</v>
      </c>
      <c r="AF80" s="43">
        <v>5000</v>
      </c>
      <c r="AG80" s="48"/>
      <c r="AH80" s="11" t="s">
        <v>544</v>
      </c>
    </row>
    <row r="81" spans="1:34" x14ac:dyDescent="0.25">
      <c r="A81" s="44" t="s">
        <v>207</v>
      </c>
      <c r="B81" s="19" t="s">
        <v>208</v>
      </c>
      <c r="C81" s="554" t="s">
        <v>465</v>
      </c>
      <c r="D81" s="331" t="s">
        <v>654</v>
      </c>
      <c r="E81" s="539" t="s">
        <v>642</v>
      </c>
      <c r="F81" s="164" t="s">
        <v>656</v>
      </c>
      <c r="G81" s="370" t="s">
        <v>491</v>
      </c>
      <c r="H81" s="169"/>
      <c r="I81" s="187" t="s">
        <v>73</v>
      </c>
      <c r="J81" s="443">
        <f>'RECETAS JARABES'!G1953</f>
        <v>2108.2250461392819</v>
      </c>
      <c r="K81" s="443">
        <f>'Gtos Varios'!$B$22</f>
        <v>3070.542857142857</v>
      </c>
      <c r="L81" s="443">
        <f>+LISTPROD3[[#This Row],[PRECIO DE PRODUCCIÓN POR UND]]+LISTPROD3[[#This Row],[TOTAL GASTOS VARIOS]]</f>
        <v>5178.7679032821388</v>
      </c>
      <c r="M81" s="407">
        <f>'RECETAS JARABES'!G1958</f>
        <v>3353.0699267607833</v>
      </c>
      <c r="N81" s="517">
        <f>'RECETAS JARABES'!H1958</f>
        <v>0.57999999999999996</v>
      </c>
      <c r="O81" s="560">
        <f>'RECETAS JARABES'!G1959</f>
        <v>9134.224972900065</v>
      </c>
      <c r="P81" s="385">
        <v>7500</v>
      </c>
      <c r="Q81" s="440">
        <f>(LISTPROD3[[#This Row],[PRECIO DE VENTA 1]]-LISTPROD3[[#This Row],[COSTO TOTAL UNIDAD]])/LISTPROD3[[#This Row],[COSTO TOTAL UNIDAD]]</f>
        <v>0.44822091664828961</v>
      </c>
      <c r="R81" s="429">
        <f>LISTPROD3[[#This Row],[% GANANCIA]]*LISTPROD3[[#This Row],[COSTO TOTAL UNIDAD]]</f>
        <v>2321.2320967178612</v>
      </c>
      <c r="S81" s="391">
        <f>+LISTPROD3[[#This Row],[PRECIO DE VENTA 1]]-LISTPROD3[[#This Row],[PRECIO VENTA POR RECETA]]</f>
        <v>-1634.224972900065</v>
      </c>
      <c r="T81" s="429"/>
      <c r="U81" s="440"/>
      <c r="V81" s="429"/>
      <c r="W81" s="391"/>
      <c r="X81" s="429"/>
      <c r="Y81" s="511"/>
      <c r="Z81" s="429"/>
      <c r="AA81" s="391"/>
      <c r="AB81" s="391"/>
      <c r="AC81" s="45">
        <v>7500</v>
      </c>
      <c r="AD81" s="45">
        <v>0</v>
      </c>
      <c r="AE81" s="45">
        <v>0</v>
      </c>
      <c r="AF81" s="45">
        <v>0</v>
      </c>
      <c r="AG81" s="40"/>
      <c r="AH81" t="s">
        <v>304</v>
      </c>
    </row>
    <row r="82" spans="1:34" x14ac:dyDescent="0.25">
      <c r="A82" s="50" t="s">
        <v>209</v>
      </c>
      <c r="B82" s="51" t="s">
        <v>210</v>
      </c>
      <c r="C82" s="554" t="s">
        <v>465</v>
      </c>
      <c r="D82" s="331" t="s">
        <v>654</v>
      </c>
      <c r="E82" s="539" t="s">
        <v>642</v>
      </c>
      <c r="F82" s="164" t="s">
        <v>656</v>
      </c>
      <c r="G82" s="370" t="s">
        <v>491</v>
      </c>
      <c r="H82" s="169"/>
      <c r="I82" s="188" t="s">
        <v>73</v>
      </c>
      <c r="J82" s="443">
        <f>'RECETAS JARABES'!G1982</f>
        <v>2056.7813461392816</v>
      </c>
      <c r="K82" s="443">
        <f>'Gtos Varios'!$B$22</f>
        <v>3070.542857142857</v>
      </c>
      <c r="L82" s="443">
        <f>+LISTPROD3[[#This Row],[PRECIO DE PRODUCCIÓN POR UND]]+LISTPROD3[[#This Row],[TOTAL GASTOS VARIOS]]</f>
        <v>5127.3242032821381</v>
      </c>
      <c r="M82" s="408">
        <f>'RECETAS JARABES'!$G$1985</f>
        <v>3380.5296942221762</v>
      </c>
      <c r="N82" s="517">
        <f>'RECETAS JARABES'!$H$1985</f>
        <v>0.59</v>
      </c>
      <c r="O82" s="560">
        <f>'RECETAS JARABES'!$G$1986</f>
        <v>9110.2410403614576</v>
      </c>
      <c r="P82" s="385">
        <v>7500</v>
      </c>
      <c r="Q82" s="440">
        <f>(LISTPROD3[[#This Row],[PRECIO DE VENTA 1]]-LISTPROD3[[#This Row],[COSTO TOTAL UNIDAD]])/LISTPROD3[[#This Row],[COSTO TOTAL UNIDAD]]</f>
        <v>0.46275127194005955</v>
      </c>
      <c r="R82" s="429">
        <f>LISTPROD3[[#This Row],[% GANANCIA]]*LISTPROD3[[#This Row],[COSTO TOTAL UNIDAD]]</f>
        <v>2372.6757967178619</v>
      </c>
      <c r="S82" s="391">
        <f>+LISTPROD3[[#This Row],[PRECIO DE VENTA 1]]-LISTPROD3[[#This Row],[PRECIO VENTA POR RECETA]]</f>
        <v>-1610.2410403614576</v>
      </c>
      <c r="T82" s="429"/>
      <c r="U82" s="440"/>
      <c r="V82" s="429"/>
      <c r="W82" s="391"/>
      <c r="X82" s="429"/>
      <c r="Y82" s="511"/>
      <c r="Z82" s="429"/>
      <c r="AA82" s="391"/>
      <c r="AB82" s="391"/>
      <c r="AC82" s="43">
        <v>7500</v>
      </c>
      <c r="AD82" s="43">
        <v>0</v>
      </c>
      <c r="AE82" s="43">
        <v>0</v>
      </c>
      <c r="AF82" s="43">
        <v>0</v>
      </c>
      <c r="AG82" s="48"/>
      <c r="AH82" t="s">
        <v>304</v>
      </c>
    </row>
    <row r="83" spans="1:34" ht="15.75" customHeight="1" x14ac:dyDescent="0.25">
      <c r="A83" s="44" t="s">
        <v>211</v>
      </c>
      <c r="B83" s="19" t="s">
        <v>212</v>
      </c>
      <c r="C83" s="554" t="s">
        <v>464</v>
      </c>
      <c r="D83" s="331" t="s">
        <v>654</v>
      </c>
      <c r="E83" s="539" t="s">
        <v>642</v>
      </c>
      <c r="F83" s="164" t="s">
        <v>655</v>
      </c>
      <c r="G83" s="370" t="s">
        <v>487</v>
      </c>
      <c r="H83" s="169"/>
      <c r="I83" s="187" t="s">
        <v>74</v>
      </c>
      <c r="J83" s="443">
        <f>'RECETAS JARABES'!G2016</f>
        <v>2155.183743215814</v>
      </c>
      <c r="K83" s="443">
        <f>'Gtos Varios'!$B$22</f>
        <v>3070.542857142857</v>
      </c>
      <c r="L83" s="443">
        <f>+LISTPROD3[[#This Row],[PRECIO DE PRODUCCIÓN POR UND]]+LISTPROD3[[#This Row],[TOTAL GASTOS VARIOS]]</f>
        <v>5225.726600358671</v>
      </c>
      <c r="M83" s="407">
        <f>'RECETAS JARABES'!$G$2021</f>
        <v>3380.3059710651719</v>
      </c>
      <c r="N83" s="517">
        <f>'RECETAS JARABES'!$H$2021</f>
        <v>0.57999999999999996</v>
      </c>
      <c r="O83" s="560">
        <f>'RECETAS JARABES'!$G$2022</f>
        <v>9208.4197142809862</v>
      </c>
      <c r="P83" s="385">
        <v>6000</v>
      </c>
      <c r="Q83" s="440">
        <f>(LISTPROD3[[#This Row],[PRECIO DE VENTA 1]]-LISTPROD3[[#This Row],[COSTO TOTAL UNIDAD]])/LISTPROD3[[#This Row],[COSTO TOTAL UNIDAD]]</f>
        <v>0.14816569232462071</v>
      </c>
      <c r="R83" s="429">
        <f>LISTPROD3[[#This Row],[% GANANCIA]]*LISTPROD3[[#This Row],[COSTO TOTAL UNIDAD]]</f>
        <v>774.27339964132898</v>
      </c>
      <c r="S83" s="391">
        <f>+LISTPROD3[[#This Row],[PRECIO DE VENTA 1]]-LISTPROD3[[#This Row],[PRECIO VENTA POR RECETA]]</f>
        <v>-3208.4197142809862</v>
      </c>
      <c r="T83" s="429">
        <v>5000</v>
      </c>
      <c r="U83" s="511">
        <f>(LISTPROD3[[#This Row],[PRECIO DE VENTA2]]-LISTPROD3[[#This Row],[COSTO TOTAL UNIDAD]])/LISTPROD3[[#This Row],[COSTO TOTAL UNIDAD]]</f>
        <v>-4.3195256396149413E-2</v>
      </c>
      <c r="V83" s="429">
        <f>+LISTPROD3[[#This Row],[% GANANCIA2]]*LISTPROD3[[#This Row],[COSTO TOTAL UNIDAD]]</f>
        <v>-225.72660035867102</v>
      </c>
      <c r="W83" s="391">
        <f>LISTPROD3[[#This Row],[PRECIO DE VENTA2]]-LISTPROD3[[#This Row],[PRECIO VENTA POR RECETA]]</f>
        <v>-4208.4197142809862</v>
      </c>
      <c r="X83" s="429">
        <v>5000</v>
      </c>
      <c r="Y83" s="511">
        <f>(LISTPROD3[[#This Row],[PRECIO DE VENTA 3]]-LISTPROD3[[#This Row],[COSTO TOTAL UNIDAD]])/LISTPROD3[[#This Row],[COSTO TOTAL UNIDAD]]</f>
        <v>-4.3195256396149413E-2</v>
      </c>
      <c r="Z83" s="429">
        <f>LISTPROD3[[#This Row],[% GANANCIA3]]*LISTPROD3[[#This Row],[COSTO TOTAL UNIDAD]]</f>
        <v>-225.72660035867102</v>
      </c>
      <c r="AA83" s="391"/>
      <c r="AB83" s="391"/>
      <c r="AC83" s="45">
        <v>6000</v>
      </c>
      <c r="AD83" s="45">
        <v>5000</v>
      </c>
      <c r="AE83" s="45">
        <v>5000</v>
      </c>
      <c r="AF83" s="45">
        <v>5000</v>
      </c>
      <c r="AG83" s="40"/>
      <c r="AH83" t="s">
        <v>304</v>
      </c>
    </row>
    <row r="84" spans="1:34" ht="15.75" customHeight="1" x14ac:dyDescent="0.25">
      <c r="A84" s="50" t="s">
        <v>213</v>
      </c>
      <c r="B84" s="259" t="s">
        <v>476</v>
      </c>
      <c r="C84" s="549" t="s">
        <v>663</v>
      </c>
      <c r="D84" s="332" t="s">
        <v>654</v>
      </c>
      <c r="E84" s="329" t="s">
        <v>644</v>
      </c>
      <c r="F84" s="9" t="s">
        <v>663</v>
      </c>
      <c r="G84" s="372"/>
      <c r="H84" s="159"/>
      <c r="I84" s="188" t="s">
        <v>74</v>
      </c>
      <c r="J84" s="445" t="s">
        <v>779</v>
      </c>
      <c r="K84" s="346">
        <f>'Gtos Varios'!$B$22</f>
        <v>3070.542857142857</v>
      </c>
      <c r="L84" s="346" t="e">
        <f>+LISTPROD3[[#This Row],[TOTAL GASTOS VARIOS]]+LISTPROD3[[#This Row],[PRECIO DE PRODUCCIÓN POR UND]]</f>
        <v>#VALUE!</v>
      </c>
      <c r="M84" s="415">
        <f>'RECETAS GOTAS'!K125</f>
        <v>3238.3158461630001</v>
      </c>
      <c r="N84" s="517">
        <f>'RECETAS GOTAS'!L125</f>
        <v>0.59</v>
      </c>
      <c r="O84" s="560">
        <f>'RECETAS GOTAS'!K126</f>
        <v>8726.9867718630012</v>
      </c>
      <c r="P84" s="385">
        <v>3500</v>
      </c>
      <c r="Q84" s="440" t="e">
        <f>(LISTPROD3[[#This Row],[PRECIO DE VENTA 1]]-LISTPROD3[[#This Row],[COSTO TOTAL UNIDAD]])/LISTPROD3[[#This Row],[COSTO TOTAL UNIDAD]]</f>
        <v>#VALUE!</v>
      </c>
      <c r="R84" s="429" t="e">
        <f>LISTPROD3[[#This Row],[% GANANCIA]]*LISTPROD3[[#This Row],[COSTO TOTAL UNIDAD]]</f>
        <v>#VALUE!</v>
      </c>
      <c r="S84" s="394"/>
      <c r="T84" s="385">
        <v>0</v>
      </c>
      <c r="U84" s="440" t="e">
        <f>(LISTPROD3[[#This Row],[PRECIO DE VENTA2]]-LISTPROD3[[#This Row],[COSTO TOTAL UNIDAD]])/LISTPROD3[[#This Row],[COSTO TOTAL UNIDAD]]</f>
        <v>#VALUE!</v>
      </c>
      <c r="V84" s="429" t="e">
        <f>LISTPROD3[[#This Row],[PRECIO DE VENTA2]]*LISTPROD3[[#This Row],[% GANANCIA2]]</f>
        <v>#VALUE!</v>
      </c>
      <c r="W84" s="391">
        <f>LISTPROD3[[#This Row],[PRECIO DE VENTA2]]-LISTPROD3[[#This Row],[PRECIO VENTA POR RECETA]]</f>
        <v>-8726.9867718630012</v>
      </c>
      <c r="X84" s="385">
        <v>0</v>
      </c>
      <c r="Y84" s="394"/>
      <c r="Z84" s="394"/>
      <c r="AA84" s="394"/>
      <c r="AB84" s="394"/>
      <c r="AC84" s="43">
        <v>3500</v>
      </c>
      <c r="AD84" s="43">
        <v>0</v>
      </c>
      <c r="AE84" s="43">
        <v>0</v>
      </c>
      <c r="AF84" s="43">
        <v>0</v>
      </c>
      <c r="AG84" s="48"/>
      <c r="AH84" s="12" t="s">
        <v>568</v>
      </c>
    </row>
    <row r="85" spans="1:34" s="275" customFormat="1" ht="15.75" customHeight="1" x14ac:dyDescent="0.25">
      <c r="A85" s="472" t="s">
        <v>214</v>
      </c>
      <c r="B85" s="259" t="s">
        <v>215</v>
      </c>
      <c r="C85" s="557" t="s">
        <v>464</v>
      </c>
      <c r="D85" s="462" t="s">
        <v>654</v>
      </c>
      <c r="E85" s="462" t="s">
        <v>642</v>
      </c>
      <c r="F85" s="483" t="s">
        <v>655</v>
      </c>
      <c r="G85" s="496" t="s">
        <v>487</v>
      </c>
      <c r="H85" s="497"/>
      <c r="I85" s="473" t="s">
        <v>74</v>
      </c>
      <c r="J85" s="441" t="s">
        <v>665</v>
      </c>
      <c r="K85" s="441">
        <f>'Gtos Varios'!$B$22</f>
        <v>3070.542857142857</v>
      </c>
      <c r="L85" s="441" t="e">
        <f>+LISTPROD3[[#This Row],[PRECIO DE PRODUCCIÓN POR UND]]+LISTPROD3[[#This Row],[TOTAL GASTOS VARIOS]]</f>
        <v>#VALUE!</v>
      </c>
      <c r="M85" s="474">
        <f>'RECETAS JARABES'!G2058</f>
        <v>3385.0180979318388</v>
      </c>
      <c r="N85" s="518">
        <f>'RECETAS JARABES'!H2058</f>
        <v>0.57999999999999996</v>
      </c>
      <c r="O85" s="561">
        <f>'RECETAS JARABES'!G2059</f>
        <v>9221.2561978143203</v>
      </c>
      <c r="P85" s="467">
        <v>6000</v>
      </c>
      <c r="Q85" s="440" t="e">
        <f>(LISTPROD3[[#This Row],[PRECIO DE VENTA 1]]-LISTPROD3[[#This Row],[COSTO TOTAL UNIDAD]])/LISTPROD3[[#This Row],[COSTO TOTAL UNIDAD]]</f>
        <v>#VALUE!</v>
      </c>
      <c r="R85" s="429" t="e">
        <f>LISTPROD3[[#This Row],[% GANANCIA]]*LISTPROD3[[#This Row],[COSTO TOTAL UNIDAD]]</f>
        <v>#VALUE!</v>
      </c>
      <c r="S85" s="469">
        <f>+LISTPROD3[[#This Row],[PRECIO DE VENTA 1]]-LISTPROD3[[#This Row],[PRECIO VENTA POR RECETA]]</f>
        <v>-3221.2561978143203</v>
      </c>
      <c r="T85" s="468">
        <v>5000</v>
      </c>
      <c r="U85" s="440" t="e">
        <f>(LISTPROD3[[#This Row],[PRECIO DE VENTA2]]-LISTPROD3[[#This Row],[COSTO TOTAL UNIDAD]])/LISTPROD3[[#This Row],[COSTO TOTAL UNIDAD]]</f>
        <v>#VALUE!</v>
      </c>
      <c r="V85" s="429" t="e">
        <f>+LISTPROD3[[#This Row],[% GANANCIA2]]*LISTPROD3[[#This Row],[COSTO TOTAL UNIDAD]]</f>
        <v>#VALUE!</v>
      </c>
      <c r="W85" s="469">
        <f>LISTPROD3[[#This Row],[PRECIO DE VENTA2]]-LISTPROD3[[#This Row],[PRECIO VENTA POR RECETA]]</f>
        <v>-4221.2561978143203</v>
      </c>
      <c r="X85" s="468">
        <v>5000</v>
      </c>
      <c r="Y85" s="511" t="e">
        <f>(LISTPROD3[[#This Row],[PRECIO DE VENTA 3]]-LISTPROD3[[#This Row],[COSTO TOTAL UNIDAD]])/LISTPROD3[[#This Row],[COSTO TOTAL UNIDAD]]</f>
        <v>#VALUE!</v>
      </c>
      <c r="Z85" s="429" t="e">
        <f>LISTPROD3[[#This Row],[% GANANCIA3]]*LISTPROD3[[#This Row],[COSTO TOTAL UNIDAD]]</f>
        <v>#VALUE!</v>
      </c>
      <c r="AA85" s="469"/>
      <c r="AB85" s="391"/>
      <c r="AC85" s="475">
        <v>6000</v>
      </c>
      <c r="AD85" s="475">
        <v>5000</v>
      </c>
      <c r="AE85" s="475">
        <v>5000</v>
      </c>
      <c r="AF85" s="475">
        <v>5000</v>
      </c>
      <c r="AG85" s="72"/>
      <c r="AH85" s="275" t="s">
        <v>304</v>
      </c>
    </row>
    <row r="86" spans="1:34" ht="15.75" customHeight="1" x14ac:dyDescent="0.25">
      <c r="A86" s="50" t="s">
        <v>216</v>
      </c>
      <c r="B86" s="51" t="s">
        <v>217</v>
      </c>
      <c r="C86" s="554" t="s">
        <v>464</v>
      </c>
      <c r="D86" s="331" t="s">
        <v>654</v>
      </c>
      <c r="E86" s="539" t="s">
        <v>642</v>
      </c>
      <c r="F86" s="164" t="s">
        <v>655</v>
      </c>
      <c r="G86" s="424" t="s">
        <v>714</v>
      </c>
      <c r="H86" s="169"/>
      <c r="I86" s="188" t="s">
        <v>74</v>
      </c>
      <c r="J86" s="443">
        <f>'RECETAS JARABES'!G2087</f>
        <v>1611.9901582745738</v>
      </c>
      <c r="K86" s="443">
        <f>'Gtos Varios'!$B$22</f>
        <v>3070.542857142857</v>
      </c>
      <c r="L86" s="443">
        <f>+LISTPROD3[[#This Row],[PRECIO DE PRODUCCIÓN POR UND]]+LISTPROD3[[#This Row],[TOTAL GASTOS VARIOS]]</f>
        <v>4682.5330154174308</v>
      </c>
      <c r="M86" s="408">
        <f>'RECETAS JARABES'!G2092</f>
        <v>3382.348901295727</v>
      </c>
      <c r="N86" s="517">
        <f>'RECETAS JARABES'!H2092</f>
        <v>0.69</v>
      </c>
      <c r="O86" s="560">
        <f>'RECETAS JARABES'!G2093</f>
        <v>8667.2690595703007</v>
      </c>
      <c r="P86" s="429">
        <v>8000</v>
      </c>
      <c r="Q86" s="440">
        <f>(LISTPROD3[[#This Row],[PRECIO DE VENTA 1]]-LISTPROD3[[#This Row],[COSTO TOTAL UNIDAD]])/LISTPROD3[[#This Row],[COSTO TOTAL UNIDAD]]</f>
        <v>0.70847700884535658</v>
      </c>
      <c r="R86" s="429">
        <f>LISTPROD3[[#This Row],[% GANANCIA]]*LISTPROD3[[#This Row],[COSTO TOTAL UNIDAD]]</f>
        <v>3317.4669845825692</v>
      </c>
      <c r="S86" s="391">
        <f>+LISTPROD3[[#This Row],[PRECIO DE VENTA 1]]-LISTPROD3[[#This Row],[PRECIO VENTA POR RECETA]]</f>
        <v>-667.26905957030067</v>
      </c>
      <c r="T86" s="429">
        <v>0</v>
      </c>
      <c r="U86" s="440">
        <f>(LISTPROD3[[#This Row],[PRECIO DE VENTA2]]-LISTPROD3[[#This Row],[COSTO TOTAL UNIDAD]])/LISTPROD3[[#This Row],[COSTO TOTAL UNIDAD]]</f>
        <v>-1</v>
      </c>
      <c r="V86" s="429">
        <f>+LISTPROD3[[#This Row],[% GANANCIA2]]*LISTPROD3[[#This Row],[COSTO TOTAL UNIDAD]]</f>
        <v>-4682.5330154174308</v>
      </c>
      <c r="W86" s="391">
        <f>LISTPROD3[[#This Row],[PRECIO DE VENTA2]]-LISTPROD3[[#This Row],[PRECIO VENTA POR RECETA]]</f>
        <v>-8667.2690595703007</v>
      </c>
      <c r="X86" s="429"/>
      <c r="Y86" s="511"/>
      <c r="Z86" s="429"/>
      <c r="AA86" s="391"/>
      <c r="AB86" s="391"/>
      <c r="AC86" s="43">
        <v>8000</v>
      </c>
      <c r="AD86" s="43">
        <v>0</v>
      </c>
      <c r="AE86" s="43">
        <v>0</v>
      </c>
      <c r="AF86" s="43">
        <v>0</v>
      </c>
      <c r="AG86" s="48"/>
      <c r="AH86" t="s">
        <v>304</v>
      </c>
    </row>
    <row r="87" spans="1:34" ht="15.75" customHeight="1" x14ac:dyDescent="0.25">
      <c r="A87" s="44" t="s">
        <v>218</v>
      </c>
      <c r="B87" s="19" t="s">
        <v>219</v>
      </c>
      <c r="C87" s="554" t="s">
        <v>464</v>
      </c>
      <c r="D87" s="331" t="s">
        <v>654</v>
      </c>
      <c r="E87" s="539" t="s">
        <v>642</v>
      </c>
      <c r="F87" s="164" t="s">
        <v>655</v>
      </c>
      <c r="G87" s="423"/>
      <c r="H87" s="169"/>
      <c r="I87" s="187" t="s">
        <v>74</v>
      </c>
      <c r="J87" s="443">
        <f>'RECETAS JARABES'!G2120</f>
        <v>1404.8669755967667</v>
      </c>
      <c r="K87" s="443">
        <f>'Gtos Varios'!$B$22</f>
        <v>3070.542857142857</v>
      </c>
      <c r="L87" s="443">
        <f>+LISTPROD3[[#This Row],[PRECIO DE PRODUCCIÓN POR UND]]+LISTPROD3[[#This Row],[TOTAL GASTOS VARIOS]]</f>
        <v>4475.4098327396241</v>
      </c>
      <c r="M87" s="407">
        <f>'RECETAS JARABES'!G2125</f>
        <v>3351.3460038938656</v>
      </c>
      <c r="N87" s="517">
        <f>'RECETAS JARABES'!H2125</f>
        <v>0.66</v>
      </c>
      <c r="O87" s="560">
        <f>'RECETAS JARABES'!G2126</f>
        <v>8429.1429794906326</v>
      </c>
      <c r="P87" s="385">
        <v>6000</v>
      </c>
      <c r="Q87" s="440">
        <f>(LISTPROD3[[#This Row],[PRECIO DE VENTA 1]]-LISTPROD3[[#This Row],[COSTO TOTAL UNIDAD]])/LISTPROD3[[#This Row],[COSTO TOTAL UNIDAD]]</f>
        <v>0.3406593416556663</v>
      </c>
      <c r="R87" s="429">
        <f>LISTPROD3[[#This Row],[% GANANCIA]]*LISTPROD3[[#This Row],[COSTO TOTAL UNIDAD]]</f>
        <v>1524.5901672603759</v>
      </c>
      <c r="S87" s="391">
        <f>+LISTPROD3[[#This Row],[PRECIO DE VENTA 1]]-LISTPROD3[[#This Row],[PRECIO VENTA POR RECETA]]</f>
        <v>-2429.1429794906326</v>
      </c>
      <c r="T87" s="429">
        <v>5000</v>
      </c>
      <c r="U87" s="440">
        <f>(LISTPROD3[[#This Row],[PRECIO DE VENTA2]]-LISTPROD3[[#This Row],[COSTO TOTAL UNIDAD]])/LISTPROD3[[#This Row],[COSTO TOTAL UNIDAD]]</f>
        <v>0.11721611804638857</v>
      </c>
      <c r="V87" s="429">
        <f>+LISTPROD3[[#This Row],[% GANANCIA2]]*LISTPROD3[[#This Row],[COSTO TOTAL UNIDAD]]</f>
        <v>524.59016726037589</v>
      </c>
      <c r="W87" s="391">
        <f>LISTPROD3[[#This Row],[PRECIO DE VENTA2]]-LISTPROD3[[#This Row],[PRECIO VENTA POR RECETA]]</f>
        <v>-3429.1429794906326</v>
      </c>
      <c r="X87" s="429">
        <v>5000</v>
      </c>
      <c r="Y87" s="511">
        <f>(LISTPROD3[[#This Row],[PRECIO DE VENTA 3]]-LISTPROD3[[#This Row],[COSTO TOTAL UNIDAD]])/LISTPROD3[[#This Row],[COSTO TOTAL UNIDAD]]</f>
        <v>0.11721611804638857</v>
      </c>
      <c r="Z87" s="429">
        <f>LISTPROD3[[#This Row],[% GANANCIA3]]*LISTPROD3[[#This Row],[COSTO TOTAL UNIDAD]]</f>
        <v>524.59016726037589</v>
      </c>
      <c r="AA87" s="391"/>
      <c r="AB87" s="391"/>
      <c r="AC87" s="45">
        <v>6000</v>
      </c>
      <c r="AD87" s="45">
        <v>5000</v>
      </c>
      <c r="AE87" s="45">
        <v>5000</v>
      </c>
      <c r="AF87" s="45">
        <v>5000</v>
      </c>
      <c r="AG87" s="40"/>
      <c r="AH87" s="12" t="s">
        <v>305</v>
      </c>
    </row>
    <row r="88" spans="1:34" ht="28.5" customHeight="1" x14ac:dyDescent="0.25">
      <c r="A88" s="572" t="s">
        <v>220</v>
      </c>
      <c r="B88" s="569" t="s">
        <v>522</v>
      </c>
      <c r="C88" s="240" t="s">
        <v>517</v>
      </c>
      <c r="D88" s="329" t="s">
        <v>654</v>
      </c>
      <c r="E88" s="329" t="s">
        <v>508</v>
      </c>
      <c r="F88" s="577" t="s">
        <v>657</v>
      </c>
      <c r="G88" s="372"/>
      <c r="H88" s="159"/>
      <c r="I88" s="291" t="s">
        <v>73</v>
      </c>
      <c r="J88" s="349">
        <f>'RECETAS CAPS'!BY19</f>
        <v>2751.32</v>
      </c>
      <c r="K88" s="443">
        <f>'Gtos Varios'!$B$22</f>
        <v>3070.542857142857</v>
      </c>
      <c r="L88" s="348">
        <f>+LISTPROD3[[#This Row],[TOTAL GASTOS VARIOS]]+LISTPROD3[[#This Row],[PRECIO DE PRODUCCIÓN POR UND]]</f>
        <v>5821.8628571428571</v>
      </c>
      <c r="M88" s="411">
        <f>'RECETAS CAPS'!BY25</f>
        <v>3404.8525</v>
      </c>
      <c r="N88" s="386">
        <f>'RECETAS CAPS'!BZ25</f>
        <v>0.53</v>
      </c>
      <c r="O88" s="533">
        <f>'RECETAS CAPS'!BY26</f>
        <v>9829.1025000000009</v>
      </c>
      <c r="P88" s="361">
        <v>8500</v>
      </c>
      <c r="Q88" s="440">
        <f>(LISTPROD3[[#This Row],[PRECIO DE VENTA 1]]-LISTPROD3[[#This Row],[COSTO TOTAL UNIDAD]])/LISTPROD3[[#This Row],[COSTO TOTAL UNIDAD]]</f>
        <v>0.46001378056704484</v>
      </c>
      <c r="R88" s="429">
        <f>LISTPROD3[[#This Row],[% GANANCIA]]*LISTPROD3[[#This Row],[COSTO TOTAL UNIDAD]]</f>
        <v>2678.1371428571429</v>
      </c>
      <c r="S88" s="395"/>
      <c r="T88" s="432">
        <v>7000</v>
      </c>
      <c r="U88" s="440">
        <f>(LISTPROD3[[#This Row],[PRECIO DE VENTA2]]-LISTPROD3[[#This Row],[COSTO TOTAL UNIDAD]])/LISTPROD3[[#This Row],[COSTO TOTAL UNIDAD]]</f>
        <v>0.20236428987874278</v>
      </c>
      <c r="V88" s="429">
        <f>LISTPROD3[[#This Row],[PRECIO DE VENTA2]]*LISTPROD3[[#This Row],[% GANANCIA2]]</f>
        <v>1416.5500291511994</v>
      </c>
      <c r="W88" s="391">
        <f>LISTPROD3[[#This Row],[PRECIO DE VENTA2]]-LISTPROD3[[#This Row],[PRECIO VENTA POR RECETA]]</f>
        <v>-2829.1025000000009</v>
      </c>
      <c r="X88" s="432">
        <v>7000</v>
      </c>
      <c r="Y88" s="511">
        <f>(LISTPROD3[[#This Row],[PRECIO DE VENTA 3]]-LISTPROD3[[#This Row],[COSTO TOTAL UNIDAD]])/LISTPROD3[[#This Row],[COSTO TOTAL UNIDAD]]</f>
        <v>0.20236428987874278</v>
      </c>
      <c r="Z88" s="429">
        <f>LISTPROD3[[#This Row],[% GANANCIA3]]*LISTPROD3[[#This Row],[COSTO TOTAL UNIDAD]]</f>
        <v>1178.1371428571429</v>
      </c>
      <c r="AA88" s="395"/>
      <c r="AB88" s="395"/>
      <c r="AC88" s="53">
        <v>8500</v>
      </c>
      <c r="AD88" s="67">
        <v>7000</v>
      </c>
      <c r="AE88" s="67">
        <v>7000</v>
      </c>
      <c r="AF88" s="68">
        <v>7000</v>
      </c>
      <c r="AG88" s="48" t="s">
        <v>329</v>
      </c>
      <c r="AH88" s="7" t="s">
        <v>304</v>
      </c>
    </row>
    <row r="89" spans="1:34" ht="18" customHeight="1" x14ac:dyDescent="0.25">
      <c r="A89" s="572" t="s">
        <v>221</v>
      </c>
      <c r="B89" s="569" t="s">
        <v>330</v>
      </c>
      <c r="C89" s="240" t="s">
        <v>517</v>
      </c>
      <c r="D89" s="329" t="s">
        <v>654</v>
      </c>
      <c r="E89" s="329" t="s">
        <v>508</v>
      </c>
      <c r="F89" s="577" t="s">
        <v>657</v>
      </c>
      <c r="G89" s="251"/>
      <c r="H89" s="160"/>
      <c r="I89" s="293" t="s">
        <v>73</v>
      </c>
      <c r="J89" s="351">
        <f>'RECETAS CAPS'!G51</f>
        <v>3158.3</v>
      </c>
      <c r="K89" s="443">
        <f>'Gtos Varios'!$B$22</f>
        <v>3070.542857142857</v>
      </c>
      <c r="L89" s="348">
        <f>+LISTPROD3[[#This Row],[TOTAL GASTOS VARIOS]]+LISTPROD3[[#This Row],[PRECIO DE PRODUCCIÓN POR UND]]</f>
        <v>6228.8428571428576</v>
      </c>
      <c r="M89" s="416">
        <f>'RECETAS CAPS'!G57</f>
        <v>3347.3026999999997</v>
      </c>
      <c r="N89" s="386">
        <f>'RECETAS CAPS'!H57</f>
        <v>0.49</v>
      </c>
      <c r="O89" s="533">
        <f>'RECETAS CAPS'!G58</f>
        <v>10178.5327</v>
      </c>
      <c r="P89" s="361">
        <v>9500</v>
      </c>
      <c r="Q89" s="440">
        <f>(LISTPROD3[[#This Row],[PRECIO DE VENTA 1]]-LISTPROD3[[#This Row],[COSTO TOTAL UNIDAD]])/LISTPROD3[[#This Row],[COSTO TOTAL UNIDAD]]</f>
        <v>0.52516289427754281</v>
      </c>
      <c r="R89" s="429">
        <f>LISTPROD3[[#This Row],[% GANANCIA]]*LISTPROD3[[#This Row],[COSTO TOTAL UNIDAD]]</f>
        <v>3271.1571428571424</v>
      </c>
      <c r="S89" s="395"/>
      <c r="T89" s="432">
        <v>7000</v>
      </c>
      <c r="U89" s="440">
        <f>(LISTPROD3[[#This Row],[PRECIO DE VENTA2]]-LISTPROD3[[#This Row],[COSTO TOTAL UNIDAD]])/LISTPROD3[[#This Row],[COSTO TOTAL UNIDAD]]</f>
        <v>0.12380423788871578</v>
      </c>
      <c r="V89" s="429">
        <f>LISTPROD3[[#This Row],[PRECIO DE VENTA2]]*LISTPROD3[[#This Row],[% GANANCIA2]]</f>
        <v>866.62966522101044</v>
      </c>
      <c r="W89" s="391">
        <f>LISTPROD3[[#This Row],[PRECIO DE VENTA2]]-LISTPROD3[[#This Row],[PRECIO VENTA POR RECETA]]</f>
        <v>-3178.5326999999997</v>
      </c>
      <c r="X89" s="432">
        <v>7000</v>
      </c>
      <c r="Y89" s="511">
        <f>(LISTPROD3[[#This Row],[PRECIO DE VENTA 3]]-LISTPROD3[[#This Row],[COSTO TOTAL UNIDAD]])/LISTPROD3[[#This Row],[COSTO TOTAL UNIDAD]]</f>
        <v>0.12380423788871578</v>
      </c>
      <c r="Z89" s="429">
        <f>LISTPROD3[[#This Row],[% GANANCIA3]]*LISTPROD3[[#This Row],[COSTO TOTAL UNIDAD]]</f>
        <v>771.15714285714239</v>
      </c>
      <c r="AA89" s="395"/>
      <c r="AB89" s="395"/>
      <c r="AC89" s="53">
        <v>9500</v>
      </c>
      <c r="AD89" s="69">
        <v>7000</v>
      </c>
      <c r="AE89" s="69">
        <v>7000</v>
      </c>
      <c r="AF89" s="70">
        <v>7000</v>
      </c>
      <c r="AG89" s="40" t="s">
        <v>329</v>
      </c>
      <c r="AH89" s="7" t="s">
        <v>304</v>
      </c>
    </row>
    <row r="90" spans="1:34" ht="18" customHeight="1" x14ac:dyDescent="0.25">
      <c r="A90" s="572" t="s">
        <v>222</v>
      </c>
      <c r="B90" s="569" t="s">
        <v>331</v>
      </c>
      <c r="C90" s="240" t="s">
        <v>517</v>
      </c>
      <c r="D90" s="329" t="s">
        <v>654</v>
      </c>
      <c r="E90" s="329" t="s">
        <v>508</v>
      </c>
      <c r="F90" s="577" t="s">
        <v>657</v>
      </c>
      <c r="G90" s="372"/>
      <c r="H90" s="159"/>
      <c r="I90" s="291" t="s">
        <v>73</v>
      </c>
      <c r="J90" s="349">
        <f>'RECETAS CAPS'!U51</f>
        <v>3765.2000000000003</v>
      </c>
      <c r="K90" s="443">
        <f>'Gtos Varios'!$B$22</f>
        <v>3070.542857142857</v>
      </c>
      <c r="L90" s="348">
        <f>+LISTPROD3[[#This Row],[TOTAL GASTOS VARIOS]]+LISTPROD3[[#This Row],[PRECIO DE PRODUCCIÓN POR UND]]</f>
        <v>6835.7428571428572</v>
      </c>
      <c r="M90" s="411">
        <f>'RECETAS CAPS'!U57</f>
        <v>3347.1585</v>
      </c>
      <c r="N90" s="386">
        <f>'RECETAS CAPS'!V57</f>
        <v>0.45</v>
      </c>
      <c r="O90" s="533">
        <f>'RECETAS CAPS'!U58</f>
        <v>10785.288500000001</v>
      </c>
      <c r="P90" s="361">
        <v>9600</v>
      </c>
      <c r="Q90" s="440">
        <f>(LISTPROD3[[#This Row],[PRECIO DE VENTA 1]]-LISTPROD3[[#This Row],[COSTO TOTAL UNIDAD]])/LISTPROD3[[#This Row],[COSTO TOTAL UNIDAD]]</f>
        <v>0.40438284479479708</v>
      </c>
      <c r="R90" s="429">
        <f>LISTPROD3[[#This Row],[% GANANCIA]]*LISTPROD3[[#This Row],[COSTO TOTAL UNIDAD]]</f>
        <v>2764.2571428571428</v>
      </c>
      <c r="S90" s="395"/>
      <c r="T90" s="432">
        <v>7000</v>
      </c>
      <c r="U90" s="440">
        <f>(LISTPROD3[[#This Row],[PRECIO DE VENTA2]]-LISTPROD3[[#This Row],[COSTO TOTAL UNIDAD]])/LISTPROD3[[#This Row],[COSTO TOTAL UNIDAD]]</f>
        <v>2.4029157662872867E-2</v>
      </c>
      <c r="V90" s="429">
        <f>LISTPROD3[[#This Row],[PRECIO DE VENTA2]]*LISTPROD3[[#This Row],[% GANANCIA2]]</f>
        <v>168.20410364011008</v>
      </c>
      <c r="W90" s="391">
        <f>LISTPROD3[[#This Row],[PRECIO DE VENTA2]]-LISTPROD3[[#This Row],[PRECIO VENTA POR RECETA]]</f>
        <v>-3785.2885000000006</v>
      </c>
      <c r="X90" s="432">
        <v>7000</v>
      </c>
      <c r="Y90" s="511">
        <f>(LISTPROD3[[#This Row],[PRECIO DE VENTA 3]]-LISTPROD3[[#This Row],[COSTO TOTAL UNIDAD]])/LISTPROD3[[#This Row],[COSTO TOTAL UNIDAD]]</f>
        <v>2.4029157662872867E-2</v>
      </c>
      <c r="Z90" s="429">
        <f>LISTPROD3[[#This Row],[% GANANCIA3]]*LISTPROD3[[#This Row],[COSTO TOTAL UNIDAD]]</f>
        <v>164.25714285714275</v>
      </c>
      <c r="AA90" s="395"/>
      <c r="AB90" s="395"/>
      <c r="AC90" s="53">
        <v>9600</v>
      </c>
      <c r="AD90" s="67">
        <v>7000</v>
      </c>
      <c r="AE90" s="67">
        <v>7000</v>
      </c>
      <c r="AF90" s="68">
        <v>7000</v>
      </c>
      <c r="AG90" s="48" t="s">
        <v>329</v>
      </c>
      <c r="AH90" s="7" t="s">
        <v>304</v>
      </c>
    </row>
    <row r="91" spans="1:34" ht="23.25" customHeight="1" x14ac:dyDescent="0.25">
      <c r="A91" s="552" t="s">
        <v>223</v>
      </c>
      <c r="B91" s="300" t="s">
        <v>224</v>
      </c>
      <c r="C91" s="240" t="s">
        <v>780</v>
      </c>
      <c r="D91" s="337" t="s">
        <v>654</v>
      </c>
      <c r="E91" s="329" t="s">
        <v>611</v>
      </c>
      <c r="F91" s="240" t="s">
        <v>673</v>
      </c>
      <c r="G91" s="551"/>
      <c r="H91" s="159"/>
      <c r="I91" s="187" t="s">
        <v>74</v>
      </c>
      <c r="J91" s="478">
        <f>'RECETAS PASTILLAS'!R16</f>
        <v>4900</v>
      </c>
      <c r="K91" s="443">
        <f>'Gtos Varios'!$B$22</f>
        <v>3070.542857142857</v>
      </c>
      <c r="L91" s="491">
        <f>+LISTPROD3[[#This Row],[TOTAL GASTOS VARIOS]]+LISTPROD3[[#This Row],[PRECIO DE PRODUCCIÓN POR UND]]</f>
        <v>7970.5428571428565</v>
      </c>
      <c r="M91" s="407">
        <f>'RECETAS PASTILLAS'!R21</f>
        <v>3257.7134000000001</v>
      </c>
      <c r="N91" s="516">
        <f>'RECETAS PASTILLAS'!S21</f>
        <v>0.38</v>
      </c>
      <c r="O91" s="559">
        <f>'RECETAS PASTILLAS'!R22</f>
        <v>11830.643400000001</v>
      </c>
      <c r="P91" s="429"/>
      <c r="Q91" s="440"/>
      <c r="R91" s="429"/>
      <c r="S91" s="391"/>
      <c r="T91" s="429">
        <v>6000</v>
      </c>
      <c r="U91" s="511">
        <f>(LISTPROD3[[#This Row],[PRECIO DE VENTA2]]-LISTPROD3[[#This Row],[COSTO TOTAL UNIDAD]])/LISTPROD3[[#This Row],[COSTO TOTAL UNIDAD]]</f>
        <v>-0.24722818664439411</v>
      </c>
      <c r="V91" s="360">
        <f>LISTPROD3[[#This Row],[PRECIO DE VENTA2]]*LISTPROD3[[#This Row],[% GANANCIA2]]</f>
        <v>-1483.3691198663646</v>
      </c>
      <c r="W91" s="391"/>
      <c r="X91" s="429">
        <v>8000</v>
      </c>
      <c r="Y91" s="511">
        <f>(LISTPROD3[[#This Row],[PRECIO DE VENTA 3]]-LISTPROD3[[#This Row],[COSTO TOTAL UNIDAD]])/LISTPROD3[[#This Row],[COSTO TOTAL UNIDAD]]</f>
        <v>3.6957511408078386E-3</v>
      </c>
      <c r="Z91" s="360">
        <f>+LISTPROD3[[#This Row],[PRECIO DE VENTA 3]]*LISTPROD3[[#This Row],[% GANANCIA3]]</f>
        <v>29.56600912646271</v>
      </c>
      <c r="AA91" s="391"/>
      <c r="AB91" s="391"/>
      <c r="AC91" s="299">
        <v>0</v>
      </c>
      <c r="AD91" s="301">
        <v>6000</v>
      </c>
      <c r="AE91" s="301">
        <v>8000</v>
      </c>
      <c r="AF91" s="302">
        <v>8000</v>
      </c>
      <c r="AG91" s="72" t="s">
        <v>332</v>
      </c>
      <c r="AH91" s="12" t="s">
        <v>305</v>
      </c>
    </row>
    <row r="92" spans="1:34" ht="15.75" customHeight="1" x14ac:dyDescent="0.25">
      <c r="A92" s="50" t="s">
        <v>226</v>
      </c>
      <c r="B92" s="51" t="s">
        <v>227</v>
      </c>
      <c r="C92" s="554" t="s">
        <v>464</v>
      </c>
      <c r="D92" s="331" t="s">
        <v>654</v>
      </c>
      <c r="E92" s="539" t="s">
        <v>642</v>
      </c>
      <c r="F92" s="164" t="s">
        <v>655</v>
      </c>
      <c r="G92" s="424" t="s">
        <v>714</v>
      </c>
      <c r="H92" s="169"/>
      <c r="I92" s="188" t="s">
        <v>74</v>
      </c>
      <c r="J92" s="443">
        <f>'RECETAS JARABES'!G2153</f>
        <v>3086.5143089300996</v>
      </c>
      <c r="K92" s="443">
        <f>'Gtos Varios'!$B$22</f>
        <v>3070.542857142857</v>
      </c>
      <c r="L92" s="443">
        <f>+LISTPROD3[[#This Row],[PRECIO DE PRODUCCIÓN POR UND]]+LISTPROD3[[#This Row],[TOTAL GASTOS VARIOS]]</f>
        <v>6157.0571660729565</v>
      </c>
      <c r="M92" s="408">
        <f>'RECETAS JARABES'!G2158</f>
        <v>3176.9388251971463</v>
      </c>
      <c r="N92" s="516">
        <f>'RECETAS JARABES'!H2158</f>
        <v>0.47</v>
      </c>
      <c r="O92" s="559">
        <f>'RECETAS JARABES'!G2159</f>
        <v>9936.3831341272453</v>
      </c>
      <c r="P92" s="429"/>
      <c r="Q92" s="440"/>
      <c r="R92" s="429"/>
      <c r="S92" s="391"/>
      <c r="T92" s="429">
        <v>7000</v>
      </c>
      <c r="U92" s="440">
        <f>(LISTPROD3[[#This Row],[PRECIO DE VENTA2]]-LISTPROD3[[#This Row],[COSTO TOTAL UNIDAD]])/LISTPROD3[[#This Row],[COSTO TOTAL UNIDAD]]</f>
        <v>0.13690677399779322</v>
      </c>
      <c r="V92" s="429">
        <f>+LISTPROD3[[#This Row],[% GANANCIA2]]*LISTPROD3[[#This Row],[COSTO TOTAL UNIDAD]]</f>
        <v>842.94283392704347</v>
      </c>
      <c r="W92" s="391">
        <f>LISTPROD3[[#This Row],[PRECIO DE VENTA2]]-LISTPROD3[[#This Row],[PRECIO VENTA POR RECETA]]</f>
        <v>-2936.3831341272453</v>
      </c>
      <c r="X92" s="429">
        <v>7000</v>
      </c>
      <c r="Y92" s="511">
        <f>(LISTPROD3[[#This Row],[PRECIO DE VENTA 3]]-LISTPROD3[[#This Row],[COSTO TOTAL UNIDAD]])/LISTPROD3[[#This Row],[COSTO TOTAL UNIDAD]]</f>
        <v>0.13690677399779322</v>
      </c>
      <c r="Z92" s="429">
        <f>LISTPROD3[[#This Row],[% GANANCIA3]]*LISTPROD3[[#This Row],[COSTO TOTAL UNIDAD]]</f>
        <v>842.94283392704347</v>
      </c>
      <c r="AA92" s="391"/>
      <c r="AB92" s="391"/>
      <c r="AC92" s="43">
        <v>0</v>
      </c>
      <c r="AD92" s="67">
        <v>7000</v>
      </c>
      <c r="AE92" s="67">
        <v>7000</v>
      </c>
      <c r="AF92" s="68">
        <v>7000</v>
      </c>
      <c r="AG92" s="48"/>
      <c r="AH92" s="12" t="s">
        <v>305</v>
      </c>
    </row>
    <row r="93" spans="1:34" ht="15.75" customHeight="1" x14ac:dyDescent="0.25">
      <c r="A93" s="44" t="s">
        <v>228</v>
      </c>
      <c r="B93" s="19" t="s">
        <v>229</v>
      </c>
      <c r="C93" s="554" t="s">
        <v>464</v>
      </c>
      <c r="D93" s="331" t="s">
        <v>654</v>
      </c>
      <c r="E93" s="539" t="s">
        <v>642</v>
      </c>
      <c r="F93" s="164" t="s">
        <v>655</v>
      </c>
      <c r="G93" s="424" t="s">
        <v>714</v>
      </c>
      <c r="H93" s="169"/>
      <c r="I93" s="187" t="s">
        <v>74</v>
      </c>
      <c r="J93" s="443">
        <f>'RECETAS JARABES'!G2231</f>
        <v>1852.8522117872428</v>
      </c>
      <c r="K93" s="443">
        <f>'Gtos Varios'!$B$22</f>
        <v>3070.542857142857</v>
      </c>
      <c r="L93" s="443">
        <f>+LISTPROD3[[#This Row],[PRECIO DE PRODUCCIÓN POR UND]]+LISTPROD3[[#This Row],[TOTAL GASTOS VARIOS]]</f>
        <v>4923.3950689301</v>
      </c>
      <c r="M93" s="407">
        <f>'RECETAS JARABES'!G2236</f>
        <v>3315.4693270723455</v>
      </c>
      <c r="N93" s="516">
        <f>'RECETAS JARABES'!H2236</f>
        <v>0.6</v>
      </c>
      <c r="O93" s="559">
        <f>'RECETAS JARABES'!G2237</f>
        <v>8841.2515388595893</v>
      </c>
      <c r="P93" s="429">
        <v>7000</v>
      </c>
      <c r="Q93" s="440">
        <f>(LISTPROD3[[#This Row],[PRECIO DE VENTA 1]]-LISTPROD3[[#This Row],[COSTO TOTAL UNIDAD]])/LISTPROD3[[#This Row],[COSTO TOTAL UNIDAD]]</f>
        <v>0.42178311957426684</v>
      </c>
      <c r="R93" s="429">
        <f>LISTPROD3[[#This Row],[% GANANCIA]]*LISTPROD3[[#This Row],[COSTO TOTAL UNIDAD]]</f>
        <v>2076.6049310699</v>
      </c>
      <c r="S93" s="391">
        <f>+LISTPROD3[[#This Row],[PRECIO DE VENTA 1]]-LISTPROD3[[#This Row],[PRECIO VENTA POR RECETA]]</f>
        <v>-1841.2515388595893</v>
      </c>
      <c r="T93" s="429">
        <v>7000</v>
      </c>
      <c r="U93" s="440">
        <f>(LISTPROD3[[#This Row],[PRECIO DE VENTA2]]-LISTPROD3[[#This Row],[COSTO TOTAL UNIDAD]])/LISTPROD3[[#This Row],[COSTO TOTAL UNIDAD]]</f>
        <v>0.42178311957426684</v>
      </c>
      <c r="V93" s="429">
        <f>+LISTPROD3[[#This Row],[% GANANCIA2]]*LISTPROD3[[#This Row],[COSTO TOTAL UNIDAD]]</f>
        <v>2076.6049310699</v>
      </c>
      <c r="W93" s="391">
        <f>LISTPROD3[[#This Row],[PRECIO DE VENTA2]]-LISTPROD3[[#This Row],[PRECIO VENTA POR RECETA]]</f>
        <v>-1841.2515388595893</v>
      </c>
      <c r="X93" s="429">
        <v>7000</v>
      </c>
      <c r="Y93" s="511">
        <f>(LISTPROD3[[#This Row],[PRECIO DE VENTA 3]]-LISTPROD3[[#This Row],[COSTO TOTAL UNIDAD]])/LISTPROD3[[#This Row],[COSTO TOTAL UNIDAD]]</f>
        <v>0.42178311957426684</v>
      </c>
      <c r="Z93" s="429">
        <f>LISTPROD3[[#This Row],[% GANANCIA3]]*LISTPROD3[[#This Row],[COSTO TOTAL UNIDAD]]</f>
        <v>2076.6049310699</v>
      </c>
      <c r="AA93" s="391"/>
      <c r="AB93" s="391"/>
      <c r="AC93" s="45">
        <v>7000</v>
      </c>
      <c r="AD93" s="69">
        <v>7000</v>
      </c>
      <c r="AE93" s="69">
        <v>7000</v>
      </c>
      <c r="AF93" s="70">
        <v>7000</v>
      </c>
      <c r="AG93" s="40"/>
      <c r="AH93" s="12" t="s">
        <v>305</v>
      </c>
    </row>
    <row r="94" spans="1:34" ht="15.75" customHeight="1" x14ac:dyDescent="0.25">
      <c r="A94" s="50" t="s">
        <v>230</v>
      </c>
      <c r="B94" s="51" t="s">
        <v>231</v>
      </c>
      <c r="C94" s="554" t="s">
        <v>464</v>
      </c>
      <c r="D94" s="331" t="s">
        <v>654</v>
      </c>
      <c r="E94" s="539" t="s">
        <v>642</v>
      </c>
      <c r="F94" s="164" t="s">
        <v>655</v>
      </c>
      <c r="G94" s="370" t="s">
        <v>487</v>
      </c>
      <c r="H94" s="169"/>
      <c r="I94" s="188" t="s">
        <v>74</v>
      </c>
      <c r="J94" s="443">
        <f>'RECETAS JARABES'!G2264</f>
        <v>2102.6344122634332</v>
      </c>
      <c r="K94" s="443">
        <f>'Gtos Varios'!$B$22</f>
        <v>3070.542857142857</v>
      </c>
      <c r="L94" s="443">
        <f>+LISTPROD3[[#This Row],[PRECIO DE PRODUCCIÓN POR UND]]+LISTPROD3[[#This Row],[TOTAL GASTOS VARIOS]]</f>
        <v>5173.1772694062902</v>
      </c>
      <c r="M94" s="408">
        <f>'RECETAS JARABES'!$G$2269</f>
        <v>3349.8273591127909</v>
      </c>
      <c r="N94" s="516">
        <f>'RECETAS JARABES'!$H$2269</f>
        <v>0.57999999999999996</v>
      </c>
      <c r="O94" s="559">
        <f>'RECETAS JARABES'!$G$2270</f>
        <v>9125.3917713762239</v>
      </c>
      <c r="P94" s="385">
        <v>6000</v>
      </c>
      <c r="Q94" s="440">
        <f>(LISTPROD3[[#This Row],[PRECIO DE VENTA 1]]-LISTPROD3[[#This Row],[COSTO TOTAL UNIDAD]])/LISTPROD3[[#This Row],[COSTO TOTAL UNIDAD]]</f>
        <v>0.15982880298408986</v>
      </c>
      <c r="R94" s="429">
        <f>LISTPROD3[[#This Row],[% GANANCIA]]*LISTPROD3[[#This Row],[COSTO TOTAL UNIDAD]]</f>
        <v>826.82273059370993</v>
      </c>
      <c r="S94" s="391">
        <f>+LISTPROD3[[#This Row],[PRECIO DE VENTA 1]]-LISTPROD3[[#This Row],[PRECIO VENTA POR RECETA]]</f>
        <v>-3125.3917713762239</v>
      </c>
      <c r="T94" s="429">
        <v>7000</v>
      </c>
      <c r="U94" s="440">
        <f>(LISTPROD3[[#This Row],[PRECIO DE VENTA2]]-LISTPROD3[[#This Row],[COSTO TOTAL UNIDAD]])/LISTPROD3[[#This Row],[COSTO TOTAL UNIDAD]]</f>
        <v>0.35313360348143813</v>
      </c>
      <c r="V94" s="429">
        <f>+LISTPROD3[[#This Row],[% GANANCIA2]]*LISTPROD3[[#This Row],[COSTO TOTAL UNIDAD]]</f>
        <v>1826.8227305937098</v>
      </c>
      <c r="W94" s="391">
        <f>LISTPROD3[[#This Row],[PRECIO DE VENTA2]]-LISTPROD3[[#This Row],[PRECIO VENTA POR RECETA]]</f>
        <v>-2125.3917713762239</v>
      </c>
      <c r="X94" s="429">
        <v>7000</v>
      </c>
      <c r="Y94" s="511">
        <f>(LISTPROD3[[#This Row],[PRECIO DE VENTA 3]]-LISTPROD3[[#This Row],[COSTO TOTAL UNIDAD]])/LISTPROD3[[#This Row],[COSTO TOTAL UNIDAD]]</f>
        <v>0.35313360348143813</v>
      </c>
      <c r="Z94" s="429">
        <f>LISTPROD3[[#This Row],[% GANANCIA3]]*LISTPROD3[[#This Row],[COSTO TOTAL UNIDAD]]</f>
        <v>1826.8227305937098</v>
      </c>
      <c r="AA94" s="391"/>
      <c r="AB94" s="391"/>
      <c r="AC94" s="43">
        <v>6000</v>
      </c>
      <c r="AD94" s="67">
        <v>7000</v>
      </c>
      <c r="AE94" s="67">
        <v>7000</v>
      </c>
      <c r="AF94" s="68">
        <v>7000</v>
      </c>
      <c r="AG94" s="48"/>
      <c r="AH94" t="s">
        <v>304</v>
      </c>
    </row>
    <row r="95" spans="1:34" s="275" customFormat="1" ht="19.5" customHeight="1" x14ac:dyDescent="0.25">
      <c r="A95" s="258" t="s">
        <v>236</v>
      </c>
      <c r="B95" s="382" t="s">
        <v>237</v>
      </c>
      <c r="C95" s="556" t="s">
        <v>464</v>
      </c>
      <c r="D95" s="462" t="s">
        <v>654</v>
      </c>
      <c r="E95" s="463" t="s">
        <v>642</v>
      </c>
      <c r="F95" s="327" t="s">
        <v>655</v>
      </c>
      <c r="G95" s="423" t="s">
        <v>691</v>
      </c>
      <c r="H95" s="464"/>
      <c r="I95" s="498" t="s">
        <v>70</v>
      </c>
      <c r="J95" s="441" t="s">
        <v>665</v>
      </c>
      <c r="K95" s="441">
        <f>'Gtos Varios'!$B$22</f>
        <v>3070.542857142857</v>
      </c>
      <c r="L95" s="441" t="e">
        <f>+LISTPROD3[[#This Row],[PRECIO DE PRODUCCIÓN POR UND]]+LISTPROD3[[#This Row],[TOTAL GASTOS VARIOS]]</f>
        <v>#VALUE!</v>
      </c>
      <c r="M95" s="488">
        <f>'RECETAS JARABES'!G2303</f>
        <v>3429.2904283211005</v>
      </c>
      <c r="N95" s="521">
        <f>'RECETAS JARABES'!H2303</f>
        <v>0.72</v>
      </c>
      <c r="O95" s="564">
        <f>'RECETAS JARABES'!G2304</f>
        <v>8192.1938009892965</v>
      </c>
      <c r="P95" s="468">
        <v>7000</v>
      </c>
      <c r="Q95" s="440" t="e">
        <f>(LISTPROD3[[#This Row],[PRECIO DE VENTA 1]]-LISTPROD3[[#This Row],[COSTO TOTAL UNIDAD]])/LISTPROD3[[#This Row],[COSTO TOTAL UNIDAD]]</f>
        <v>#VALUE!</v>
      </c>
      <c r="R95" s="429" t="e">
        <f>LISTPROD3[[#This Row],[% GANANCIA]]*LISTPROD3[[#This Row],[COSTO TOTAL UNIDAD]]</f>
        <v>#VALUE!</v>
      </c>
      <c r="S95" s="469">
        <f>+LISTPROD3[[#This Row],[PRECIO DE VENTA 1]]-LISTPROD3[[#This Row],[PRECIO VENTA POR RECETA]]</f>
        <v>-1192.1938009892965</v>
      </c>
      <c r="T95" s="468">
        <v>7000</v>
      </c>
      <c r="U95" s="440" t="e">
        <f>(LISTPROD3[[#This Row],[PRECIO DE VENTA2]]-LISTPROD3[[#This Row],[COSTO TOTAL UNIDAD]])/LISTPROD3[[#This Row],[COSTO TOTAL UNIDAD]]</f>
        <v>#VALUE!</v>
      </c>
      <c r="V95" s="429" t="e">
        <f>+LISTPROD3[[#This Row],[% GANANCIA2]]*LISTPROD3[[#This Row],[COSTO TOTAL UNIDAD]]</f>
        <v>#VALUE!</v>
      </c>
      <c r="W95" s="469">
        <f>LISTPROD3[[#This Row],[PRECIO DE VENTA2]]-LISTPROD3[[#This Row],[PRECIO VENTA POR RECETA]]</f>
        <v>-1192.1938009892965</v>
      </c>
      <c r="X95" s="468">
        <v>7000</v>
      </c>
      <c r="Y95" s="511" t="e">
        <f>(LISTPROD3[[#This Row],[PRECIO DE VENTA 3]]-LISTPROD3[[#This Row],[COSTO TOTAL UNIDAD]])/LISTPROD3[[#This Row],[COSTO TOTAL UNIDAD]]</f>
        <v>#VALUE!</v>
      </c>
      <c r="Z95" s="429" t="e">
        <f>LISTPROD3[[#This Row],[% GANANCIA3]]*LISTPROD3[[#This Row],[COSTO TOTAL UNIDAD]]</f>
        <v>#VALUE!</v>
      </c>
      <c r="AA95" s="469"/>
      <c r="AB95" s="391"/>
      <c r="AC95" s="475">
        <v>7000</v>
      </c>
      <c r="AD95" s="499">
        <v>7000</v>
      </c>
      <c r="AE95" s="499">
        <v>7000</v>
      </c>
      <c r="AF95" s="71">
        <v>7000</v>
      </c>
      <c r="AG95" s="72" t="s">
        <v>333</v>
      </c>
      <c r="AH95" s="275" t="s">
        <v>304</v>
      </c>
    </row>
    <row r="96" spans="1:34" x14ac:dyDescent="0.25">
      <c r="A96" s="572" t="s">
        <v>334</v>
      </c>
      <c r="B96" s="569" t="s">
        <v>335</v>
      </c>
      <c r="C96" s="240" t="s">
        <v>663</v>
      </c>
      <c r="D96" s="332" t="s">
        <v>654</v>
      </c>
      <c r="E96" s="329" t="s">
        <v>644</v>
      </c>
      <c r="F96" s="577" t="s">
        <v>663</v>
      </c>
      <c r="G96" s="251"/>
      <c r="H96" s="160"/>
      <c r="I96" s="188" t="s">
        <v>73</v>
      </c>
      <c r="J96" s="352">
        <f>'RECETAS GOTAS'!K26</f>
        <v>3672.93</v>
      </c>
      <c r="K96" s="346">
        <f>'Gtos Varios'!$B$22</f>
        <v>3070.542857142857</v>
      </c>
      <c r="L96" s="346">
        <f>+LISTPROD3[[#This Row],[TOTAL GASTOS VARIOS]]+LISTPROD3[[#This Row],[PRECIO DE PRODUCCIÓN POR UND]]</f>
        <v>6743.4728571428568</v>
      </c>
      <c r="M96" s="417">
        <f>'RECETAS GOTAS'!K29</f>
        <v>3421.2276999999999</v>
      </c>
      <c r="N96" s="386">
        <f>'RECETAS GOTAS'!L29</f>
        <v>0.61</v>
      </c>
      <c r="O96" s="533">
        <f>'RECETAS GOTAS'!K30</f>
        <v>9029.7976999999992</v>
      </c>
      <c r="P96" s="432">
        <v>8000</v>
      </c>
      <c r="Q96" s="440">
        <f>(LISTPROD3[[#This Row],[PRECIO DE VENTA 1]]-LISTPROD3[[#This Row],[COSTO TOTAL UNIDAD]])/LISTPROD3[[#This Row],[COSTO TOTAL UNIDAD]]</f>
        <v>0.18633234973670842</v>
      </c>
      <c r="R96" s="429">
        <f>LISTPROD3[[#This Row],[% GANANCIA]]*LISTPROD3[[#This Row],[COSTO TOTAL UNIDAD]]</f>
        <v>1256.5271428571432</v>
      </c>
      <c r="S96" s="395"/>
      <c r="T96" s="432">
        <v>7000</v>
      </c>
      <c r="U96" s="440">
        <f>(LISTPROD3[[#This Row],[PRECIO DE VENTA2]]-LISTPROD3[[#This Row],[COSTO TOTAL UNIDAD]])/LISTPROD3[[#This Row],[COSTO TOTAL UNIDAD]]</f>
        <v>3.8040806019619872E-2</v>
      </c>
      <c r="V96" s="429">
        <f>LISTPROD3[[#This Row],[PRECIO DE VENTA2]]*LISTPROD3[[#This Row],[% GANANCIA2]]</f>
        <v>266.2856421373391</v>
      </c>
      <c r="W96" s="391">
        <f>LISTPROD3[[#This Row],[PRECIO DE VENTA2]]-LISTPROD3[[#This Row],[PRECIO VENTA POR RECETA]]</f>
        <v>-2029.7976999999992</v>
      </c>
      <c r="X96" s="432">
        <v>7000</v>
      </c>
      <c r="Y96" s="511">
        <f>(LISTPROD3[[#This Row],[PRECIO DE VENTA 3]]-LISTPROD3[[#This Row],[COSTO TOTAL UNIDAD]])/LISTPROD3[[#This Row],[COSTO TOTAL UNIDAD]]</f>
        <v>3.8040806019619872E-2</v>
      </c>
      <c r="Z96" s="429">
        <f>LISTPROD3[[#This Row],[% GANANCIA3]]*LISTPROD3[[#This Row],[COSTO TOTAL UNIDAD]]</f>
        <v>256.52714285714319</v>
      </c>
      <c r="AA96" s="395"/>
      <c r="AB96" s="395"/>
      <c r="AC96" s="67">
        <v>8000</v>
      </c>
      <c r="AD96" s="67">
        <v>7000</v>
      </c>
      <c r="AE96" s="67">
        <v>7000</v>
      </c>
      <c r="AF96" s="68">
        <v>7000</v>
      </c>
      <c r="AG96" s="48" t="s">
        <v>336</v>
      </c>
      <c r="AH96" s="242" t="s">
        <v>304</v>
      </c>
    </row>
    <row r="97" spans="1:34" x14ac:dyDescent="0.25">
      <c r="A97" s="571" t="s">
        <v>337</v>
      </c>
      <c r="B97" s="570" t="s">
        <v>338</v>
      </c>
      <c r="C97" s="240" t="s">
        <v>663</v>
      </c>
      <c r="D97" s="329" t="s">
        <v>654</v>
      </c>
      <c r="E97" s="329" t="s">
        <v>644</v>
      </c>
      <c r="F97" s="577" t="s">
        <v>663</v>
      </c>
      <c r="G97" s="240"/>
      <c r="H97" s="171"/>
      <c r="I97" s="187" t="s">
        <v>73</v>
      </c>
      <c r="J97" s="353">
        <f>'RECETAS GOTAS'!Z24</f>
        <v>1932.5350000000001</v>
      </c>
      <c r="K97" s="346">
        <f>'Gtos Varios'!$B$22</f>
        <v>3070.542857142857</v>
      </c>
      <c r="L97" s="346">
        <f>+LISTPROD3[[#This Row],[TOTAL GASTOS VARIOS]]+LISTPROD3[[#This Row],[PRECIO DE PRODUCCIÓN POR UND]]</f>
        <v>5003.0778571428573</v>
      </c>
      <c r="M97" s="418">
        <f>'RECETAS GOTAS'!Z29</f>
        <v>3363.279</v>
      </c>
      <c r="N97" s="386">
        <f>'RECETAS GOTAS'!AA29</f>
        <v>0.6</v>
      </c>
      <c r="O97" s="533">
        <f>'RECETAS GOTAS'!Z30</f>
        <v>8968.7440000000006</v>
      </c>
      <c r="P97" s="432">
        <v>8000</v>
      </c>
      <c r="Q97" s="440">
        <f>(LISTPROD3[[#This Row],[PRECIO DE VENTA 1]]-LISTPROD3[[#This Row],[COSTO TOTAL UNIDAD]])/LISTPROD3[[#This Row],[COSTO TOTAL UNIDAD]]</f>
        <v>0.59901569162639734</v>
      </c>
      <c r="R97" s="429">
        <f>LISTPROD3[[#This Row],[% GANANCIA]]*LISTPROD3[[#This Row],[COSTO TOTAL UNIDAD]]</f>
        <v>2996.9221428571427</v>
      </c>
      <c r="S97" s="395"/>
      <c r="T97" s="432">
        <v>7000</v>
      </c>
      <c r="U97" s="440">
        <f>(LISTPROD3[[#This Row],[PRECIO DE VENTA2]]-LISTPROD3[[#This Row],[COSTO TOTAL UNIDAD]])/LISTPROD3[[#This Row],[COSTO TOTAL UNIDAD]]</f>
        <v>0.3991387301730977</v>
      </c>
      <c r="V97" s="429">
        <f>LISTPROD3[[#This Row],[PRECIO DE VENTA2]]*LISTPROD3[[#This Row],[% GANANCIA2]]</f>
        <v>2793.9711112116838</v>
      </c>
      <c r="W97" s="391">
        <f>LISTPROD3[[#This Row],[PRECIO DE VENTA2]]-LISTPROD3[[#This Row],[PRECIO VENTA POR RECETA]]</f>
        <v>-1968.7440000000006</v>
      </c>
      <c r="X97" s="432">
        <v>7000</v>
      </c>
      <c r="Y97" s="511">
        <f>(LISTPROD3[[#This Row],[PRECIO DE VENTA 3]]-LISTPROD3[[#This Row],[COSTO TOTAL UNIDAD]])/LISTPROD3[[#This Row],[COSTO TOTAL UNIDAD]]</f>
        <v>0.3991387301730977</v>
      </c>
      <c r="Z97" s="429">
        <f>LISTPROD3[[#This Row],[% GANANCIA3]]*LISTPROD3[[#This Row],[COSTO TOTAL UNIDAD]]</f>
        <v>1996.9221428571427</v>
      </c>
      <c r="AA97" s="395"/>
      <c r="AB97" s="395"/>
      <c r="AC97" s="69">
        <v>8000</v>
      </c>
      <c r="AD97" s="69">
        <v>7000</v>
      </c>
      <c r="AE97" s="69">
        <v>7000</v>
      </c>
      <c r="AF97" s="70">
        <v>7000</v>
      </c>
      <c r="AG97" s="40" t="s">
        <v>336</v>
      </c>
      <c r="AH97" s="242" t="s">
        <v>304</v>
      </c>
    </row>
    <row r="98" spans="1:34" x14ac:dyDescent="0.25">
      <c r="A98" s="571" t="s">
        <v>339</v>
      </c>
      <c r="B98" s="570" t="s">
        <v>340</v>
      </c>
      <c r="C98" s="240" t="s">
        <v>663</v>
      </c>
      <c r="D98" s="329" t="s">
        <v>654</v>
      </c>
      <c r="E98" s="329" t="s">
        <v>644</v>
      </c>
      <c r="F98" s="577" t="s">
        <v>663</v>
      </c>
      <c r="G98" s="240"/>
      <c r="H98" s="171"/>
      <c r="I98" s="188" t="s">
        <v>73</v>
      </c>
      <c r="J98" s="352">
        <f>'RECETAS GOTAS'!AO24</f>
        <v>1932.5350000000001</v>
      </c>
      <c r="K98" s="346">
        <f>'Gtos Varios'!$B$22</f>
        <v>3070.542857142857</v>
      </c>
      <c r="L98" s="346">
        <f>+LISTPROD3[[#This Row],[TOTAL GASTOS VARIOS]]+LISTPROD3[[#This Row],[PRECIO DE PRODUCCIÓN POR UND]]</f>
        <v>5003.0778571428573</v>
      </c>
      <c r="M98" s="417">
        <f>'RECETAS GOTAS'!AO29</f>
        <v>3001.8467142857144</v>
      </c>
      <c r="N98" s="386">
        <f>'RECETAS GOTAS'!AP29</f>
        <v>0.6</v>
      </c>
      <c r="O98" s="533">
        <f>'RECETAS GOTAS'!AO30</f>
        <v>8004.9245714285717</v>
      </c>
      <c r="P98" s="432">
        <v>8000</v>
      </c>
      <c r="Q98" s="440">
        <f>(LISTPROD3[[#This Row],[PRECIO DE VENTA 1]]-LISTPROD3[[#This Row],[COSTO TOTAL UNIDAD]])/LISTPROD3[[#This Row],[COSTO TOTAL UNIDAD]]</f>
        <v>0.59901569162639734</v>
      </c>
      <c r="R98" s="429">
        <f>LISTPROD3[[#This Row],[% GANANCIA]]*LISTPROD3[[#This Row],[COSTO TOTAL UNIDAD]]</f>
        <v>2996.9221428571427</v>
      </c>
      <c r="S98" s="395"/>
      <c r="T98" s="432">
        <v>7000</v>
      </c>
      <c r="U98" s="440">
        <f>(LISTPROD3[[#This Row],[PRECIO DE VENTA2]]-LISTPROD3[[#This Row],[COSTO TOTAL UNIDAD]])/LISTPROD3[[#This Row],[COSTO TOTAL UNIDAD]]</f>
        <v>0.3991387301730977</v>
      </c>
      <c r="V98" s="429">
        <f>LISTPROD3[[#This Row],[PRECIO DE VENTA2]]*LISTPROD3[[#This Row],[% GANANCIA2]]</f>
        <v>2793.9711112116838</v>
      </c>
      <c r="W98" s="391">
        <f>LISTPROD3[[#This Row],[PRECIO DE VENTA2]]-LISTPROD3[[#This Row],[PRECIO VENTA POR RECETA]]</f>
        <v>-1004.9245714285717</v>
      </c>
      <c r="X98" s="432">
        <v>7000</v>
      </c>
      <c r="Y98" s="511">
        <f>(LISTPROD3[[#This Row],[PRECIO DE VENTA 3]]-LISTPROD3[[#This Row],[COSTO TOTAL UNIDAD]])/LISTPROD3[[#This Row],[COSTO TOTAL UNIDAD]]</f>
        <v>0.3991387301730977</v>
      </c>
      <c r="Z98" s="429">
        <f>LISTPROD3[[#This Row],[% GANANCIA3]]*LISTPROD3[[#This Row],[COSTO TOTAL UNIDAD]]</f>
        <v>1996.9221428571427</v>
      </c>
      <c r="AA98" s="395"/>
      <c r="AB98" s="395"/>
      <c r="AC98" s="67">
        <v>8000</v>
      </c>
      <c r="AD98" s="67">
        <v>7000</v>
      </c>
      <c r="AE98" s="67">
        <v>7000</v>
      </c>
      <c r="AF98" s="68">
        <v>7000</v>
      </c>
      <c r="AG98" s="48" t="s">
        <v>336</v>
      </c>
      <c r="AH98" s="242" t="s">
        <v>304</v>
      </c>
    </row>
    <row r="99" spans="1:34" ht="18" customHeight="1" x14ac:dyDescent="0.25">
      <c r="A99" s="571" t="s">
        <v>341</v>
      </c>
      <c r="B99" s="570" t="s">
        <v>342</v>
      </c>
      <c r="C99" s="240" t="s">
        <v>517</v>
      </c>
      <c r="D99" s="329" t="s">
        <v>654</v>
      </c>
      <c r="E99" s="329" t="s">
        <v>508</v>
      </c>
      <c r="F99" s="577" t="s">
        <v>657</v>
      </c>
      <c r="G99" s="240"/>
      <c r="H99" s="171"/>
      <c r="I99" s="293" t="s">
        <v>73</v>
      </c>
      <c r="J99" s="351">
        <f>'RECETAS CAPS'!AI51</f>
        <v>3265.4</v>
      </c>
      <c r="K99" s="443">
        <f>'Gtos Varios'!$B$22</f>
        <v>3070.542857142857</v>
      </c>
      <c r="L99" s="348">
        <f>+LISTPROD3[[#This Row],[TOTAL GASTOS VARIOS]]+LISTPROD3[[#This Row],[PRECIO DE PRODUCCIÓN POR UND]]</f>
        <v>6335.9428571428571</v>
      </c>
      <c r="M99" s="416">
        <f>'RECETAS CAPS'!AI57</f>
        <v>3330.3984</v>
      </c>
      <c r="N99" s="386">
        <f>'RECETAS CAPS'!AJ57</f>
        <v>0.48</v>
      </c>
      <c r="O99" s="533">
        <f>'RECETAS CAPS'!AI58</f>
        <v>10268.7284</v>
      </c>
      <c r="P99" s="361">
        <v>9000</v>
      </c>
      <c r="Q99" s="440">
        <f>(LISTPROD3[[#This Row],[PRECIO DE VENTA 1]]-LISTPROD3[[#This Row],[COSTO TOTAL UNIDAD]])/LISTPROD3[[#This Row],[COSTO TOTAL UNIDAD]]</f>
        <v>0.42046735630732601</v>
      </c>
      <c r="R99" s="429">
        <f>LISTPROD3[[#This Row],[% GANANCIA]]*LISTPROD3[[#This Row],[COSTO TOTAL UNIDAD]]</f>
        <v>2664.0571428571429</v>
      </c>
      <c r="S99" s="395"/>
      <c r="T99" s="432">
        <v>7000</v>
      </c>
      <c r="U99" s="440">
        <f>(LISTPROD3[[#This Row],[PRECIO DE VENTA2]]-LISTPROD3[[#This Row],[COSTO TOTAL UNIDAD]])/LISTPROD3[[#This Row],[COSTO TOTAL UNIDAD]]</f>
        <v>0.10480794379458691</v>
      </c>
      <c r="V99" s="429">
        <f>LISTPROD3[[#This Row],[PRECIO DE VENTA2]]*LISTPROD3[[#This Row],[% GANANCIA2]]</f>
        <v>733.65560656210835</v>
      </c>
      <c r="W99" s="391">
        <f>LISTPROD3[[#This Row],[PRECIO DE VENTA2]]-LISTPROD3[[#This Row],[PRECIO VENTA POR RECETA]]</f>
        <v>-3268.7284</v>
      </c>
      <c r="X99" s="432">
        <v>7000</v>
      </c>
      <c r="Y99" s="511">
        <f>(LISTPROD3[[#This Row],[PRECIO DE VENTA 3]]-LISTPROD3[[#This Row],[COSTO TOTAL UNIDAD]])/LISTPROD3[[#This Row],[COSTO TOTAL UNIDAD]]</f>
        <v>0.10480794379458691</v>
      </c>
      <c r="Z99" s="429">
        <f>LISTPROD3[[#This Row],[% GANANCIA3]]*LISTPROD3[[#This Row],[COSTO TOTAL UNIDAD]]</f>
        <v>664.05714285714294</v>
      </c>
      <c r="AA99" s="395"/>
      <c r="AB99" s="395"/>
      <c r="AC99" s="69">
        <v>9000</v>
      </c>
      <c r="AD99" s="69">
        <v>7000</v>
      </c>
      <c r="AE99" s="69">
        <v>7000</v>
      </c>
      <c r="AF99" s="70">
        <v>7000</v>
      </c>
      <c r="AG99" s="40" t="s">
        <v>336</v>
      </c>
      <c r="AH99" s="7" t="s">
        <v>304</v>
      </c>
    </row>
    <row r="100" spans="1:34" ht="18" customHeight="1" x14ac:dyDescent="0.25">
      <c r="A100" s="571" t="s">
        <v>343</v>
      </c>
      <c r="B100" s="570" t="s">
        <v>344</v>
      </c>
      <c r="C100" s="240" t="s">
        <v>517</v>
      </c>
      <c r="D100" s="329" t="s">
        <v>654</v>
      </c>
      <c r="E100" s="329" t="s">
        <v>508</v>
      </c>
      <c r="F100" s="577" t="s">
        <v>657</v>
      </c>
      <c r="G100" s="240"/>
      <c r="H100" s="171"/>
      <c r="I100" s="291" t="s">
        <v>73</v>
      </c>
      <c r="J100" s="349">
        <f>'RECETAS CAPS'!AW51</f>
        <v>3622.4</v>
      </c>
      <c r="K100" s="443">
        <f>'Gtos Varios'!$B$22</f>
        <v>3070.542857142857</v>
      </c>
      <c r="L100" s="348">
        <f>+LISTPROD3[[#This Row],[TOTAL GASTOS VARIOS]]+LISTPROD3[[#This Row],[PRECIO DE PRODUCCIÓN POR UND]]</f>
        <v>6692.9428571428571</v>
      </c>
      <c r="M100" s="411">
        <f>'RECETAS CAPS'!AW57</f>
        <v>3355.8517999999999</v>
      </c>
      <c r="N100" s="386">
        <f>'RECETAS CAPS'!AX57</f>
        <v>0.46</v>
      </c>
      <c r="O100" s="533">
        <f>'RECETAS CAPS'!AW58</f>
        <v>10651.1818</v>
      </c>
      <c r="P100" s="361">
        <v>9500</v>
      </c>
      <c r="Q100" s="440">
        <f>(LISTPROD3[[#This Row],[PRECIO DE VENTA 1]]-LISTPROD3[[#This Row],[COSTO TOTAL UNIDAD]])/LISTPROD3[[#This Row],[COSTO TOTAL UNIDAD]]</f>
        <v>0.4194055145505074</v>
      </c>
      <c r="R100" s="429">
        <f>LISTPROD3[[#This Row],[% GANANCIA]]*LISTPROD3[[#This Row],[COSTO TOTAL UNIDAD]]</f>
        <v>2807.0571428571429</v>
      </c>
      <c r="S100" s="395"/>
      <c r="T100" s="432">
        <v>7000</v>
      </c>
      <c r="U100" s="440">
        <f>(LISTPROD3[[#This Row],[PRECIO DE VENTA2]]-LISTPROD3[[#This Row],[COSTO TOTAL UNIDAD]])/LISTPROD3[[#This Row],[COSTO TOTAL UNIDAD]]</f>
        <v>4.5877747563531752E-2</v>
      </c>
      <c r="V100" s="429">
        <f>LISTPROD3[[#This Row],[PRECIO DE VENTA2]]*LISTPROD3[[#This Row],[% GANANCIA2]]</f>
        <v>321.14423294472226</v>
      </c>
      <c r="W100" s="391">
        <f>LISTPROD3[[#This Row],[PRECIO DE VENTA2]]-LISTPROD3[[#This Row],[PRECIO VENTA POR RECETA]]</f>
        <v>-3651.1818000000003</v>
      </c>
      <c r="X100" s="432">
        <v>7000</v>
      </c>
      <c r="Y100" s="511">
        <f>(LISTPROD3[[#This Row],[PRECIO DE VENTA 3]]-LISTPROD3[[#This Row],[COSTO TOTAL UNIDAD]])/LISTPROD3[[#This Row],[COSTO TOTAL UNIDAD]]</f>
        <v>4.5877747563531752E-2</v>
      </c>
      <c r="Z100" s="429">
        <f>LISTPROD3[[#This Row],[% GANANCIA3]]*LISTPROD3[[#This Row],[COSTO TOTAL UNIDAD]]</f>
        <v>307.05714285714294</v>
      </c>
      <c r="AA100" s="395"/>
      <c r="AB100" s="395"/>
      <c r="AC100" s="67">
        <v>9500</v>
      </c>
      <c r="AD100" s="67">
        <v>7000</v>
      </c>
      <c r="AE100" s="67">
        <v>7000</v>
      </c>
      <c r="AF100" s="68">
        <v>7000</v>
      </c>
      <c r="AG100" s="48" t="s">
        <v>336</v>
      </c>
      <c r="AH100" s="7" t="s">
        <v>304</v>
      </c>
    </row>
    <row r="101" spans="1:34" x14ac:dyDescent="0.25">
      <c r="A101" s="573" t="s">
        <v>345</v>
      </c>
      <c r="B101" s="574" t="s">
        <v>346</v>
      </c>
      <c r="C101" s="240" t="s">
        <v>663</v>
      </c>
      <c r="D101" s="329" t="s">
        <v>654</v>
      </c>
      <c r="E101" s="329" t="s">
        <v>644</v>
      </c>
      <c r="F101" s="577" t="s">
        <v>663</v>
      </c>
      <c r="G101" s="240"/>
      <c r="H101" s="171"/>
      <c r="I101" s="187" t="s">
        <v>73</v>
      </c>
      <c r="J101" s="346">
        <f>'RECETAS GOTAS'!BD24</f>
        <v>3940.8739</v>
      </c>
      <c r="K101" s="346">
        <f>'Gtos Varios'!$B$22</f>
        <v>3070.542857142857</v>
      </c>
      <c r="L101" s="346">
        <f>+LISTPROD3[[#This Row],[TOTAL GASTOS VARIOS]]+LISTPROD3[[#This Row],[PRECIO DE PRODUCCIÓN POR UND]]</f>
        <v>7011.416757142857</v>
      </c>
      <c r="M101" s="407">
        <f>'RECETAS GOTAS'!BD29</f>
        <v>3014.9092055714286</v>
      </c>
      <c r="N101" s="522">
        <f>'RECETAS GOTAS'!BE29</f>
        <v>0.43</v>
      </c>
      <c r="O101" s="566">
        <f>'RECETAS GOTAS'!BD30</f>
        <v>10026.325962714285</v>
      </c>
      <c r="P101" s="433">
        <v>8000</v>
      </c>
      <c r="Q101" s="440">
        <f>(LISTPROD3[[#This Row],[PRECIO DE VENTA 1]]-LISTPROD3[[#This Row],[COSTO TOTAL UNIDAD]])/LISTPROD3[[#This Row],[COSTO TOTAL UNIDAD]]</f>
        <v>0.14099621761180109</v>
      </c>
      <c r="R101" s="429">
        <f>LISTPROD3[[#This Row],[% GANANCIA]]*LISTPROD3[[#This Row],[COSTO TOTAL UNIDAD]]</f>
        <v>988.58324285714298</v>
      </c>
      <c r="S101" s="396"/>
      <c r="T101" s="433">
        <v>7000</v>
      </c>
      <c r="U101" s="440">
        <f>(LISTPROD3[[#This Row],[PRECIO DE VENTA2]]-LISTPROD3[[#This Row],[COSTO TOTAL UNIDAD]])/LISTPROD3[[#This Row],[COSTO TOTAL UNIDAD]]</f>
        <v>-1.6283095896740471E-3</v>
      </c>
      <c r="V101" s="429">
        <f>LISTPROD3[[#This Row],[PRECIO DE VENTA2]]*LISTPROD3[[#This Row],[% GANANCIA2]]</f>
        <v>-11.398167127718329</v>
      </c>
      <c r="W101" s="391">
        <f>LISTPROD3[[#This Row],[PRECIO DE VENTA2]]-LISTPROD3[[#This Row],[PRECIO VENTA POR RECETA]]</f>
        <v>-3026.3259627142852</v>
      </c>
      <c r="X101" s="433">
        <v>7000</v>
      </c>
      <c r="Y101" s="511">
        <f>(LISTPROD3[[#This Row],[PRECIO DE VENTA 3]]-LISTPROD3[[#This Row],[COSTO TOTAL UNIDAD]])/LISTPROD3[[#This Row],[COSTO TOTAL UNIDAD]]</f>
        <v>-1.6283095896740471E-3</v>
      </c>
      <c r="Z101" s="429">
        <f>LISTPROD3[[#This Row],[% GANANCIA3]]*LISTPROD3[[#This Row],[COSTO TOTAL UNIDAD]]</f>
        <v>-11.416757142857023</v>
      </c>
      <c r="AA101" s="396"/>
      <c r="AB101" s="396"/>
      <c r="AC101" s="303">
        <v>8000</v>
      </c>
      <c r="AD101" s="303">
        <v>7000</v>
      </c>
      <c r="AE101" s="303">
        <v>7000</v>
      </c>
      <c r="AF101" s="304">
        <v>7000</v>
      </c>
      <c r="AG101" s="40" t="s">
        <v>336</v>
      </c>
      <c r="AH101" s="242" t="s">
        <v>304</v>
      </c>
    </row>
    <row r="102" spans="1:34" x14ac:dyDescent="0.25">
      <c r="A102" s="571" t="s">
        <v>347</v>
      </c>
      <c r="B102" s="570" t="s">
        <v>348</v>
      </c>
      <c r="C102" s="240" t="s">
        <v>663</v>
      </c>
      <c r="D102" s="329" t="s">
        <v>654</v>
      </c>
      <c r="E102" s="329" t="s">
        <v>644</v>
      </c>
      <c r="F102" s="577" t="s">
        <v>663</v>
      </c>
      <c r="G102" s="240"/>
      <c r="H102" s="171"/>
      <c r="I102" s="188" t="s">
        <v>73</v>
      </c>
      <c r="J102" s="352">
        <f>'RECETAS GOTAS'!BS24</f>
        <v>1908.7380000000001</v>
      </c>
      <c r="K102" s="346">
        <f>'Gtos Varios'!$B$22</f>
        <v>3070.542857142857</v>
      </c>
      <c r="L102" s="346">
        <f>+LISTPROD3[[#This Row],[TOTAL GASTOS VARIOS]]+LISTPROD3[[#This Row],[PRECIO DE PRODUCCIÓN POR UND]]</f>
        <v>4979.2808571428568</v>
      </c>
      <c r="M102" s="417">
        <f>'RECETAS GOTAS'!BS29</f>
        <v>2987.5685142857142</v>
      </c>
      <c r="N102" s="386">
        <f>'RECETAS GOTAS'!BT29</f>
        <v>0.6</v>
      </c>
      <c r="O102" s="533">
        <f>'RECETAS GOTAS'!BS30</f>
        <v>7966.8493714285705</v>
      </c>
      <c r="P102" s="432">
        <v>8000</v>
      </c>
      <c r="Q102" s="440">
        <f>(LISTPROD3[[#This Row],[PRECIO DE VENTA 1]]-LISTPROD3[[#This Row],[COSTO TOTAL UNIDAD]])/LISTPROD3[[#This Row],[COSTO TOTAL UNIDAD]]</f>
        <v>0.60665771414036107</v>
      </c>
      <c r="R102" s="429">
        <f>LISTPROD3[[#This Row],[% GANANCIA]]*LISTPROD3[[#This Row],[COSTO TOTAL UNIDAD]]</f>
        <v>3020.7191428571432</v>
      </c>
      <c r="S102" s="395"/>
      <c r="T102" s="432">
        <v>7000</v>
      </c>
      <c r="U102" s="440">
        <f>(LISTPROD3[[#This Row],[PRECIO DE VENTA2]]-LISTPROD3[[#This Row],[COSTO TOTAL UNIDAD]])/LISTPROD3[[#This Row],[COSTO TOTAL UNIDAD]]</f>
        <v>0.40582549987281591</v>
      </c>
      <c r="V102" s="429">
        <f>LISTPROD3[[#This Row],[PRECIO DE VENTA2]]*LISTPROD3[[#This Row],[% GANANCIA2]]</f>
        <v>2840.7784991097114</v>
      </c>
      <c r="W102" s="391">
        <f>LISTPROD3[[#This Row],[PRECIO DE VENTA2]]-LISTPROD3[[#This Row],[PRECIO VENTA POR RECETA]]</f>
        <v>-966.84937142857052</v>
      </c>
      <c r="X102" s="432">
        <v>7000</v>
      </c>
      <c r="Y102" s="511">
        <f>(LISTPROD3[[#This Row],[PRECIO DE VENTA 3]]-LISTPROD3[[#This Row],[COSTO TOTAL UNIDAD]])/LISTPROD3[[#This Row],[COSTO TOTAL UNIDAD]]</f>
        <v>0.40582549987281591</v>
      </c>
      <c r="Z102" s="429">
        <f>LISTPROD3[[#This Row],[% GANANCIA3]]*LISTPROD3[[#This Row],[COSTO TOTAL UNIDAD]]</f>
        <v>2020.7191428571432</v>
      </c>
      <c r="AA102" s="395"/>
      <c r="AB102" s="395"/>
      <c r="AC102" s="67">
        <v>8000</v>
      </c>
      <c r="AD102" s="67">
        <v>7000</v>
      </c>
      <c r="AE102" s="67">
        <v>7000</v>
      </c>
      <c r="AF102" s="68">
        <v>7000</v>
      </c>
      <c r="AG102" s="48" t="s">
        <v>336</v>
      </c>
      <c r="AH102" s="242" t="s">
        <v>304</v>
      </c>
    </row>
    <row r="103" spans="1:34" x14ac:dyDescent="0.25">
      <c r="A103" s="571" t="s">
        <v>349</v>
      </c>
      <c r="B103" s="570" t="s">
        <v>350</v>
      </c>
      <c r="C103" s="240" t="s">
        <v>663</v>
      </c>
      <c r="D103" s="329" t="s">
        <v>654</v>
      </c>
      <c r="E103" s="329" t="s">
        <v>644</v>
      </c>
      <c r="F103" s="577" t="s">
        <v>663</v>
      </c>
      <c r="G103" s="240"/>
      <c r="H103" s="171"/>
      <c r="I103" s="187" t="s">
        <v>73</v>
      </c>
      <c r="J103" s="353">
        <f>'RECETAS GOTAS'!CH24</f>
        <v>1837.35</v>
      </c>
      <c r="K103" s="346">
        <f>'Gtos Varios'!$B$22</f>
        <v>3070.542857142857</v>
      </c>
      <c r="L103" s="346">
        <f>+LISTPROD3[[#This Row],[TOTAL GASTOS VARIOS]]+LISTPROD3[[#This Row],[PRECIO DE PRODUCCIÓN POR UND]]</f>
        <v>4907.8928571428569</v>
      </c>
      <c r="M103" s="418">
        <f>'RECETAS GOTAS'!CH29</f>
        <v>2993.8146428571426</v>
      </c>
      <c r="N103" s="386">
        <f>'RECETAS GOTAS'!CI29</f>
        <v>0.61</v>
      </c>
      <c r="O103" s="533">
        <f>'RECETAS GOTAS'!CH30</f>
        <v>7901.7074999999995</v>
      </c>
      <c r="P103" s="432">
        <v>8000</v>
      </c>
      <c r="Q103" s="440">
        <f>(LISTPROD3[[#This Row],[PRECIO DE VENTA 1]]-LISTPROD3[[#This Row],[COSTO TOTAL UNIDAD]])/LISTPROD3[[#This Row],[COSTO TOTAL UNIDAD]]</f>
        <v>0.63002743394386607</v>
      </c>
      <c r="R103" s="429">
        <f>LISTPROD3[[#This Row],[% GANANCIA]]*LISTPROD3[[#This Row],[COSTO TOTAL UNIDAD]]</f>
        <v>3092.1071428571436</v>
      </c>
      <c r="S103" s="395"/>
      <c r="T103" s="432">
        <v>7000</v>
      </c>
      <c r="U103" s="440">
        <f>(LISTPROD3[[#This Row],[PRECIO DE VENTA2]]-LISTPROD3[[#This Row],[COSTO TOTAL UNIDAD]])/LISTPROD3[[#This Row],[COSTO TOTAL UNIDAD]]</f>
        <v>0.42627400470088278</v>
      </c>
      <c r="V103" s="429">
        <f>LISTPROD3[[#This Row],[PRECIO DE VENTA2]]*LISTPROD3[[#This Row],[% GANANCIA2]]</f>
        <v>2983.9180329061796</v>
      </c>
      <c r="W103" s="391">
        <f>LISTPROD3[[#This Row],[PRECIO DE VENTA2]]-LISTPROD3[[#This Row],[PRECIO VENTA POR RECETA]]</f>
        <v>-901.70749999999953</v>
      </c>
      <c r="X103" s="432">
        <v>7000</v>
      </c>
      <c r="Y103" s="511">
        <f>(LISTPROD3[[#This Row],[PRECIO DE VENTA 3]]-LISTPROD3[[#This Row],[COSTO TOTAL UNIDAD]])/LISTPROD3[[#This Row],[COSTO TOTAL UNIDAD]]</f>
        <v>0.42627400470088278</v>
      </c>
      <c r="Z103" s="429">
        <f>LISTPROD3[[#This Row],[% GANANCIA3]]*LISTPROD3[[#This Row],[COSTO TOTAL UNIDAD]]</f>
        <v>2092.1071428571431</v>
      </c>
      <c r="AA103" s="395"/>
      <c r="AB103" s="395"/>
      <c r="AC103" s="69">
        <v>8000</v>
      </c>
      <c r="AD103" s="69">
        <v>7000</v>
      </c>
      <c r="AE103" s="69">
        <v>7000</v>
      </c>
      <c r="AF103" s="70">
        <v>7000</v>
      </c>
      <c r="AG103" s="40" t="s">
        <v>336</v>
      </c>
      <c r="AH103" s="242" t="s">
        <v>304</v>
      </c>
    </row>
    <row r="104" spans="1:34" x14ac:dyDescent="0.25">
      <c r="A104" s="571" t="s">
        <v>351</v>
      </c>
      <c r="B104" s="570" t="s">
        <v>352</v>
      </c>
      <c r="C104" s="240" t="s">
        <v>663</v>
      </c>
      <c r="D104" s="329" t="s">
        <v>654</v>
      </c>
      <c r="E104" s="329" t="s">
        <v>644</v>
      </c>
      <c r="F104" s="577" t="s">
        <v>663</v>
      </c>
      <c r="G104" s="371"/>
      <c r="H104" s="170"/>
      <c r="I104" s="188" t="s">
        <v>73</v>
      </c>
      <c r="J104" s="352">
        <f>'RECETAS GOTAS'!K57</f>
        <v>2006</v>
      </c>
      <c r="K104" s="346">
        <f>'Gtos Varios'!$B$22</f>
        <v>3070.542857142857</v>
      </c>
      <c r="L104" s="346">
        <f>+LISTPROD3[[#This Row],[TOTAL GASTOS VARIOS]]+LISTPROD3[[#This Row],[PRECIO DE PRODUCCIÓN POR UND]]</f>
        <v>5076.5428571428565</v>
      </c>
      <c r="M104" s="417">
        <f>'RECETAS GOTAS'!K62</f>
        <v>3350.5686999999998</v>
      </c>
      <c r="N104" s="386">
        <f>'RECETAS GOTAS'!L62</f>
        <v>0.59</v>
      </c>
      <c r="O104" s="533">
        <f>'RECETAS GOTAS'!K63</f>
        <v>9029.4987000000001</v>
      </c>
      <c r="P104" s="432">
        <v>8000</v>
      </c>
      <c r="Q104" s="440">
        <f>(LISTPROD3[[#This Row],[PRECIO DE VENTA 1]]-LISTPROD3[[#This Row],[COSTO TOTAL UNIDAD]])/LISTPROD3[[#This Row],[COSTO TOTAL UNIDAD]]</f>
        <v>0.57587559587795989</v>
      </c>
      <c r="R104" s="429">
        <f>LISTPROD3[[#This Row],[% GANANCIA]]*LISTPROD3[[#This Row],[COSTO TOTAL UNIDAD]]</f>
        <v>2923.4571428571435</v>
      </c>
      <c r="S104" s="395"/>
      <c r="T104" s="432">
        <v>7000</v>
      </c>
      <c r="U104" s="440">
        <f>(LISTPROD3[[#This Row],[PRECIO DE VENTA2]]-LISTPROD3[[#This Row],[COSTO TOTAL UNIDAD]])/LISTPROD3[[#This Row],[COSTO TOTAL UNIDAD]]</f>
        <v>0.37889114639321492</v>
      </c>
      <c r="V104" s="429">
        <f>LISTPROD3[[#This Row],[PRECIO DE VENTA2]]*LISTPROD3[[#This Row],[% GANANCIA2]]</f>
        <v>2652.2380247525043</v>
      </c>
      <c r="W104" s="391">
        <f>LISTPROD3[[#This Row],[PRECIO DE VENTA2]]-LISTPROD3[[#This Row],[PRECIO VENTA POR RECETA]]</f>
        <v>-2029.4987000000001</v>
      </c>
      <c r="X104" s="432">
        <v>7000</v>
      </c>
      <c r="Y104" s="511">
        <f>(LISTPROD3[[#This Row],[PRECIO DE VENTA 3]]-LISTPROD3[[#This Row],[COSTO TOTAL UNIDAD]])/LISTPROD3[[#This Row],[COSTO TOTAL UNIDAD]]</f>
        <v>0.37889114639321492</v>
      </c>
      <c r="Z104" s="429">
        <f>LISTPROD3[[#This Row],[% GANANCIA3]]*LISTPROD3[[#This Row],[COSTO TOTAL UNIDAD]]</f>
        <v>1923.4571428571435</v>
      </c>
      <c r="AA104" s="395"/>
      <c r="AB104" s="395"/>
      <c r="AC104" s="67">
        <v>8000</v>
      </c>
      <c r="AD104" s="67">
        <v>7000</v>
      </c>
      <c r="AE104" s="67">
        <v>7000</v>
      </c>
      <c r="AF104" s="68">
        <v>7000</v>
      </c>
      <c r="AG104" s="48" t="s">
        <v>336</v>
      </c>
      <c r="AH104" s="242" t="s">
        <v>304</v>
      </c>
    </row>
    <row r="105" spans="1:34" x14ac:dyDescent="0.25">
      <c r="A105" s="571" t="s">
        <v>353</v>
      </c>
      <c r="B105" s="570" t="s">
        <v>354</v>
      </c>
      <c r="C105" s="240" t="s">
        <v>663</v>
      </c>
      <c r="D105" s="329" t="s">
        <v>654</v>
      </c>
      <c r="E105" s="329" t="s">
        <v>644</v>
      </c>
      <c r="F105" s="577" t="s">
        <v>663</v>
      </c>
      <c r="G105" s="240"/>
      <c r="H105" s="171"/>
      <c r="I105" s="187" t="s">
        <v>73</v>
      </c>
      <c r="J105" s="353">
        <f>'RECETAS GOTAS'!Z57</f>
        <v>1863.2</v>
      </c>
      <c r="K105" s="346">
        <f>'Gtos Varios'!$B$22</f>
        <v>3070.542857142857</v>
      </c>
      <c r="L105" s="346">
        <f>+LISTPROD3[[#This Row],[TOTAL GASTOS VARIOS]]+LISTPROD3[[#This Row],[PRECIO DE PRODUCCIÓN POR UND]]</f>
        <v>4933.7428571428572</v>
      </c>
      <c r="M105" s="418">
        <f>'RECETAS GOTAS'!Z62</f>
        <v>3377.0392999999999</v>
      </c>
      <c r="N105" s="386">
        <f>'RECETAS GOTAS'!AA62</f>
        <v>0.61</v>
      </c>
      <c r="O105" s="533">
        <f>'RECETAS GOTAS'!Z63</f>
        <v>8913.1692999999996</v>
      </c>
      <c r="P105" s="432">
        <v>8000</v>
      </c>
      <c r="Q105" s="440">
        <f>(LISTPROD3[[#This Row],[PRECIO DE VENTA 1]]-LISTPROD3[[#This Row],[COSTO TOTAL UNIDAD]])/LISTPROD3[[#This Row],[COSTO TOTAL UNIDAD]]</f>
        <v>0.621487019417307</v>
      </c>
      <c r="R105" s="429">
        <f>LISTPROD3[[#This Row],[% GANANCIA]]*LISTPROD3[[#This Row],[COSTO TOTAL UNIDAD]]</f>
        <v>3066.2571428571428</v>
      </c>
      <c r="S105" s="395"/>
      <c r="T105" s="432">
        <v>7000</v>
      </c>
      <c r="U105" s="440">
        <f>(LISTPROD3[[#This Row],[PRECIO DE VENTA2]]-LISTPROD3[[#This Row],[COSTO TOTAL UNIDAD]])/LISTPROD3[[#This Row],[COSTO TOTAL UNIDAD]]</f>
        <v>0.41880114199014362</v>
      </c>
      <c r="V105" s="429">
        <f>LISTPROD3[[#This Row],[PRECIO DE VENTA2]]*LISTPROD3[[#This Row],[% GANANCIA2]]</f>
        <v>2931.6079939310052</v>
      </c>
      <c r="W105" s="391">
        <f>LISTPROD3[[#This Row],[PRECIO DE VENTA2]]-LISTPROD3[[#This Row],[PRECIO VENTA POR RECETA]]</f>
        <v>-1913.1692999999996</v>
      </c>
      <c r="X105" s="432">
        <v>7000</v>
      </c>
      <c r="Y105" s="511">
        <f>(LISTPROD3[[#This Row],[PRECIO DE VENTA 3]]-LISTPROD3[[#This Row],[COSTO TOTAL UNIDAD]])/LISTPROD3[[#This Row],[COSTO TOTAL UNIDAD]]</f>
        <v>0.41880114199014362</v>
      </c>
      <c r="Z105" s="429">
        <f>LISTPROD3[[#This Row],[% GANANCIA3]]*LISTPROD3[[#This Row],[COSTO TOTAL UNIDAD]]</f>
        <v>2066.2571428571428</v>
      </c>
      <c r="AA105" s="395"/>
      <c r="AB105" s="395"/>
      <c r="AC105" s="69">
        <v>8000</v>
      </c>
      <c r="AD105" s="69">
        <v>7000</v>
      </c>
      <c r="AE105" s="69">
        <v>7000</v>
      </c>
      <c r="AF105" s="70">
        <v>7000</v>
      </c>
      <c r="AG105" s="40" t="s">
        <v>336</v>
      </c>
      <c r="AH105" s="242" t="s">
        <v>304</v>
      </c>
    </row>
    <row r="106" spans="1:34" ht="18" customHeight="1" x14ac:dyDescent="0.25">
      <c r="A106" s="571" t="s">
        <v>355</v>
      </c>
      <c r="B106" s="570" t="s">
        <v>356</v>
      </c>
      <c r="C106" s="240" t="s">
        <v>517</v>
      </c>
      <c r="D106" s="329" t="s">
        <v>654</v>
      </c>
      <c r="E106" s="329" t="s">
        <v>508</v>
      </c>
      <c r="F106" s="577" t="s">
        <v>657</v>
      </c>
      <c r="G106" s="371"/>
      <c r="H106" s="170"/>
      <c r="I106" s="291" t="s">
        <v>73</v>
      </c>
      <c r="J106" s="349">
        <f>'RECETAS CAPS'!BK51</f>
        <v>3311.81</v>
      </c>
      <c r="K106" s="443">
        <f>'Gtos Varios'!$B$22</f>
        <v>3070.542857142857</v>
      </c>
      <c r="L106" s="348">
        <f>+LISTPROD3[[#This Row],[TOTAL GASTOS VARIOS]]+LISTPROD3[[#This Row],[PRECIO DE PRODUCCIÓN POR UND]]</f>
        <v>6382.3528571428569</v>
      </c>
      <c r="M106" s="411">
        <f>'RECETAS CAPS'!BK57</f>
        <v>3422.5225999999998</v>
      </c>
      <c r="N106" s="386">
        <f>'RECETAS CAPS'!BL57</f>
        <v>0.49</v>
      </c>
      <c r="O106" s="533">
        <f>'RECETAS CAPS'!BK58</f>
        <v>10407.2626</v>
      </c>
      <c r="P106" s="361">
        <v>9500</v>
      </c>
      <c r="Q106" s="440">
        <f>(LISTPROD3[[#This Row],[PRECIO DE VENTA 1]]-LISTPROD3[[#This Row],[COSTO TOTAL UNIDAD]])/LISTPROD3[[#This Row],[COSTO TOTAL UNIDAD]]</f>
        <v>0.48847928227095833</v>
      </c>
      <c r="R106" s="429">
        <f>LISTPROD3[[#This Row],[% GANANCIA]]*LISTPROD3[[#This Row],[COSTO TOTAL UNIDAD]]</f>
        <v>3117.6471428571431</v>
      </c>
      <c r="S106" s="395"/>
      <c r="T106" s="432">
        <v>7000</v>
      </c>
      <c r="U106" s="440">
        <f>(LISTPROD3[[#This Row],[PRECIO DE VENTA2]]-LISTPROD3[[#This Row],[COSTO TOTAL UNIDAD]])/LISTPROD3[[#This Row],[COSTO TOTAL UNIDAD]]</f>
        <v>9.6774207989127198E-2</v>
      </c>
      <c r="V106" s="429">
        <f>LISTPROD3[[#This Row],[PRECIO DE VENTA2]]*LISTPROD3[[#This Row],[% GANANCIA2]]</f>
        <v>677.41945592389038</v>
      </c>
      <c r="W106" s="391">
        <f>LISTPROD3[[#This Row],[PRECIO DE VENTA2]]-LISTPROD3[[#This Row],[PRECIO VENTA POR RECETA]]</f>
        <v>-3407.2626</v>
      </c>
      <c r="X106" s="432">
        <v>7000</v>
      </c>
      <c r="Y106" s="511">
        <f>(LISTPROD3[[#This Row],[PRECIO DE VENTA 3]]-LISTPROD3[[#This Row],[COSTO TOTAL UNIDAD]])/LISTPROD3[[#This Row],[COSTO TOTAL UNIDAD]]</f>
        <v>9.6774207989127198E-2</v>
      </c>
      <c r="Z106" s="429">
        <f>LISTPROD3[[#This Row],[% GANANCIA3]]*LISTPROD3[[#This Row],[COSTO TOTAL UNIDAD]]</f>
        <v>617.64714285714308</v>
      </c>
      <c r="AA106" s="395"/>
      <c r="AB106" s="395"/>
      <c r="AC106" s="67">
        <v>9500</v>
      </c>
      <c r="AD106" s="67">
        <v>7000</v>
      </c>
      <c r="AE106" s="67">
        <v>7000</v>
      </c>
      <c r="AF106" s="68">
        <v>7000</v>
      </c>
      <c r="AG106" s="48" t="s">
        <v>336</v>
      </c>
      <c r="AH106" s="7" t="s">
        <v>304</v>
      </c>
    </row>
    <row r="107" spans="1:34" ht="18" customHeight="1" x14ac:dyDescent="0.25">
      <c r="A107" s="572" t="s">
        <v>357</v>
      </c>
      <c r="B107" s="569" t="s">
        <v>358</v>
      </c>
      <c r="C107" s="240" t="s">
        <v>517</v>
      </c>
      <c r="D107" s="330" t="s">
        <v>654</v>
      </c>
      <c r="E107" s="329" t="s">
        <v>508</v>
      </c>
      <c r="F107" s="577" t="s">
        <v>657</v>
      </c>
      <c r="G107" s="376"/>
      <c r="H107" s="174"/>
      <c r="I107" s="294" t="s">
        <v>73</v>
      </c>
      <c r="J107" s="354">
        <f>'RECETAS CAPS'!BY51</f>
        <v>2979.8</v>
      </c>
      <c r="K107" s="443">
        <f>'Gtos Varios'!$B$22</f>
        <v>3070.542857142857</v>
      </c>
      <c r="L107" s="348">
        <f>+LISTPROD3[[#This Row],[TOTAL GASTOS VARIOS]]+LISTPROD3[[#This Row],[PRECIO DE PRODUCCIÓN POR UND]]</f>
        <v>6050.3428571428576</v>
      </c>
      <c r="M107" s="419">
        <f>'RECETAS CAPS'!BY57</f>
        <v>3392.8923</v>
      </c>
      <c r="N107" s="386">
        <f>'RECETAS CAPS'!BZ57</f>
        <v>0.51</v>
      </c>
      <c r="O107" s="533">
        <f>'RECETAS CAPS'!BY58</f>
        <v>10045.622299999999</v>
      </c>
      <c r="P107" s="361">
        <v>8800</v>
      </c>
      <c r="Q107" s="440">
        <f>(LISTPROD3[[#This Row],[PRECIO DE VENTA 1]]-LISTPROD3[[#This Row],[COSTO TOTAL UNIDAD]])/LISTPROD3[[#This Row],[COSTO TOTAL UNIDAD]]</f>
        <v>0.45446302924981807</v>
      </c>
      <c r="R107" s="429">
        <f>LISTPROD3[[#This Row],[% GANANCIA]]*LISTPROD3[[#This Row],[COSTO TOTAL UNIDAD]]</f>
        <v>2749.6571428571424</v>
      </c>
      <c r="S107" s="397"/>
      <c r="T107" s="432">
        <v>7000</v>
      </c>
      <c r="U107" s="440">
        <f>(LISTPROD3[[#This Row],[PRECIO DE VENTA2]]-LISTPROD3[[#This Row],[COSTO TOTAL UNIDAD]])/LISTPROD3[[#This Row],[COSTO TOTAL UNIDAD]]</f>
        <v>0.1569592278123553</v>
      </c>
      <c r="V107" s="429">
        <f>LISTPROD3[[#This Row],[PRECIO DE VENTA2]]*LISTPROD3[[#This Row],[% GANANCIA2]]</f>
        <v>1098.7145946864871</v>
      </c>
      <c r="W107" s="391">
        <f>LISTPROD3[[#This Row],[PRECIO DE VENTA2]]-LISTPROD3[[#This Row],[PRECIO VENTA POR RECETA]]</f>
        <v>-3045.6222999999991</v>
      </c>
      <c r="X107" s="432">
        <v>7000</v>
      </c>
      <c r="Y107" s="511">
        <f>(LISTPROD3[[#This Row],[PRECIO DE VENTA 3]]-LISTPROD3[[#This Row],[COSTO TOTAL UNIDAD]])/LISTPROD3[[#This Row],[COSTO TOTAL UNIDAD]]</f>
        <v>0.1569592278123553</v>
      </c>
      <c r="Z107" s="429">
        <f>LISTPROD3[[#This Row],[% GANANCIA3]]*LISTPROD3[[#This Row],[COSTO TOTAL UNIDAD]]</f>
        <v>949.6571428571425</v>
      </c>
      <c r="AA107" s="397"/>
      <c r="AB107" s="397"/>
      <c r="AC107" s="311">
        <v>8800</v>
      </c>
      <c r="AD107" s="69">
        <v>7000</v>
      </c>
      <c r="AE107" s="69">
        <v>7000</v>
      </c>
      <c r="AF107" s="70">
        <v>7000</v>
      </c>
      <c r="AG107" s="76" t="s">
        <v>329</v>
      </c>
      <c r="AH107" s="7" t="s">
        <v>304</v>
      </c>
    </row>
    <row r="108" spans="1:34" ht="23.25" x14ac:dyDescent="0.25">
      <c r="A108" s="575" t="s">
        <v>367</v>
      </c>
      <c r="B108" s="576" t="s">
        <v>383</v>
      </c>
      <c r="C108" s="240" t="s">
        <v>663</v>
      </c>
      <c r="D108" s="330" t="s">
        <v>654</v>
      </c>
      <c r="E108" s="329" t="s">
        <v>644</v>
      </c>
      <c r="F108" s="577" t="s">
        <v>663</v>
      </c>
      <c r="G108" s="377"/>
      <c r="H108" s="175"/>
      <c r="I108" s="193" t="s">
        <v>73</v>
      </c>
      <c r="J108" s="355">
        <f>'RECETAS GOTAS'!AO57</f>
        <v>1921.6</v>
      </c>
      <c r="K108" s="346">
        <f>'Gtos Varios'!$B$22</f>
        <v>3070.542857142857</v>
      </c>
      <c r="L108" s="346">
        <f>+LISTPROD3[[#This Row],[TOTAL GASTOS VARIOS]]+LISTPROD3[[#This Row],[PRECIO DE PRODUCCIÓN POR UND]]</f>
        <v>4992.1428571428569</v>
      </c>
      <c r="M108" s="420">
        <f>'RECETAS GOTAS'!AO62</f>
        <v>3412.6632999999997</v>
      </c>
      <c r="N108" s="523">
        <f>'RECETAS GOTAS'!AP62</f>
        <v>0.61</v>
      </c>
      <c r="O108" s="567">
        <f>'RECETAS GOTAS'!AO63</f>
        <v>9007.193299999999</v>
      </c>
      <c r="P108" s="434">
        <v>8000</v>
      </c>
      <c r="Q108" s="440">
        <f>(LISTPROD3[[#This Row],[PRECIO DE VENTA 1]]-LISTPROD3[[#This Row],[COSTO TOTAL UNIDAD]])/LISTPROD3[[#This Row],[COSTO TOTAL UNIDAD]]</f>
        <v>0.60251824295321232</v>
      </c>
      <c r="R108" s="429">
        <f>LISTPROD3[[#This Row],[% GANANCIA]]*LISTPROD3[[#This Row],[COSTO TOTAL UNIDAD]]</f>
        <v>3007.8571428571436</v>
      </c>
      <c r="S108" s="398"/>
      <c r="T108" s="434"/>
      <c r="U108" s="440"/>
      <c r="V108" s="429"/>
      <c r="W108" s="391"/>
      <c r="X108" s="434"/>
      <c r="Y108" s="398"/>
      <c r="Z108" s="398"/>
      <c r="AA108" s="398"/>
      <c r="AB108" s="398"/>
      <c r="AC108" s="305">
        <v>8000</v>
      </c>
      <c r="AD108" s="305"/>
      <c r="AE108" s="305"/>
      <c r="AF108" s="306"/>
      <c r="AG108" s="253" t="s">
        <v>390</v>
      </c>
      <c r="AH108" s="242" t="s">
        <v>304</v>
      </c>
    </row>
    <row r="109" spans="1:34" ht="23.25" x14ac:dyDescent="0.25">
      <c r="A109" s="571" t="s">
        <v>384</v>
      </c>
      <c r="B109" s="570" t="s">
        <v>385</v>
      </c>
      <c r="C109" s="240" t="s">
        <v>663</v>
      </c>
      <c r="D109" s="329" t="s">
        <v>654</v>
      </c>
      <c r="E109" s="329" t="s">
        <v>644</v>
      </c>
      <c r="F109" s="577" t="s">
        <v>663</v>
      </c>
      <c r="G109" s="240"/>
      <c r="H109" s="252"/>
      <c r="I109" s="187" t="s">
        <v>73</v>
      </c>
      <c r="J109" s="353">
        <f>'RECETAS GOTAS'!BD57</f>
        <v>1863.2</v>
      </c>
      <c r="K109" s="346">
        <f>'Gtos Varios'!$B$22</f>
        <v>3070.542857142857</v>
      </c>
      <c r="L109" s="346">
        <f>+LISTPROD3[[#This Row],[TOTAL GASTOS VARIOS]]+LISTPROD3[[#This Row],[PRECIO DE PRODUCCIÓN POR UND]]</f>
        <v>4933.7428571428572</v>
      </c>
      <c r="M109" s="418">
        <f>'RECETAS GOTAS'!BD62</f>
        <v>3009.5831428571428</v>
      </c>
      <c r="N109" s="386">
        <f>'RECETAS GOTAS'!BE62</f>
        <v>0.61</v>
      </c>
      <c r="O109" s="533">
        <f>'RECETAS GOTAS'!BD63</f>
        <v>7943.326</v>
      </c>
      <c r="P109" s="432">
        <v>8000</v>
      </c>
      <c r="Q109" s="440">
        <f>(LISTPROD3[[#This Row],[PRECIO DE VENTA 1]]-LISTPROD3[[#This Row],[COSTO TOTAL UNIDAD]])/LISTPROD3[[#This Row],[COSTO TOTAL UNIDAD]]</f>
        <v>0.621487019417307</v>
      </c>
      <c r="R109" s="429">
        <f>LISTPROD3[[#This Row],[% GANANCIA]]*LISTPROD3[[#This Row],[COSTO TOTAL UNIDAD]]</f>
        <v>3066.2571428571428</v>
      </c>
      <c r="S109" s="395"/>
      <c r="T109" s="432"/>
      <c r="U109" s="440"/>
      <c r="V109" s="429"/>
      <c r="W109" s="391"/>
      <c r="X109" s="432"/>
      <c r="Y109" s="395"/>
      <c r="Z109" s="395"/>
      <c r="AA109" s="395"/>
      <c r="AB109" s="395"/>
      <c r="AC109" s="86">
        <v>8000</v>
      </c>
      <c r="AD109" s="87"/>
      <c r="AE109" s="87"/>
      <c r="AF109" s="87"/>
      <c r="AG109" s="90" t="s">
        <v>390</v>
      </c>
      <c r="AH109" s="257" t="s">
        <v>304</v>
      </c>
    </row>
    <row r="110" spans="1:34" ht="18" customHeight="1" x14ac:dyDescent="0.25">
      <c r="A110" s="571" t="s">
        <v>386</v>
      </c>
      <c r="B110" s="569" t="s">
        <v>387</v>
      </c>
      <c r="C110" s="255" t="s">
        <v>517</v>
      </c>
      <c r="D110" s="331" t="s">
        <v>654</v>
      </c>
      <c r="E110" s="329" t="s">
        <v>508</v>
      </c>
      <c r="F110" s="577" t="s">
        <v>657</v>
      </c>
      <c r="G110" s="378"/>
      <c r="H110" s="160"/>
      <c r="I110" s="295" t="s">
        <v>73</v>
      </c>
      <c r="J110" s="356">
        <f>'RECETAS CAPS'!G19</f>
        <v>3229.7000000000003</v>
      </c>
      <c r="K110" s="443">
        <f>'Gtos Varios'!$B$22</f>
        <v>3070.542857142857</v>
      </c>
      <c r="L110" s="348">
        <f>+LISTPROD3[[#This Row],[TOTAL GASTOS VARIOS]]+LISTPROD3[[#This Row],[PRECIO DE PRODUCCIÓN POR UND]]</f>
        <v>6300.2428571428572</v>
      </c>
      <c r="M110" s="421">
        <f>'RECETAS CAPS'!G25</f>
        <v>3382.2887000000001</v>
      </c>
      <c r="N110" s="387">
        <f>'RECETAS CAPS'!H25</f>
        <v>0.49</v>
      </c>
      <c r="O110" s="532">
        <f>'RECETAS CAPS'!G26</f>
        <v>10284.9187</v>
      </c>
      <c r="P110" s="362">
        <v>9000</v>
      </c>
      <c r="Q110" s="440">
        <f>(LISTPROD3[[#This Row],[PRECIO DE VENTA 1]]-LISTPROD3[[#This Row],[COSTO TOTAL UNIDAD]])/LISTPROD3[[#This Row],[COSTO TOTAL UNIDAD]]</f>
        <v>0.42851636104730656</v>
      </c>
      <c r="R110" s="429">
        <f>LISTPROD3[[#This Row],[% GANANCIA]]*LISTPROD3[[#This Row],[COSTO TOTAL UNIDAD]]</f>
        <v>2699.7571428571428</v>
      </c>
      <c r="S110" s="399"/>
      <c r="T110" s="435"/>
      <c r="U110" s="440"/>
      <c r="V110" s="429"/>
      <c r="W110" s="391"/>
      <c r="X110" s="435"/>
      <c r="Y110" s="399"/>
      <c r="Z110" s="399"/>
      <c r="AA110" s="399"/>
      <c r="AB110" s="399"/>
      <c r="AC110" s="310">
        <v>9000</v>
      </c>
      <c r="AD110" s="88">
        <v>0</v>
      </c>
      <c r="AE110" s="88">
        <v>0</v>
      </c>
      <c r="AF110" s="88">
        <v>0</v>
      </c>
      <c r="AG110" s="256" t="s">
        <v>329</v>
      </c>
      <c r="AH110" s="7" t="s">
        <v>304</v>
      </c>
    </row>
    <row r="111" spans="1:34" ht="25.5" customHeight="1" x14ac:dyDescent="0.25">
      <c r="A111" s="571" t="s">
        <v>388</v>
      </c>
      <c r="B111" s="569" t="s">
        <v>389</v>
      </c>
      <c r="C111" s="240" t="s">
        <v>517</v>
      </c>
      <c r="D111" s="329" t="s">
        <v>654</v>
      </c>
      <c r="E111" s="329" t="s">
        <v>508</v>
      </c>
      <c r="F111" s="577" t="s">
        <v>657</v>
      </c>
      <c r="G111" s="251"/>
      <c r="H111" s="160"/>
      <c r="I111" s="293" t="s">
        <v>73</v>
      </c>
      <c r="J111" s="351">
        <f>'RECETAS CAPS'!G83</f>
        <v>3979.4</v>
      </c>
      <c r="K111" s="443">
        <f>'Gtos Varios'!$B$22</f>
        <v>3070.542857142857</v>
      </c>
      <c r="L111" s="348">
        <f>+LISTPROD3[[#This Row],[TOTAL GASTOS VARIOS]]+LISTPROD3[[#This Row],[PRECIO DE PRODUCCIÓN POR UND]]</f>
        <v>7049.9428571428571</v>
      </c>
      <c r="M111" s="416">
        <f>'RECETAS CAPS'!G89</f>
        <v>3290.5018999999998</v>
      </c>
      <c r="N111" s="387">
        <f>'RECETAS CAPS'!H89</f>
        <v>0.43</v>
      </c>
      <c r="O111" s="532">
        <f>'RECETAS CAPS'!G90</f>
        <v>10942.831899999999</v>
      </c>
      <c r="P111" s="362">
        <v>9800</v>
      </c>
      <c r="Q111" s="440">
        <f>(LISTPROD3[[#This Row],[PRECIO DE VENTA 1]]-LISTPROD3[[#This Row],[COSTO TOTAL UNIDAD]])/LISTPROD3[[#This Row],[COSTO TOTAL UNIDAD]]</f>
        <v>0.39008218911602122</v>
      </c>
      <c r="R111" s="429">
        <f>LISTPROD3[[#This Row],[% GANANCIA]]*LISTPROD3[[#This Row],[COSTO TOTAL UNIDAD]]</f>
        <v>2750.0571428571429</v>
      </c>
      <c r="S111" s="393"/>
      <c r="T111" s="435"/>
      <c r="U111" s="440"/>
      <c r="V111" s="429"/>
      <c r="W111" s="391"/>
      <c r="X111" s="435"/>
      <c r="Y111" s="393"/>
      <c r="Z111" s="393"/>
      <c r="AA111" s="393"/>
      <c r="AB111" s="393"/>
      <c r="AC111" s="88">
        <v>9800</v>
      </c>
      <c r="AD111" s="88">
        <v>0</v>
      </c>
      <c r="AE111" s="88">
        <v>0</v>
      </c>
      <c r="AF111" s="88">
        <v>0</v>
      </c>
      <c r="AG111" s="90" t="s">
        <v>329</v>
      </c>
      <c r="AH111" s="7" t="s">
        <v>304</v>
      </c>
    </row>
    <row r="112" spans="1:34" ht="23.25" customHeight="1" x14ac:dyDescent="0.25">
      <c r="A112" s="571" t="s">
        <v>627</v>
      </c>
      <c r="B112" s="570" t="s">
        <v>628</v>
      </c>
      <c r="C112" s="251" t="s">
        <v>517</v>
      </c>
      <c r="D112" s="332" t="s">
        <v>654</v>
      </c>
      <c r="E112" s="329" t="s">
        <v>508</v>
      </c>
      <c r="F112" s="577" t="s">
        <v>657</v>
      </c>
      <c r="G112" s="251"/>
      <c r="H112" s="160"/>
      <c r="I112" s="293" t="s">
        <v>73</v>
      </c>
      <c r="J112" s="351">
        <f>'RECETAS CAPS'!G114</f>
        <v>4836.2000000000007</v>
      </c>
      <c r="K112" s="443">
        <f>'Gtos Varios'!$B$22</f>
        <v>3070.542857142857</v>
      </c>
      <c r="L112" s="348">
        <f>+LISTPROD3[[#This Row],[TOTAL GASTOS VARIOS]]+LISTPROD3[[#This Row],[PRECIO DE PRODUCCIÓN POR UND]]</f>
        <v>7906.7428571428572</v>
      </c>
      <c r="M112" s="416">
        <f>'RECETAS CAPS'!G120</f>
        <v>3233.4694000000004</v>
      </c>
      <c r="N112" s="387">
        <f>'RECETAS CAPS'!H120</f>
        <v>0.38</v>
      </c>
      <c r="O112" s="534">
        <f>'RECETAS CAPS'!G121</f>
        <v>11742.599400000001</v>
      </c>
      <c r="P112" s="544"/>
      <c r="Q112" s="440">
        <f>(LISTPROD3[[#This Row],[PRECIO DE VENTA 1]]-LISTPROD3[[#This Row],[COSTO TOTAL UNIDAD]])/LISTPROD3[[#This Row],[COSTO TOTAL UNIDAD]]</f>
        <v>-1</v>
      </c>
      <c r="R112" s="429">
        <f>LISTPROD3[[#This Row],[% GANANCIA]]*LISTPROD3[[#This Row],[COSTO TOTAL UNIDAD]]</f>
        <v>-7906.7428571428572</v>
      </c>
      <c r="S112" s="400"/>
      <c r="T112" s="439"/>
      <c r="U112" s="440"/>
      <c r="V112" s="429"/>
      <c r="W112" s="391"/>
      <c r="X112" s="439"/>
      <c r="Y112" s="400"/>
      <c r="Z112" s="400"/>
      <c r="AA112" s="400"/>
      <c r="AB112" s="400"/>
      <c r="AC112" s="317"/>
      <c r="AD112" s="184"/>
      <c r="AE112" s="184"/>
      <c r="AF112" s="70"/>
      <c r="AG112" s="40" t="s">
        <v>630</v>
      </c>
    </row>
    <row r="113" spans="1:34" s="275" customFormat="1" ht="24.95" customHeight="1" x14ac:dyDescent="0.25">
      <c r="A113" s="307" t="s">
        <v>545</v>
      </c>
      <c r="B113" s="500" t="s">
        <v>546</v>
      </c>
      <c r="C113" s="557" t="s">
        <v>464</v>
      </c>
      <c r="D113" s="462" t="s">
        <v>654</v>
      </c>
      <c r="E113" s="463" t="s">
        <v>642</v>
      </c>
      <c r="F113" s="327" t="s">
        <v>655</v>
      </c>
      <c r="G113" s="423" t="s">
        <v>487</v>
      </c>
      <c r="H113" s="501"/>
      <c r="I113" s="473" t="s">
        <v>74</v>
      </c>
      <c r="J113" s="441" t="s">
        <v>665</v>
      </c>
      <c r="K113" s="441">
        <f>'Gtos Varios'!$B$22</f>
        <v>3070.542857142857</v>
      </c>
      <c r="L113" s="441" t="e">
        <f>+LISTPROD3[[#This Row],[PRECIO DE PRODUCCIÓN POR UND]]+LISTPROD3[[#This Row],[TOTAL GASTOS VARIOS]]</f>
        <v>#VALUE!</v>
      </c>
      <c r="M113" s="474">
        <f>'RECETAS JARAB NUEVOS'!G33</f>
        <v>3397.9679109020922</v>
      </c>
      <c r="N113" s="521">
        <f>'RECETAS JARAB NUEVOS'!H33</f>
        <v>0.59</v>
      </c>
      <c r="O113" s="564">
        <f>'RECETAS JARAB NUEVOS'!G34</f>
        <v>9157.2355564988593</v>
      </c>
      <c r="P113" s="467"/>
      <c r="Q113" s="440" t="e">
        <f>(LISTPROD3[[#This Row],[PRECIO DE VENTA 1]]-LISTPROD3[[#This Row],[COSTO TOTAL UNIDAD]])/LISTPROD3[[#This Row],[COSTO TOTAL UNIDAD]]</f>
        <v>#VALUE!</v>
      </c>
      <c r="R113" s="429" t="e">
        <f>LISTPROD3[[#This Row],[% GANANCIA]]*LISTPROD3[[#This Row],[COSTO TOTAL UNIDAD]]</f>
        <v>#VALUE!</v>
      </c>
      <c r="S113" s="469">
        <f>+LISTPROD3[[#This Row],[PRECIO DE VENTA 1]]-LISTPROD3[[#This Row],[PRECIO VENTA POR RECETA]]</f>
        <v>-9157.2355564988593</v>
      </c>
      <c r="T113" s="468"/>
      <c r="U113" s="440"/>
      <c r="V113" s="429"/>
      <c r="W113" s="469"/>
      <c r="X113" s="468"/>
      <c r="Y113" s="440"/>
      <c r="Z113" s="469"/>
      <c r="AA113" s="469"/>
      <c r="AB113" s="391"/>
      <c r="AC113" s="489"/>
      <c r="AD113" s="302"/>
      <c r="AE113" s="302"/>
      <c r="AF113" s="302"/>
      <c r="AG113" s="367"/>
    </row>
    <row r="114" spans="1:34" ht="24.95" customHeight="1" x14ac:dyDescent="0.25">
      <c r="A114" s="258" t="s">
        <v>547</v>
      </c>
      <c r="B114" s="19" t="s">
        <v>548</v>
      </c>
      <c r="C114" s="555" t="s">
        <v>464</v>
      </c>
      <c r="D114" s="331" t="s">
        <v>654</v>
      </c>
      <c r="E114" s="539" t="s">
        <v>642</v>
      </c>
      <c r="F114" s="164" t="s">
        <v>655</v>
      </c>
      <c r="G114" s="370" t="s">
        <v>487</v>
      </c>
      <c r="H114" s="160"/>
      <c r="I114" s="187" t="s">
        <v>74</v>
      </c>
      <c r="J114" s="443">
        <f>'RECETAS JARAB NUEVOS'!G102</f>
        <v>2144.4561122634332</v>
      </c>
      <c r="K114" s="443">
        <f>'Gtos Varios'!$B$22</f>
        <v>3070.542857142857</v>
      </c>
      <c r="L114" s="443">
        <f>+LISTPROD3[[#This Row],[PRECIO DE PRODUCCIÓN POR UND]]+LISTPROD3[[#This Row],[TOTAL GASTOS VARIOS]]</f>
        <v>5214.9989694062897</v>
      </c>
      <c r="M114" s="418">
        <f>'RECETAS JARAB NUEVOS'!G107</f>
        <v>3374.0839451127913</v>
      </c>
      <c r="N114" s="387">
        <f>'RECETAS JARAB NUEVOS'!H107</f>
        <v>0.57999999999999996</v>
      </c>
      <c r="O114" s="532">
        <f>'RECETAS JARAB NUEVOS'!G108</f>
        <v>9191.4700573762238</v>
      </c>
      <c r="P114" s="385">
        <v>6000</v>
      </c>
      <c r="Q114" s="440">
        <f>(LISTPROD3[[#This Row],[PRECIO DE VENTA 1]]-LISTPROD3[[#This Row],[COSTO TOTAL UNIDAD]])/LISTPROD3[[#This Row],[COSTO TOTAL UNIDAD]]</f>
        <v>0.15052755239241783</v>
      </c>
      <c r="R114" s="429">
        <f>LISTPROD3[[#This Row],[% GANANCIA]]*LISTPROD3[[#This Row],[COSTO TOTAL UNIDAD]]</f>
        <v>785.00103059371031</v>
      </c>
      <c r="S114" s="391">
        <f>+LISTPROD3[[#This Row],[PRECIO DE VENTA 1]]-LISTPROD3[[#This Row],[PRECIO VENTA POR RECETA]]</f>
        <v>-3191.4700573762238</v>
      </c>
      <c r="T114" s="429"/>
      <c r="U114" s="440"/>
      <c r="V114" s="429"/>
      <c r="W114" s="391"/>
      <c r="X114" s="429"/>
      <c r="Y114" s="440"/>
      <c r="Z114" s="391"/>
      <c r="AA114" s="391"/>
      <c r="AB114" s="391"/>
      <c r="AC114" s="88"/>
      <c r="AD114" s="89"/>
      <c r="AE114" s="89"/>
      <c r="AF114" s="89"/>
      <c r="AG114" s="90"/>
      <c r="AH114" s="7"/>
    </row>
    <row r="115" spans="1:34" ht="24.95" customHeight="1" x14ac:dyDescent="0.25">
      <c r="A115" s="258" t="s">
        <v>549</v>
      </c>
      <c r="B115" s="19" t="s">
        <v>550</v>
      </c>
      <c r="C115" s="555" t="s">
        <v>464</v>
      </c>
      <c r="D115" s="331" t="s">
        <v>654</v>
      </c>
      <c r="E115" s="539" t="s">
        <v>642</v>
      </c>
      <c r="F115" s="164" t="s">
        <v>655</v>
      </c>
      <c r="G115" s="370" t="s">
        <v>487</v>
      </c>
      <c r="H115" s="160"/>
      <c r="I115" s="187" t="s">
        <v>74</v>
      </c>
      <c r="J115" s="443">
        <f>'RECETAS JARAB NUEVOS'!G64</f>
        <v>2112.039560263433</v>
      </c>
      <c r="K115" s="443">
        <f>'Gtos Varios'!$B$22</f>
        <v>3070.542857142857</v>
      </c>
      <c r="L115" s="443">
        <f>+LISTPROD3[[#This Row],[PRECIO DE PRODUCCIÓN POR UND]]+LISTPROD3[[#This Row],[TOTAL GASTOS VARIOS]]</f>
        <v>5182.58241740629</v>
      </c>
      <c r="M115" s="418">
        <f>'RECETAS JARAB NUEVOS'!G69</f>
        <v>3355.2823449527909</v>
      </c>
      <c r="N115" s="387">
        <f>'RECETAS JARAB NUEVOS'!H69</f>
        <v>0.57999999999999996</v>
      </c>
      <c r="O115" s="532">
        <f>'RECETAS JARAB NUEVOS'!G70</f>
        <v>9140.2519052162243</v>
      </c>
      <c r="P115" s="385">
        <v>6000</v>
      </c>
      <c r="Q115" s="440">
        <f>(LISTPROD3[[#This Row],[PRECIO DE VENTA 1]]-LISTPROD3[[#This Row],[COSTO TOTAL UNIDAD]])/LISTPROD3[[#This Row],[COSTO TOTAL UNIDAD]]</f>
        <v>0.15772399100655313</v>
      </c>
      <c r="R115" s="429">
        <f>LISTPROD3[[#This Row],[% GANANCIA]]*LISTPROD3[[#This Row],[COSTO TOTAL UNIDAD]]</f>
        <v>817.41758259370999</v>
      </c>
      <c r="S115" s="391">
        <f>+LISTPROD3[[#This Row],[PRECIO DE VENTA 1]]-LISTPROD3[[#This Row],[PRECIO VENTA POR RECETA]]</f>
        <v>-3140.2519052162243</v>
      </c>
      <c r="T115" s="429"/>
      <c r="U115" s="440"/>
      <c r="V115" s="429"/>
      <c r="W115" s="391"/>
      <c r="X115" s="429"/>
      <c r="Y115" s="440"/>
      <c r="Z115" s="391"/>
      <c r="AA115" s="391"/>
      <c r="AB115" s="391"/>
      <c r="AC115" s="88"/>
      <c r="AD115" s="89"/>
      <c r="AE115" s="89"/>
      <c r="AF115" s="89"/>
      <c r="AG115" s="90"/>
      <c r="AH115" s="7"/>
    </row>
    <row r="116" spans="1:34" ht="24.95" customHeight="1" x14ac:dyDescent="0.25">
      <c r="A116" s="258" t="s">
        <v>551</v>
      </c>
      <c r="B116" s="19" t="s">
        <v>552</v>
      </c>
      <c r="C116" s="555" t="s">
        <v>464</v>
      </c>
      <c r="D116" s="331" t="s">
        <v>654</v>
      </c>
      <c r="E116" s="539" t="s">
        <v>642</v>
      </c>
      <c r="F116" s="164" t="s">
        <v>655</v>
      </c>
      <c r="G116" s="370" t="s">
        <v>487</v>
      </c>
      <c r="H116" s="160"/>
      <c r="I116" s="187" t="s">
        <v>74</v>
      </c>
      <c r="J116" s="443">
        <f>'RECETAS JARAB NUEVOS'!G136</f>
        <v>2104.1856622634332</v>
      </c>
      <c r="K116" s="443">
        <f>'Gtos Varios'!$B$22</f>
        <v>3070.542857142857</v>
      </c>
      <c r="L116" s="443">
        <f>+LISTPROD3[[#This Row],[PRECIO DE PRODUCCIÓN POR UND]]+LISTPROD3[[#This Row],[TOTAL GASTOS VARIOS]]</f>
        <v>5174.7285194062897</v>
      </c>
      <c r="M116" s="418">
        <f>'RECETAS JARAB NUEVOS'!G141</f>
        <v>3350.7270841127911</v>
      </c>
      <c r="N116" s="387">
        <f>'RECETAS JARAB NUEVOS'!H141</f>
        <v>0.57999999999999996</v>
      </c>
      <c r="O116" s="532">
        <f>'RECETAS JARAB NUEVOS'!G142</f>
        <v>9127.8427463762237</v>
      </c>
      <c r="P116" s="385">
        <v>6000</v>
      </c>
      <c r="Q116" s="440">
        <f>(LISTPROD3[[#This Row],[PRECIO DE VENTA 1]]-LISTPROD3[[#This Row],[COSTO TOTAL UNIDAD]])/LISTPROD3[[#This Row],[COSTO TOTAL UNIDAD]]</f>
        <v>0.15948111625542741</v>
      </c>
      <c r="R116" s="429">
        <f>LISTPROD3[[#This Row],[% GANANCIA]]*LISTPROD3[[#This Row],[COSTO TOTAL UNIDAD]]</f>
        <v>825.27148059371018</v>
      </c>
      <c r="S116" s="391">
        <f>+LISTPROD3[[#This Row],[PRECIO DE VENTA 1]]-LISTPROD3[[#This Row],[PRECIO VENTA POR RECETA]]</f>
        <v>-3127.8427463762237</v>
      </c>
      <c r="T116" s="429"/>
      <c r="U116" s="440"/>
      <c r="V116" s="429"/>
      <c r="W116" s="391"/>
      <c r="X116" s="429"/>
      <c r="Y116" s="440"/>
      <c r="Z116" s="391"/>
      <c r="AA116" s="391"/>
      <c r="AB116" s="391"/>
      <c r="AC116" s="88"/>
      <c r="AD116" s="89"/>
      <c r="AE116" s="89"/>
      <c r="AF116" s="89"/>
      <c r="AG116" s="90"/>
      <c r="AH116" s="7"/>
    </row>
    <row r="117" spans="1:34" ht="24.95" customHeight="1" x14ac:dyDescent="0.25">
      <c r="A117" s="258" t="s">
        <v>553</v>
      </c>
      <c r="B117" s="19" t="s">
        <v>554</v>
      </c>
      <c r="C117" s="555" t="s">
        <v>637</v>
      </c>
      <c r="D117" s="331" t="s">
        <v>654</v>
      </c>
      <c r="E117" s="539" t="s">
        <v>642</v>
      </c>
      <c r="F117" s="164" t="s">
        <v>655</v>
      </c>
      <c r="G117" s="370" t="s">
        <v>487</v>
      </c>
      <c r="H117" s="160"/>
      <c r="I117" s="187" t="s">
        <v>74</v>
      </c>
      <c r="J117" s="478">
        <f>'RECETAS JARAB NUEVOS'!G168</f>
        <v>2100.6247855967663</v>
      </c>
      <c r="K117" s="443">
        <f>'Gtos Varios'!$B$22</f>
        <v>3070.542857142857</v>
      </c>
      <c r="L117" s="443">
        <f>+LISTPROD3[[#This Row],[PRECIO DE PRODUCCIÓN POR UND]]+LISTPROD3[[#This Row],[TOTAL GASTOS VARIOS]]</f>
        <v>5171.1676427396233</v>
      </c>
      <c r="M117" s="418">
        <f>'RECETAS JARAB NUEVOS'!G173</f>
        <v>3348.6617756461242</v>
      </c>
      <c r="N117" s="387">
        <f>'RECETAS JARAB NUEVOS'!H173</f>
        <v>0.57999999999999996</v>
      </c>
      <c r="O117" s="532">
        <f>'RECETAS JARAB NUEVOS'!G174</f>
        <v>9122.2165612428907</v>
      </c>
      <c r="P117" s="435">
        <v>6000</v>
      </c>
      <c r="Q117" s="440">
        <f>(LISTPROD3[[#This Row],[PRECIO DE VENTA 1]]-LISTPROD3[[#This Row],[COSTO TOTAL UNIDAD]])/LISTPROD3[[#This Row],[COSTO TOTAL UNIDAD]]</f>
        <v>0.16027953733506717</v>
      </c>
      <c r="R117" s="429">
        <f>LISTPROD3[[#This Row],[% GANANCIA]]*LISTPROD3[[#This Row],[COSTO TOTAL UNIDAD]]</f>
        <v>828.83235726037674</v>
      </c>
      <c r="S117" s="391">
        <f>+LISTPROD3[[#This Row],[PRECIO DE VENTA 1]]-LISTPROD3[[#This Row],[PRECIO VENTA POR RECETA]]</f>
        <v>-3122.2165612428907</v>
      </c>
      <c r="T117" s="429"/>
      <c r="U117" s="440"/>
      <c r="V117" s="429"/>
      <c r="W117" s="391"/>
      <c r="X117" s="429"/>
      <c r="Y117" s="440"/>
      <c r="Z117" s="391"/>
      <c r="AA117" s="391"/>
      <c r="AB117" s="391"/>
      <c r="AC117" s="88"/>
      <c r="AD117" s="89"/>
      <c r="AE117" s="89"/>
      <c r="AF117" s="89"/>
      <c r="AG117" s="90"/>
      <c r="AH117" s="7"/>
    </row>
    <row r="118" spans="1:34" s="275" customFormat="1" ht="24.95" customHeight="1" x14ac:dyDescent="0.25">
      <c r="A118" s="258" t="s">
        <v>555</v>
      </c>
      <c r="B118" s="259" t="s">
        <v>556</v>
      </c>
      <c r="C118" s="556" t="s">
        <v>637</v>
      </c>
      <c r="D118" s="462" t="s">
        <v>654</v>
      </c>
      <c r="E118" s="463" t="s">
        <v>642</v>
      </c>
      <c r="F118" s="327"/>
      <c r="G118" s="425"/>
      <c r="H118" s="501"/>
      <c r="I118" s="473" t="s">
        <v>74</v>
      </c>
      <c r="J118" s="444" t="s">
        <v>667</v>
      </c>
      <c r="K118" s="441">
        <f>'Gtos Varios'!$B$22</f>
        <v>3070.542857142857</v>
      </c>
      <c r="L118" s="441" t="e">
        <f>+LISTPROD3[[#This Row],[PRECIO DE PRODUCCIÓN POR UND]]+LISTPROD3[[#This Row],[TOTAL GASTOS VARIOS]]</f>
        <v>#VALUE!</v>
      </c>
      <c r="M118" s="506"/>
      <c r="N118" s="524"/>
      <c r="O118" s="568"/>
      <c r="P118" s="507"/>
      <c r="Q118" s="440" t="e">
        <f>(LISTPROD3[[#This Row],[PRECIO DE VENTA 1]]-LISTPROD3[[#This Row],[COSTO TOTAL UNIDAD]])/LISTPROD3[[#This Row],[COSTO TOTAL UNIDAD]]</f>
        <v>#VALUE!</v>
      </c>
      <c r="R118" s="429" t="e">
        <f>LISTPROD3[[#This Row],[% GANANCIA]]*LISTPROD3[[#This Row],[COSTO TOTAL UNIDAD]]</f>
        <v>#VALUE!</v>
      </c>
      <c r="S118" s="469">
        <f>+LISTPROD3[[#This Row],[PRECIO DE VENTA 1]]-LISTPROD3[[#This Row],[PRECIO VENTA POR RECETA]]</f>
        <v>0</v>
      </c>
      <c r="T118" s="468"/>
      <c r="U118" s="440"/>
      <c r="V118" s="429"/>
      <c r="W118" s="469"/>
      <c r="X118" s="468"/>
      <c r="Y118" s="440"/>
      <c r="Z118" s="469"/>
      <c r="AA118" s="469"/>
      <c r="AB118" s="391"/>
      <c r="AC118" s="508"/>
      <c r="AD118" s="71"/>
      <c r="AE118" s="71"/>
      <c r="AF118" s="71"/>
      <c r="AG118" s="367"/>
    </row>
    <row r="119" spans="1:34" ht="24.95" customHeight="1" x14ac:dyDescent="0.25">
      <c r="A119" s="258" t="s">
        <v>557</v>
      </c>
      <c r="B119" s="19" t="s">
        <v>558</v>
      </c>
      <c r="C119" s="555" t="s">
        <v>464</v>
      </c>
      <c r="D119" s="331" t="s">
        <v>654</v>
      </c>
      <c r="E119" s="539" t="s">
        <v>642</v>
      </c>
      <c r="F119" s="164" t="s">
        <v>655</v>
      </c>
      <c r="G119" s="370" t="s">
        <v>487</v>
      </c>
      <c r="H119" s="160"/>
      <c r="I119" s="187" t="s">
        <v>74</v>
      </c>
      <c r="J119" s="443">
        <f>'RECETAS JARAB NUEVOS'!G238</f>
        <v>2142.8119932158143</v>
      </c>
      <c r="K119" s="443">
        <f>'Gtos Varios'!$B$22</f>
        <v>3070.542857142857</v>
      </c>
      <c r="L119" s="443">
        <f>+LISTPROD3[[#This Row],[PRECIO DE PRODUCCIÓN POR UND]]+LISTPROD3[[#This Row],[TOTAL GASTOS VARIOS]]</f>
        <v>5213.3548503586717</v>
      </c>
      <c r="M119" s="418">
        <f>'RECETAS JARAB NUEVOS'!G243</f>
        <v>3373.1303560651718</v>
      </c>
      <c r="N119" s="387">
        <f>'RECETAS JARAB NUEVOS'!H243</f>
        <v>0.57999999999999996</v>
      </c>
      <c r="O119" s="532">
        <f>'RECETAS JARAB NUEVOS'!G244</f>
        <v>9188.8723492809859</v>
      </c>
      <c r="P119" s="385">
        <v>6000</v>
      </c>
      <c r="Q119" s="440">
        <f>(LISTPROD3[[#This Row],[PRECIO DE VENTA 1]]-LISTPROD3[[#This Row],[COSTO TOTAL UNIDAD]])/LISTPROD3[[#This Row],[COSTO TOTAL UNIDAD]]</f>
        <v>0.15089039058739848</v>
      </c>
      <c r="R119" s="429">
        <f>LISTPROD3[[#This Row],[% GANANCIA]]*LISTPROD3[[#This Row],[COSTO TOTAL UNIDAD]]</f>
        <v>786.64514964132832</v>
      </c>
      <c r="S119" s="391">
        <f>+LISTPROD3[[#This Row],[PRECIO DE VENTA 1]]-LISTPROD3[[#This Row],[PRECIO VENTA POR RECETA]]</f>
        <v>-3188.8723492809859</v>
      </c>
      <c r="T119" s="429"/>
      <c r="U119" s="440"/>
      <c r="V119" s="429"/>
      <c r="W119" s="391"/>
      <c r="X119" s="429"/>
      <c r="Y119" s="440"/>
      <c r="Z119" s="391"/>
      <c r="AA119" s="391"/>
      <c r="AB119" s="391"/>
      <c r="AC119" s="88"/>
      <c r="AD119" s="89"/>
      <c r="AE119" s="89"/>
      <c r="AF119" s="89"/>
      <c r="AG119" s="90"/>
      <c r="AH119" s="7"/>
    </row>
    <row r="120" spans="1:34" s="275" customFormat="1" ht="24.95" customHeight="1" x14ac:dyDescent="0.25">
      <c r="A120" s="258" t="s">
        <v>136</v>
      </c>
      <c r="B120" s="259" t="s">
        <v>559</v>
      </c>
      <c r="C120" s="556" t="s">
        <v>637</v>
      </c>
      <c r="D120" s="462" t="s">
        <v>654</v>
      </c>
      <c r="E120" s="463" t="s">
        <v>642</v>
      </c>
      <c r="F120" s="327"/>
      <c r="G120" s="425"/>
      <c r="H120" s="501"/>
      <c r="I120" s="473" t="s">
        <v>74</v>
      </c>
      <c r="J120" s="444" t="s">
        <v>667</v>
      </c>
      <c r="K120" s="441">
        <f>'Gtos Varios'!$B$22</f>
        <v>3070.542857142857</v>
      </c>
      <c r="L120" s="441" t="e">
        <f>+LISTPROD3[[#This Row],[PRECIO DE PRODUCCIÓN POR UND]]+LISTPROD3[[#This Row],[TOTAL GASTOS VARIOS]]</f>
        <v>#VALUE!</v>
      </c>
      <c r="M120" s="506"/>
      <c r="N120" s="524"/>
      <c r="O120" s="568"/>
      <c r="P120" s="507"/>
      <c r="Q120" s="440" t="e">
        <f>(LISTPROD3[[#This Row],[PRECIO DE VENTA 1]]-LISTPROD3[[#This Row],[COSTO TOTAL UNIDAD]])/LISTPROD3[[#This Row],[COSTO TOTAL UNIDAD]]</f>
        <v>#VALUE!</v>
      </c>
      <c r="R120" s="429" t="e">
        <f>LISTPROD3[[#This Row],[% GANANCIA]]*LISTPROD3[[#This Row],[COSTO TOTAL UNIDAD]]</f>
        <v>#VALUE!</v>
      </c>
      <c r="S120" s="469">
        <f>+LISTPROD3[[#This Row],[PRECIO DE VENTA 1]]-LISTPROD3[[#This Row],[PRECIO VENTA POR RECETA]]</f>
        <v>0</v>
      </c>
      <c r="T120" s="468"/>
      <c r="U120" s="440"/>
      <c r="V120" s="429"/>
      <c r="W120" s="469"/>
      <c r="X120" s="468"/>
      <c r="Y120" s="440"/>
      <c r="Z120" s="469"/>
      <c r="AA120" s="469"/>
      <c r="AB120" s="391"/>
      <c r="AC120" s="508"/>
      <c r="AD120" s="71"/>
      <c r="AE120" s="71"/>
      <c r="AF120" s="71"/>
      <c r="AG120" s="367"/>
    </row>
    <row r="121" spans="1:34" s="275" customFormat="1" ht="24.95" customHeight="1" x14ac:dyDescent="0.25">
      <c r="A121" s="258" t="s">
        <v>560</v>
      </c>
      <c r="B121" s="259" t="s">
        <v>561</v>
      </c>
      <c r="C121" s="556" t="s">
        <v>637</v>
      </c>
      <c r="D121" s="462" t="s">
        <v>654</v>
      </c>
      <c r="E121" s="463" t="s">
        <v>642</v>
      </c>
      <c r="F121" s="327"/>
      <c r="G121" s="425"/>
      <c r="H121" s="501"/>
      <c r="I121" s="473" t="s">
        <v>74</v>
      </c>
      <c r="J121" s="444" t="s">
        <v>667</v>
      </c>
      <c r="K121" s="441">
        <f>'Gtos Varios'!$B$22</f>
        <v>3070.542857142857</v>
      </c>
      <c r="L121" s="441" t="e">
        <f>+LISTPROD3[[#This Row],[PRECIO DE PRODUCCIÓN POR UND]]+LISTPROD3[[#This Row],[TOTAL GASTOS VARIOS]]</f>
        <v>#VALUE!</v>
      </c>
      <c r="M121" s="506"/>
      <c r="N121" s="524"/>
      <c r="O121" s="568"/>
      <c r="P121" s="507"/>
      <c r="Q121" s="440" t="e">
        <f>(LISTPROD3[[#This Row],[PRECIO DE VENTA 1]]-LISTPROD3[[#This Row],[COSTO TOTAL UNIDAD]])/LISTPROD3[[#This Row],[COSTO TOTAL UNIDAD]]</f>
        <v>#VALUE!</v>
      </c>
      <c r="R121" s="429" t="e">
        <f>LISTPROD3[[#This Row],[% GANANCIA]]*LISTPROD3[[#This Row],[COSTO TOTAL UNIDAD]]</f>
        <v>#VALUE!</v>
      </c>
      <c r="S121" s="469">
        <f>+LISTPROD3[[#This Row],[PRECIO DE VENTA 1]]-LISTPROD3[[#This Row],[PRECIO VENTA POR RECETA]]</f>
        <v>0</v>
      </c>
      <c r="T121" s="468"/>
      <c r="U121" s="440"/>
      <c r="V121" s="429"/>
      <c r="W121" s="469"/>
      <c r="X121" s="468"/>
      <c r="Y121" s="440"/>
      <c r="Z121" s="469"/>
      <c r="AA121" s="469"/>
      <c r="AB121" s="391"/>
      <c r="AC121" s="508"/>
      <c r="AD121" s="71"/>
      <c r="AE121" s="71"/>
      <c r="AF121" s="71"/>
      <c r="AG121" s="367"/>
    </row>
    <row r="122" spans="1:34" ht="18" customHeight="1" x14ac:dyDescent="0.25">
      <c r="A122" s="571" t="s">
        <v>538</v>
      </c>
      <c r="B122" s="569" t="s">
        <v>537</v>
      </c>
      <c r="C122" s="251" t="s">
        <v>517</v>
      </c>
      <c r="D122" s="332" t="s">
        <v>654</v>
      </c>
      <c r="E122" s="329" t="s">
        <v>508</v>
      </c>
      <c r="F122" s="577" t="s">
        <v>657</v>
      </c>
      <c r="G122" s="251"/>
      <c r="H122" s="160"/>
      <c r="I122" s="187" t="s">
        <v>73</v>
      </c>
      <c r="J122" s="353">
        <f>'RECETAS CAPS'!U83</f>
        <v>11619.199999999999</v>
      </c>
      <c r="K122" s="443">
        <f>'Gtos Varios'!$B$22</f>
        <v>3070.542857142857</v>
      </c>
      <c r="L122" s="348">
        <f>+LISTPROD3[[#This Row],[TOTAL GASTOS VARIOS]]+LISTPROD3[[#This Row],[PRECIO DE PRODUCCIÓN POR UND]]</f>
        <v>14689.742857142855</v>
      </c>
      <c r="M122" s="418">
        <f>'RECETAS CAPS'!U89</f>
        <v>3211.3472999999999</v>
      </c>
      <c r="N122" s="525">
        <f>'RECETAS CAPS'!V89</f>
        <v>0.21</v>
      </c>
      <c r="O122" s="534">
        <f>'RECETAS CAPS'!U90</f>
        <v>18503.477299999999</v>
      </c>
      <c r="P122" s="544"/>
      <c r="Q122" s="440">
        <f>(LISTPROD3[[#This Row],[PRECIO DE VENTA 1]]-LISTPROD3[[#This Row],[COSTO TOTAL UNIDAD]])/LISTPROD3[[#This Row],[COSTO TOTAL UNIDAD]]</f>
        <v>-1</v>
      </c>
      <c r="R122" s="429">
        <f>LISTPROD3[[#This Row],[% GANANCIA]]*LISTPROD3[[#This Row],[COSTO TOTAL UNIDAD]]</f>
        <v>-14689.742857142855</v>
      </c>
      <c r="S122" s="400"/>
      <c r="T122" s="439"/>
      <c r="U122" s="400"/>
      <c r="V122" s="400"/>
      <c r="W122" s="400"/>
      <c r="X122" s="439"/>
      <c r="Y122" s="400"/>
      <c r="Z122" s="400"/>
      <c r="AA122" s="400"/>
      <c r="AB122" s="400"/>
      <c r="AC122" s="88">
        <v>0</v>
      </c>
      <c r="AD122" s="88">
        <v>0</v>
      </c>
      <c r="AE122" s="88">
        <v>0</v>
      </c>
      <c r="AF122" s="88">
        <v>0</v>
      </c>
      <c r="AG122" s="90"/>
      <c r="AH122" s="7" t="s">
        <v>304</v>
      </c>
    </row>
    <row r="123" spans="1:34" ht="18" customHeight="1" x14ac:dyDescent="0.25">
      <c r="A123" s="571" t="s">
        <v>541</v>
      </c>
      <c r="B123" s="570" t="s">
        <v>540</v>
      </c>
      <c r="C123" s="251" t="s">
        <v>517</v>
      </c>
      <c r="D123" s="332" t="s">
        <v>654</v>
      </c>
      <c r="E123" s="329" t="s">
        <v>508</v>
      </c>
      <c r="F123" s="577" t="s">
        <v>657</v>
      </c>
      <c r="G123" s="251"/>
      <c r="H123" s="160"/>
      <c r="I123" s="187" t="s">
        <v>73</v>
      </c>
      <c r="J123" s="353">
        <f>'RECETAS CAPS'!AI83</f>
        <v>5978.6</v>
      </c>
      <c r="K123" s="443">
        <f>'Gtos Varios'!$B$22</f>
        <v>3070.542857142857</v>
      </c>
      <c r="L123" s="348">
        <f>+LISTPROD3[[#This Row],[TOTAL GASTOS VARIOS]]+LISTPROD3[[#This Row],[PRECIO DE PRODUCCIÓN POR UND]]</f>
        <v>9049.1428571428569</v>
      </c>
      <c r="M123" s="418">
        <f>'RECETAS CAPS'!AI90</f>
        <v>12933.050200000001</v>
      </c>
      <c r="N123" s="525">
        <f>'RECETAS CAPS'!AJ89</f>
        <v>0.34</v>
      </c>
      <c r="O123" s="534">
        <f>'RECETAS CAPS'!AI90</f>
        <v>12933.050200000001</v>
      </c>
      <c r="P123" s="544"/>
      <c r="Q123" s="440">
        <f>(LISTPROD3[[#This Row],[PRECIO DE VENTA 1]]-LISTPROD3[[#This Row],[COSTO TOTAL UNIDAD]])/LISTPROD3[[#This Row],[COSTO TOTAL UNIDAD]]</f>
        <v>-1</v>
      </c>
      <c r="R123" s="429">
        <f>LISTPROD3[[#This Row],[% GANANCIA]]*LISTPROD3[[#This Row],[COSTO TOTAL UNIDAD]]</f>
        <v>-9049.1428571428569</v>
      </c>
      <c r="S123" s="400"/>
      <c r="T123" s="439"/>
      <c r="U123" s="400"/>
      <c r="V123" s="400"/>
      <c r="W123" s="400"/>
      <c r="X123" s="439"/>
      <c r="Y123" s="400"/>
      <c r="Z123" s="400"/>
      <c r="AA123" s="400"/>
      <c r="AB123" s="400"/>
      <c r="AC123" s="88">
        <v>0</v>
      </c>
      <c r="AD123" s="88">
        <v>0</v>
      </c>
      <c r="AE123" s="88">
        <v>0</v>
      </c>
      <c r="AF123" s="88">
        <v>0</v>
      </c>
      <c r="AG123" s="40"/>
      <c r="AH123" s="7" t="s">
        <v>304</v>
      </c>
    </row>
    <row r="124" spans="1:34" ht="18" customHeight="1" x14ac:dyDescent="0.25">
      <c r="A124" s="49" t="s">
        <v>586</v>
      </c>
      <c r="B124" s="9" t="s">
        <v>588</v>
      </c>
      <c r="C124" s="371" t="s">
        <v>465</v>
      </c>
      <c r="D124" s="329" t="s">
        <v>654</v>
      </c>
      <c r="E124" s="539" t="s">
        <v>642</v>
      </c>
      <c r="F124" s="164" t="s">
        <v>747</v>
      </c>
      <c r="G124" s="425"/>
      <c r="H124" s="160"/>
      <c r="I124" s="189" t="s">
        <v>70</v>
      </c>
      <c r="J124" s="509">
        <f>'RECETAS JARAB NUEVOS'!G267</f>
        <v>2286.8336253978873</v>
      </c>
      <c r="K124" s="443">
        <f>'Gtos Varios'!$B$22</f>
        <v>3070.542857142857</v>
      </c>
      <c r="L124" s="443">
        <f>+LISTPROD3[[#This Row],[PRECIO DE PRODUCCIÓN POR UND]]+LISTPROD3[[#This Row],[TOTAL GASTOS VARIOS]]</f>
        <v>5357.3764825407443</v>
      </c>
      <c r="M124" s="510">
        <f>'RECETAS JARAB NUEVOS'!G272</f>
        <v>5184.9943540961622</v>
      </c>
      <c r="N124" s="526">
        <f>'RECETAS JARAB NUEVOS'!H272</f>
        <v>0.87</v>
      </c>
      <c r="O124" s="534">
        <f>'RECETAS JARAB NUEVOS'!G273</f>
        <v>11144.75797949405</v>
      </c>
      <c r="P124" s="505">
        <v>10000</v>
      </c>
      <c r="Q124" s="440">
        <f>(LISTPROD3[[#This Row],[PRECIO DE VENTA 1]]-LISTPROD3[[#This Row],[COSTO TOTAL UNIDAD]])/LISTPROD3[[#This Row],[COSTO TOTAL UNIDAD]]</f>
        <v>0.8665852647446356</v>
      </c>
      <c r="R124" s="429">
        <f>LISTPROD3[[#This Row],[% GANANCIA]]*LISTPROD3[[#This Row],[COSTO TOTAL UNIDAD]]</f>
        <v>4642.6235174592557</v>
      </c>
      <c r="S124" s="391">
        <f>+LISTPROD3[[#This Row],[PRECIO DE VENTA 1]]-LISTPROD3[[#This Row],[PRECIO VENTA POR RECETA]]</f>
        <v>-1144.7579794940502</v>
      </c>
      <c r="T124" s="429"/>
      <c r="U124" s="440"/>
      <c r="V124" s="429"/>
      <c r="W124" s="391"/>
      <c r="X124" s="429"/>
      <c r="Y124" s="440"/>
      <c r="Z124" s="391"/>
      <c r="AA124" s="391"/>
      <c r="AB124" s="391"/>
      <c r="AC124" s="88"/>
      <c r="AD124" s="88"/>
      <c r="AE124" s="88"/>
      <c r="AF124" s="88"/>
      <c r="AG124" s="40" t="s">
        <v>629</v>
      </c>
      <c r="AH124" s="7"/>
    </row>
    <row r="125" spans="1:34" ht="18" customHeight="1" x14ac:dyDescent="0.25">
      <c r="A125" s="49" t="s">
        <v>587</v>
      </c>
      <c r="B125" s="9" t="s">
        <v>605</v>
      </c>
      <c r="C125" s="371" t="s">
        <v>589</v>
      </c>
      <c r="D125" s="329" t="s">
        <v>654</v>
      </c>
      <c r="E125" s="539" t="s">
        <v>642</v>
      </c>
      <c r="F125" s="47" t="s">
        <v>746</v>
      </c>
      <c r="G125" s="425"/>
      <c r="H125" s="160"/>
      <c r="I125" s="189" t="s">
        <v>70</v>
      </c>
      <c r="J125" s="509">
        <f>'RECETAS JARAB NUEVOS'!G303</f>
        <v>608.84007009549305</v>
      </c>
      <c r="K125" s="443">
        <f>'Gtos Varios'!$B$22</f>
        <v>3070.542857142857</v>
      </c>
      <c r="L125" s="443">
        <f>+LISTPROD3[[#This Row],[PRECIO DE PRODUCCIÓN POR UND]]+LISTPROD3[[#This Row],[TOTAL GASTOS VARIOS]]</f>
        <v>3679.38292723835</v>
      </c>
      <c r="M125" s="510">
        <f>'RECETAS JARAB NUEVOS'!G308</f>
        <v>428.1770070095493</v>
      </c>
      <c r="N125" s="526">
        <f>'RECETAS JARAB NUEVOS'!H308</f>
        <v>0.1</v>
      </c>
      <c r="O125" s="534">
        <f>'RECETAS JARAB NUEVOS'!G309</f>
        <v>4709.9470771050419</v>
      </c>
      <c r="P125" s="505">
        <v>4000</v>
      </c>
      <c r="Q125" s="440">
        <f>(LISTPROD3[[#This Row],[PRECIO DE VENTA 1]]-LISTPROD3[[#This Row],[COSTO TOTAL UNIDAD]])/LISTPROD3[[#This Row],[COSTO TOTAL UNIDAD]]</f>
        <v>8.713881623685657E-2</v>
      </c>
      <c r="R125" s="429">
        <f>LISTPROD3[[#This Row],[% GANANCIA]]*LISTPROD3[[#This Row],[COSTO TOTAL UNIDAD]]</f>
        <v>320.61707276164998</v>
      </c>
      <c r="S125" s="391">
        <f>+LISTPROD3[[#This Row],[PRECIO DE VENTA 1]]-LISTPROD3[[#This Row],[PRECIO VENTA POR RECETA]]</f>
        <v>-709.9470771050419</v>
      </c>
      <c r="T125" s="429"/>
      <c r="U125" s="440"/>
      <c r="V125" s="429"/>
      <c r="W125" s="391"/>
      <c r="X125" s="429"/>
      <c r="Y125" s="440"/>
      <c r="Z125" s="391"/>
      <c r="AA125" s="391"/>
      <c r="AB125" s="391"/>
      <c r="AC125" s="88"/>
      <c r="AD125" s="88"/>
      <c r="AE125" s="88"/>
      <c r="AF125" s="88"/>
      <c r="AG125" s="40" t="s">
        <v>629</v>
      </c>
      <c r="AH125" s="7"/>
    </row>
    <row r="126" spans="1:34" ht="19.5" customHeight="1" x14ac:dyDescent="0.25">
      <c r="A126" s="49" t="s">
        <v>590</v>
      </c>
      <c r="B126" s="9" t="s">
        <v>592</v>
      </c>
      <c r="C126" s="371" t="s">
        <v>465</v>
      </c>
      <c r="D126" s="329" t="s">
        <v>654</v>
      </c>
      <c r="E126" s="539" t="s">
        <v>642</v>
      </c>
      <c r="F126" s="164" t="s">
        <v>747</v>
      </c>
      <c r="G126" s="425"/>
      <c r="H126" s="160"/>
      <c r="I126" s="189" t="s">
        <v>70</v>
      </c>
      <c r="J126" s="509">
        <f>'RECETAS JARAB NUEVOS'!G335</f>
        <v>1943.7617895131086</v>
      </c>
      <c r="K126" s="443">
        <f>'Gtos Varios'!$B$22</f>
        <v>3070.542857142857</v>
      </c>
      <c r="L126" s="443">
        <f>+LISTPROD3[[#This Row],[PRECIO DE PRODUCCIÓN POR UND]]+LISTPROD3[[#This Row],[TOTAL GASTOS VARIOS]]</f>
        <v>5014.3046466559654</v>
      </c>
      <c r="M126" s="510">
        <f>'RECETAS JARAB NUEVOS'!G340</f>
        <v>5616.6917895131082</v>
      </c>
      <c r="N126" s="527">
        <f>'RECETAS JARAB NUEVOS'!H340</f>
        <v>1</v>
      </c>
      <c r="O126" s="534">
        <f>'RECETAS JARAB NUEVOS'!G341</f>
        <v>11233.383579026216</v>
      </c>
      <c r="P126" s="505">
        <v>10000</v>
      </c>
      <c r="Q126" s="440">
        <f>(LISTPROD3[[#This Row],[PRECIO DE VENTA 1]]-LISTPROD3[[#This Row],[COSTO TOTAL UNIDAD]])/LISTPROD3[[#This Row],[COSTO TOTAL UNIDAD]]</f>
        <v>0.99429446447155734</v>
      </c>
      <c r="R126" s="429">
        <f>LISTPROD3[[#This Row],[% GANANCIA]]*LISTPROD3[[#This Row],[COSTO TOTAL UNIDAD]]</f>
        <v>4985.6953533440346</v>
      </c>
      <c r="S126" s="391">
        <f>+LISTPROD3[[#This Row],[PRECIO DE VENTA 1]]-LISTPROD3[[#This Row],[PRECIO VENTA POR RECETA]]</f>
        <v>-1233.3835790262165</v>
      </c>
      <c r="T126" s="429"/>
      <c r="U126" s="440"/>
      <c r="V126" s="429"/>
      <c r="W126" s="391"/>
      <c r="X126" s="429"/>
      <c r="Y126" s="440"/>
      <c r="Z126" s="391"/>
      <c r="AA126" s="391"/>
      <c r="AB126" s="391"/>
      <c r="AC126" s="317"/>
      <c r="AD126" s="184"/>
      <c r="AE126" s="184"/>
      <c r="AF126" s="70"/>
      <c r="AG126" s="40" t="s">
        <v>629</v>
      </c>
    </row>
    <row r="127" spans="1:34" ht="19.5" customHeight="1" x14ac:dyDescent="0.25">
      <c r="A127" s="49" t="s">
        <v>591</v>
      </c>
      <c r="B127" s="9" t="s">
        <v>606</v>
      </c>
      <c r="C127" s="371" t="s">
        <v>589</v>
      </c>
      <c r="D127" s="329" t="s">
        <v>654</v>
      </c>
      <c r="E127" s="539" t="s">
        <v>642</v>
      </c>
      <c r="F127" s="47" t="s">
        <v>746</v>
      </c>
      <c r="G127" s="425"/>
      <c r="H127" s="160"/>
      <c r="I127" s="189" t="s">
        <v>70</v>
      </c>
      <c r="J127" s="509">
        <f>'RECETAS JARAB NUEVOS'!G366</f>
        <v>525.49758166292133</v>
      </c>
      <c r="K127" s="443">
        <f>'Gtos Varios'!$B$22</f>
        <v>3070.542857142857</v>
      </c>
      <c r="L127" s="443">
        <f>+LISTPROD3[[#This Row],[PRECIO DE PRODUCCIÓN POR UND]]+LISTPROD3[[#This Row],[TOTAL GASTOS VARIOS]]</f>
        <v>3596.0404388057782</v>
      </c>
      <c r="M127" s="510">
        <f>'RECETAS JARAB NUEVOS'!G371</f>
        <v>503.81130979955054</v>
      </c>
      <c r="N127" s="527">
        <f>'RECETAS JARAB NUEVOS'!H371</f>
        <v>0.12</v>
      </c>
      <c r="O127" s="534">
        <f>'RECETAS JARAB NUEVOS'!G372</f>
        <v>4702.2388914624717</v>
      </c>
      <c r="P127" s="505">
        <v>4000</v>
      </c>
      <c r="Q127" s="440">
        <f>(LISTPROD3[[#This Row],[PRECIO DE VENTA 1]]-LISTPROD3[[#This Row],[COSTO TOTAL UNIDAD]])/LISTPROD3[[#This Row],[COSTO TOTAL UNIDAD]]</f>
        <v>0.11233454352598275</v>
      </c>
      <c r="R127" s="429">
        <f>LISTPROD3[[#This Row],[% GANANCIA]]*LISTPROD3[[#This Row],[COSTO TOTAL UNIDAD]]</f>
        <v>403.95956119422181</v>
      </c>
      <c r="S127" s="391">
        <f>+LISTPROD3[[#This Row],[PRECIO DE VENTA 1]]-LISTPROD3[[#This Row],[PRECIO VENTA POR RECETA]]</f>
        <v>-702.23889146247166</v>
      </c>
      <c r="T127" s="429"/>
      <c r="U127" s="440"/>
      <c r="V127" s="429"/>
      <c r="W127" s="391"/>
      <c r="X127" s="429"/>
      <c r="Y127" s="440"/>
      <c r="Z127" s="391"/>
      <c r="AA127" s="391"/>
      <c r="AB127" s="391"/>
      <c r="AC127" s="317"/>
      <c r="AD127" s="184"/>
      <c r="AE127" s="184"/>
      <c r="AF127" s="70"/>
      <c r="AG127" s="40" t="s">
        <v>629</v>
      </c>
    </row>
    <row r="128" spans="1:34" ht="15.75" customHeight="1" x14ac:dyDescent="0.25">
      <c r="A128" s="258"/>
      <c r="B128" s="382" t="s">
        <v>739</v>
      </c>
      <c r="C128" s="558"/>
      <c r="D128" s="332" t="s">
        <v>654</v>
      </c>
      <c r="E128" s="335" t="s">
        <v>642</v>
      </c>
      <c r="F128" s="47"/>
      <c r="G128" s="251" t="s">
        <v>487</v>
      </c>
      <c r="H128" s="160"/>
      <c r="I128" s="189"/>
      <c r="J128" s="357"/>
      <c r="K128" s="442">
        <f>'Gtos Varios'!$B$22</f>
        <v>3070.542857142857</v>
      </c>
      <c r="L128" s="442">
        <f>+LISTPROD3[[#This Row],[PRECIO DE PRODUCCIÓN POR UND]]+LISTPROD3[[#This Row],[TOTAL GASTOS VARIOS]]</f>
        <v>3070.542857142857</v>
      </c>
      <c r="M128" s="422"/>
      <c r="N128" s="387"/>
      <c r="O128" s="534"/>
      <c r="P128" s="505"/>
      <c r="Q128" s="440">
        <f>(LISTPROD3[[#This Row],[PRECIO DE VENTA 1]]-LISTPROD3[[#This Row],[COSTO TOTAL UNIDAD]])/LISTPROD3[[#This Row],[COSTO TOTAL UNIDAD]]</f>
        <v>-1</v>
      </c>
      <c r="R128" s="429">
        <f>LISTPROD3[[#This Row],[% GANANCIA]]*LISTPROD3[[#This Row],[COSTO TOTAL UNIDAD]]</f>
        <v>-3070.542857142857</v>
      </c>
      <c r="S128" s="391">
        <f>+LISTPROD3[[#This Row],[PRECIO DE VENTA 1]]-LISTPROD3[[#This Row],[PRECIO VENTA POR RECETA]]</f>
        <v>0</v>
      </c>
      <c r="T128" s="429"/>
      <c r="U128" s="440"/>
      <c r="V128" s="429"/>
      <c r="W128" s="391"/>
      <c r="X128" s="429"/>
      <c r="Y128" s="440"/>
      <c r="Z128" s="391"/>
      <c r="AA128" s="391"/>
      <c r="AB128" s="391"/>
      <c r="AC128" s="317"/>
      <c r="AD128" s="184"/>
      <c r="AE128" s="184"/>
      <c r="AF128" s="70"/>
      <c r="AG128" s="40"/>
    </row>
    <row r="129" spans="1:33" ht="15.75" customHeight="1" x14ac:dyDescent="0.25">
      <c r="A129" s="258"/>
      <c r="B129" s="382" t="s">
        <v>740</v>
      </c>
      <c r="C129" s="558"/>
      <c r="D129" s="332" t="s">
        <v>654</v>
      </c>
      <c r="E129" s="335" t="s">
        <v>642</v>
      </c>
      <c r="F129" s="47"/>
      <c r="G129" s="251" t="s">
        <v>487</v>
      </c>
      <c r="H129" s="160"/>
      <c r="I129" s="189"/>
      <c r="J129" s="357"/>
      <c r="K129" s="442">
        <f>'Gtos Varios'!$B$22</f>
        <v>3070.542857142857</v>
      </c>
      <c r="L129" s="442">
        <f>+LISTPROD3[[#This Row],[PRECIO DE PRODUCCIÓN POR UND]]+LISTPROD3[[#This Row],[TOTAL GASTOS VARIOS]]</f>
        <v>3070.542857142857</v>
      </c>
      <c r="M129" s="422"/>
      <c r="N129" s="387"/>
      <c r="O129" s="534"/>
      <c r="P129" s="505"/>
      <c r="Q129" s="440">
        <f>(LISTPROD3[[#This Row],[PRECIO DE VENTA 1]]-LISTPROD3[[#This Row],[COSTO TOTAL UNIDAD]])/LISTPROD3[[#This Row],[COSTO TOTAL UNIDAD]]</f>
        <v>-1</v>
      </c>
      <c r="R129" s="429">
        <f>LISTPROD3[[#This Row],[% GANANCIA]]*LISTPROD3[[#This Row],[COSTO TOTAL UNIDAD]]</f>
        <v>-3070.542857142857</v>
      </c>
      <c r="S129" s="391">
        <f>+LISTPROD3[[#This Row],[PRECIO DE VENTA 1]]-LISTPROD3[[#This Row],[PRECIO VENTA POR RECETA]]</f>
        <v>0</v>
      </c>
      <c r="T129" s="429"/>
      <c r="U129" s="440"/>
      <c r="V129" s="429"/>
      <c r="W129" s="391"/>
      <c r="X129" s="429"/>
      <c r="Y129" s="440"/>
      <c r="Z129" s="391"/>
      <c r="AA129" s="391"/>
      <c r="AB129" s="391"/>
      <c r="AC129" s="317"/>
      <c r="AD129" s="184"/>
      <c r="AE129" s="184"/>
      <c r="AF129" s="70"/>
      <c r="AG129" s="40"/>
    </row>
    <row r="130" spans="1:33" ht="15.75" customHeight="1" x14ac:dyDescent="0.25">
      <c r="A130" s="258"/>
      <c r="B130" s="382" t="s">
        <v>741</v>
      </c>
      <c r="C130" s="558"/>
      <c r="D130" s="332" t="s">
        <v>654</v>
      </c>
      <c r="E130" s="335" t="s">
        <v>642</v>
      </c>
      <c r="F130" s="47"/>
      <c r="G130" s="251" t="s">
        <v>487</v>
      </c>
      <c r="H130" s="160"/>
      <c r="I130" s="189"/>
      <c r="J130" s="357"/>
      <c r="K130" s="442">
        <f>'Gtos Varios'!$B$22</f>
        <v>3070.542857142857</v>
      </c>
      <c r="L130" s="442">
        <f>+LISTPROD3[[#This Row],[PRECIO DE PRODUCCIÓN POR UND]]+LISTPROD3[[#This Row],[TOTAL GASTOS VARIOS]]</f>
        <v>3070.542857142857</v>
      </c>
      <c r="M130" s="422"/>
      <c r="N130" s="387"/>
      <c r="O130" s="534"/>
      <c r="P130" s="505"/>
      <c r="Q130" s="440">
        <f>(LISTPROD3[[#This Row],[PRECIO DE VENTA 1]]-LISTPROD3[[#This Row],[COSTO TOTAL UNIDAD]])/LISTPROD3[[#This Row],[COSTO TOTAL UNIDAD]]</f>
        <v>-1</v>
      </c>
      <c r="R130" s="429">
        <f>LISTPROD3[[#This Row],[% GANANCIA]]*LISTPROD3[[#This Row],[COSTO TOTAL UNIDAD]]</f>
        <v>-3070.542857142857</v>
      </c>
      <c r="S130" s="391">
        <f>+LISTPROD3[[#This Row],[PRECIO DE VENTA 1]]-LISTPROD3[[#This Row],[PRECIO VENTA POR RECETA]]</f>
        <v>0</v>
      </c>
      <c r="T130" s="429"/>
      <c r="U130" s="440"/>
      <c r="V130" s="429"/>
      <c r="W130" s="391"/>
      <c r="X130" s="429"/>
      <c r="Y130" s="440"/>
      <c r="Z130" s="391"/>
      <c r="AA130" s="391"/>
      <c r="AB130" s="391"/>
      <c r="AC130" s="317"/>
      <c r="AD130" s="184"/>
      <c r="AE130" s="184"/>
      <c r="AF130" s="70"/>
      <c r="AG130" s="40"/>
    </row>
    <row r="131" spans="1:33" ht="15.75" customHeight="1" x14ac:dyDescent="0.25">
      <c r="A131" s="258"/>
      <c r="B131" s="382" t="s">
        <v>742</v>
      </c>
      <c r="C131" s="558"/>
      <c r="D131" s="332" t="s">
        <v>654</v>
      </c>
      <c r="E131" s="335" t="s">
        <v>642</v>
      </c>
      <c r="F131" s="47"/>
      <c r="G131" s="251" t="s">
        <v>487</v>
      </c>
      <c r="H131" s="160"/>
      <c r="I131" s="189"/>
      <c r="J131" s="357"/>
      <c r="K131" s="442">
        <f>'Gtos Varios'!$B$22</f>
        <v>3070.542857142857</v>
      </c>
      <c r="L131" s="442">
        <f>+LISTPROD3[[#This Row],[PRECIO DE PRODUCCIÓN POR UND]]+LISTPROD3[[#This Row],[TOTAL GASTOS VARIOS]]</f>
        <v>3070.542857142857</v>
      </c>
      <c r="M131" s="422"/>
      <c r="N131" s="387"/>
      <c r="O131" s="534"/>
      <c r="P131" s="505"/>
      <c r="Q131" s="440">
        <f>(LISTPROD3[[#This Row],[PRECIO DE VENTA 1]]-LISTPROD3[[#This Row],[COSTO TOTAL UNIDAD]])/LISTPROD3[[#This Row],[COSTO TOTAL UNIDAD]]</f>
        <v>-1</v>
      </c>
      <c r="R131" s="429">
        <f>LISTPROD3[[#This Row],[% GANANCIA]]*LISTPROD3[[#This Row],[COSTO TOTAL UNIDAD]]</f>
        <v>-3070.542857142857</v>
      </c>
      <c r="S131" s="391">
        <f>+LISTPROD3[[#This Row],[PRECIO DE VENTA 1]]-LISTPROD3[[#This Row],[PRECIO VENTA POR RECETA]]</f>
        <v>0</v>
      </c>
      <c r="T131" s="429"/>
      <c r="U131" s="440"/>
      <c r="V131" s="429"/>
      <c r="W131" s="391"/>
      <c r="X131" s="429"/>
      <c r="Y131" s="440"/>
      <c r="Z131" s="391"/>
      <c r="AA131" s="391"/>
      <c r="AB131" s="391"/>
      <c r="AC131" s="317"/>
      <c r="AD131" s="184"/>
      <c r="AE131" s="184"/>
      <c r="AF131" s="70"/>
      <c r="AG131" s="40"/>
    </row>
    <row r="132" spans="1:33" ht="15.75" customHeight="1" x14ac:dyDescent="0.25">
      <c r="A132" s="258"/>
      <c r="B132" s="382" t="s">
        <v>123</v>
      </c>
      <c r="C132" s="558"/>
      <c r="D132" s="332" t="s">
        <v>654</v>
      </c>
      <c r="E132" s="335" t="s">
        <v>642</v>
      </c>
      <c r="F132" s="47"/>
      <c r="G132" s="251" t="s">
        <v>487</v>
      </c>
      <c r="H132" s="160"/>
      <c r="I132" s="189"/>
      <c r="J132" s="357"/>
      <c r="K132" s="442">
        <f>'Gtos Varios'!$B$22</f>
        <v>3070.542857142857</v>
      </c>
      <c r="L132" s="442">
        <f>+LISTPROD3[[#This Row],[PRECIO DE PRODUCCIÓN POR UND]]+LISTPROD3[[#This Row],[TOTAL GASTOS VARIOS]]</f>
        <v>3070.542857142857</v>
      </c>
      <c r="M132" s="422"/>
      <c r="N132" s="387"/>
      <c r="O132" s="534"/>
      <c r="P132" s="505"/>
      <c r="Q132" s="440">
        <f>(LISTPROD3[[#This Row],[PRECIO DE VENTA 1]]-LISTPROD3[[#This Row],[COSTO TOTAL UNIDAD]])/LISTPROD3[[#This Row],[COSTO TOTAL UNIDAD]]</f>
        <v>-1</v>
      </c>
      <c r="R132" s="429">
        <f>LISTPROD3[[#This Row],[% GANANCIA]]*LISTPROD3[[#This Row],[COSTO TOTAL UNIDAD]]</f>
        <v>-3070.542857142857</v>
      </c>
      <c r="S132" s="391">
        <f>+LISTPROD3[[#This Row],[PRECIO DE VENTA 1]]-LISTPROD3[[#This Row],[PRECIO VENTA POR RECETA]]</f>
        <v>0</v>
      </c>
      <c r="T132" s="429"/>
      <c r="U132" s="440"/>
      <c r="V132" s="429"/>
      <c r="W132" s="391"/>
      <c r="X132" s="429"/>
      <c r="Y132" s="440"/>
      <c r="Z132" s="391"/>
      <c r="AA132" s="391"/>
      <c r="AB132" s="391"/>
      <c r="AC132" s="317"/>
      <c r="AD132" s="184"/>
      <c r="AE132" s="184"/>
      <c r="AF132" s="70"/>
      <c r="AG132" s="40"/>
    </row>
    <row r="133" spans="1:33" ht="15.75" customHeight="1" x14ac:dyDescent="0.25">
      <c r="A133" s="258"/>
      <c r="B133" s="382"/>
      <c r="C133" s="425"/>
      <c r="D133" s="332" t="s">
        <v>654</v>
      </c>
      <c r="E133" s="335" t="s">
        <v>642</v>
      </c>
      <c r="F133" s="19"/>
      <c r="G133" s="251" t="s">
        <v>487</v>
      </c>
      <c r="H133" s="160"/>
      <c r="I133" s="187"/>
      <c r="J133" s="353"/>
      <c r="K133" s="442">
        <f>'Gtos Varios'!$B$22</f>
        <v>3070.542857142857</v>
      </c>
      <c r="L133" s="442">
        <f>+LISTPROD3[[#This Row],[PRECIO DE PRODUCCIÓN POR UND]]+LISTPROD3[[#This Row],[TOTAL GASTOS VARIOS]]</f>
        <v>3070.542857142857</v>
      </c>
      <c r="M133" s="418"/>
      <c r="N133" s="387"/>
      <c r="O133" s="534"/>
      <c r="P133" s="505"/>
      <c r="Q133" s="440">
        <f>(LISTPROD3[[#This Row],[PRECIO DE VENTA 1]]-LISTPROD3[[#This Row],[COSTO TOTAL UNIDAD]])/LISTPROD3[[#This Row],[COSTO TOTAL UNIDAD]]</f>
        <v>-1</v>
      </c>
      <c r="R133" s="429">
        <f>LISTPROD3[[#This Row],[% GANANCIA]]*LISTPROD3[[#This Row],[COSTO TOTAL UNIDAD]]</f>
        <v>-3070.542857142857</v>
      </c>
      <c r="S133" s="391">
        <f>+LISTPROD3[[#This Row],[PRECIO DE VENTA 1]]-LISTPROD3[[#This Row],[PRECIO VENTA POR RECETA]]</f>
        <v>0</v>
      </c>
      <c r="T133" s="429"/>
      <c r="U133" s="440"/>
      <c r="V133" s="429"/>
      <c r="W133" s="391"/>
      <c r="X133" s="429"/>
      <c r="Y133" s="440"/>
      <c r="Z133" s="391"/>
      <c r="AA133" s="391"/>
      <c r="AB133" s="391"/>
      <c r="AC133" s="317"/>
      <c r="AD133" s="184"/>
      <c r="AE133" s="184"/>
      <c r="AF133" s="70"/>
      <c r="AG133" s="40"/>
    </row>
    <row r="135" spans="1:33" x14ac:dyDescent="0.25">
      <c r="Q135" s="537"/>
    </row>
    <row r="136" spans="1:33" x14ac:dyDescent="0.25">
      <c r="P136" s="536"/>
      <c r="Q136" s="537"/>
    </row>
    <row r="137" spans="1:33" x14ac:dyDescent="0.25">
      <c r="Q137" s="537"/>
    </row>
  </sheetData>
  <mergeCells count="9">
    <mergeCell ref="AC5:AF5"/>
    <mergeCell ref="A2:B2"/>
    <mergeCell ref="P4:S4"/>
    <mergeCell ref="T4:W4"/>
    <mergeCell ref="X4:AA4"/>
    <mergeCell ref="D5:G5"/>
    <mergeCell ref="P5:S5"/>
    <mergeCell ref="T5:W5"/>
    <mergeCell ref="X5:AA5"/>
  </mergeCells>
  <conditionalFormatting sqref="A16:B16 A18:B22 A25:B29 A31:B33">
    <cfRule type="expression" dxfId="239" priority="81" stopIfTrue="1">
      <formula>ROW()=CELL(¨FILA¨)</formula>
    </cfRule>
  </conditionalFormatting>
  <conditionalFormatting sqref="A46:B70 A35:B42 A44:B44 G60:H60">
    <cfRule type="expression" dxfId="238" priority="87" stopIfTrue="1">
      <formula>ROW()=CELL(¨FILA¨)</formula>
    </cfRule>
  </conditionalFormatting>
  <conditionalFormatting sqref="A75:B75">
    <cfRule type="expression" dxfId="237" priority="83" stopIfTrue="1">
      <formula>ROW()=CELL(¨FILA¨)</formula>
    </cfRule>
  </conditionalFormatting>
  <conditionalFormatting sqref="A88:B88 G88:H88">
    <cfRule type="expression" dxfId="236" priority="82" stopIfTrue="1">
      <formula>ROW()=CELL(¨FILA¨)</formula>
    </cfRule>
  </conditionalFormatting>
  <conditionalFormatting sqref="A90:B90 G90:H91">
    <cfRule type="expression" dxfId="235" priority="80" stopIfTrue="1">
      <formula>ROW()=CELL(¨FILA¨)</formula>
    </cfRule>
  </conditionalFormatting>
  <conditionalFormatting sqref="A99:B100 G99:H102">
    <cfRule type="expression" dxfId="234" priority="79" stopIfTrue="1">
      <formula>ROW()=CELL(¨FILA¨)</formula>
    </cfRule>
  </conditionalFormatting>
  <conditionalFormatting sqref="A7:S7 AC7 A8:I12 M8:M16 G13:I13 A13:B14 E13:F16 I14:I16 B15 A17:J17 L17:M17 E18:E22 I18:I22 M18:M30 F20:H21 A23:I24 I25:I29 A30:I30 C31:M31 I32:I33 M32:M33 A34:J34 L34:M34 G35:I39 E35:F43 M35:M44 I40 G41:I43 A43:D43 C44:I44 A45:M45 F46:I48 M46:M56 G49:I49 F49:F52 I50:I56 F53:H53 F56:H59 I57:M57 I58:I59 M58:M59 I60:J60 L60:M60 I61 M61 C61:H62 I62:M62 I63:J63 F63:H64 M63:M70 I64:I70 H69 I75 M75 C79:H79 H81:H82 E81:E84 C85:H87 I88:J88 M88 L88:L90 I90:J90 M90 E91:F98 G95:I95 M95 A101:D102 E101:F105 A104:D105 I104:K105 M104:P105 AC104:AC105 X104:X107 AA104:AB107 S104:T111 I106:J107 L106:P107 AC107:AC109 I108:P109 X108:AB111 M110:P111 L110:L112 X113:X116 I113:I121 S113:T121 Z113:AB121 M113:P122 W117:X121 S122:AB122 L122:L123">
    <cfRule type="expression" dxfId="233" priority="86" stopIfTrue="1">
      <formula>ROW()=CELL(¨FILA¨)</formula>
    </cfRule>
  </conditionalFormatting>
  <conditionalFormatting sqref="B46">
    <cfRule type="expression" dxfId="232" priority="85" stopIfTrue="1">
      <formula>ROW()=CELL(¨FILA¨)</formula>
    </cfRule>
  </conditionalFormatting>
  <conditionalFormatting sqref="B110:B111 G110:H111 H113:H117 B113:B122 G118:H118 H119 G120:H122">
    <cfRule type="expression" dxfId="231" priority="76" stopIfTrue="1">
      <formula>ROW()=CELL(¨FILA¨)</formula>
    </cfRule>
  </conditionalFormatting>
  <conditionalFormatting sqref="C84">
    <cfRule type="expression" dxfId="230" priority="7" stopIfTrue="1">
      <formula>ROW()=CELL(¨FILA¨)</formula>
    </cfRule>
  </conditionalFormatting>
  <conditionalFormatting sqref="C96:C98">
    <cfRule type="expression" dxfId="229" priority="4" stopIfTrue="1">
      <formula>ROW()=CELL(¨FILA¨)</formula>
    </cfRule>
  </conditionalFormatting>
  <conditionalFormatting sqref="C103">
    <cfRule type="expression" dxfId="228" priority="3" stopIfTrue="1">
      <formula>ROW()=CELL(¨FILA¨)</formula>
    </cfRule>
  </conditionalFormatting>
  <conditionalFormatting sqref="C108:C109">
    <cfRule type="expression" dxfId="227" priority="1" stopIfTrue="1">
      <formula>ROW()=CELL(¨FILA¨)</formula>
    </cfRule>
  </conditionalFormatting>
  <conditionalFormatting sqref="C112:C116">
    <cfRule type="expression" dxfId="226" priority="25" stopIfTrue="1">
      <formula>ROW()=CELL(¨FILA¨)</formula>
    </cfRule>
  </conditionalFormatting>
  <conditionalFormatting sqref="C119">
    <cfRule type="expression" dxfId="225" priority="24" stopIfTrue="1">
      <formula>ROW()=CELL(¨FILA¨)</formula>
    </cfRule>
  </conditionalFormatting>
  <conditionalFormatting sqref="C13:D16">
    <cfRule type="expression" dxfId="224" priority="75" stopIfTrue="1">
      <formula>ROW()=CELL(¨FILA¨)</formula>
    </cfRule>
  </conditionalFormatting>
  <conditionalFormatting sqref="C18:D22">
    <cfRule type="expression" dxfId="223" priority="74" stopIfTrue="1">
      <formula>ROW()=CELL(¨FILA¨)</formula>
    </cfRule>
  </conditionalFormatting>
  <conditionalFormatting sqref="C25:D29">
    <cfRule type="expression" dxfId="222" priority="73" stopIfTrue="1">
      <formula>ROW()=CELL(¨FILA¨)</formula>
    </cfRule>
  </conditionalFormatting>
  <conditionalFormatting sqref="C32:D33">
    <cfRule type="expression" dxfId="221" priority="72" stopIfTrue="1">
      <formula>ROW()=CELL(¨FILA¨)</formula>
    </cfRule>
  </conditionalFormatting>
  <conditionalFormatting sqref="C35:D42">
    <cfRule type="expression" dxfId="220" priority="71" stopIfTrue="1">
      <formula>ROW()=CELL(¨FILA¨)</formula>
    </cfRule>
  </conditionalFormatting>
  <conditionalFormatting sqref="C46:D60">
    <cfRule type="expression" dxfId="219" priority="45" stopIfTrue="1">
      <formula>ROW()=CELL(¨FILA¨)</formula>
    </cfRule>
  </conditionalFormatting>
  <conditionalFormatting sqref="C63:D78">
    <cfRule type="expression" dxfId="218" priority="44" stopIfTrue="1">
      <formula>ROW()=CELL(¨FILA¨)</formula>
    </cfRule>
  </conditionalFormatting>
  <conditionalFormatting sqref="C81:D83">
    <cfRule type="expression" dxfId="217" priority="69" stopIfTrue="1">
      <formula>ROW()=CELL(¨FILA¨)</formula>
    </cfRule>
  </conditionalFormatting>
  <conditionalFormatting sqref="C88:D95">
    <cfRule type="expression" dxfId="216" priority="43" stopIfTrue="1">
      <formula>ROW()=CELL(¨FILA¨)</formula>
    </cfRule>
  </conditionalFormatting>
  <conditionalFormatting sqref="C99:D100">
    <cfRule type="expression" dxfId="215" priority="42" stopIfTrue="1">
      <formula>ROW()=CELL(¨FILA¨)</formula>
    </cfRule>
  </conditionalFormatting>
  <conditionalFormatting sqref="C106:D107">
    <cfRule type="expression" dxfId="214" priority="41" stopIfTrue="1">
      <formula>ROW()=CELL(¨FILA¨)</formula>
    </cfRule>
  </conditionalFormatting>
  <conditionalFormatting sqref="C110:D111">
    <cfRule type="expression" dxfId="213" priority="40" stopIfTrue="1">
      <formula>ROW()=CELL(¨FILA¨)</formula>
    </cfRule>
  </conditionalFormatting>
  <conditionalFormatting sqref="D113:D116 C117:D118 D119 C120:D127 C128:C132">
    <cfRule type="expression" dxfId="212" priority="38" stopIfTrue="1">
      <formula>ROW()=CELL(¨FILA¨)</formula>
    </cfRule>
  </conditionalFormatting>
  <conditionalFormatting sqref="E25:E29 E32:E33 E63:E78">
    <cfRule type="expression" dxfId="211" priority="36" stopIfTrue="1">
      <formula>ROW()=CELL(¨FILA¨)</formula>
    </cfRule>
  </conditionalFormatting>
  <conditionalFormatting sqref="E46:E60 E88:E90 E99:E100">
    <cfRule type="expression" dxfId="210" priority="35" stopIfTrue="1">
      <formula>ROW()=CELL(¨FILA¨)</formula>
    </cfRule>
  </conditionalFormatting>
  <conditionalFormatting sqref="E106:E133">
    <cfRule type="expression" dxfId="209" priority="34" stopIfTrue="1">
      <formula>ROW()=CELL(¨FILA¨)</formula>
    </cfRule>
  </conditionalFormatting>
  <conditionalFormatting sqref="F18:F19 F21:F22 F25:F29 F32:F33 F54:F55 F65:F78">
    <cfRule type="expression" dxfId="208" priority="33" stopIfTrue="1">
      <formula>ROW()=CELL(¨FILA¨)</formula>
    </cfRule>
  </conditionalFormatting>
  <conditionalFormatting sqref="F60 F88:F90 F99:F100">
    <cfRule type="expression" dxfId="207" priority="32" stopIfTrue="1">
      <formula>ROW()=CELL(¨FILA¨)</formula>
    </cfRule>
  </conditionalFormatting>
  <conditionalFormatting sqref="F81:F84">
    <cfRule type="expression" dxfId="206" priority="30" stopIfTrue="1">
      <formula>ROW()=CELL(¨FILA¨)</formula>
    </cfRule>
  </conditionalFormatting>
  <conditionalFormatting sqref="F106:F132">
    <cfRule type="expression" dxfId="205" priority="23" stopIfTrue="1">
      <formula>ROW()=CELL(¨FILA¨)</formula>
    </cfRule>
  </conditionalFormatting>
  <conditionalFormatting sqref="G27">
    <cfRule type="expression" dxfId="204" priority="50" stopIfTrue="1">
      <formula>ROW()=CELL(¨FILA¨)</formula>
    </cfRule>
  </conditionalFormatting>
  <conditionalFormatting sqref="G66:G67">
    <cfRule type="expression" dxfId="203" priority="52" stopIfTrue="1">
      <formula>ROW()=CELL(¨FILA¨)</formula>
    </cfRule>
  </conditionalFormatting>
  <conditionalFormatting sqref="G69">
    <cfRule type="expression" dxfId="202" priority="29" stopIfTrue="1">
      <formula>ROW()=CELL(¨FILA¨)</formula>
    </cfRule>
  </conditionalFormatting>
  <conditionalFormatting sqref="G75">
    <cfRule type="expression" dxfId="201" priority="49" stopIfTrue="1">
      <formula>ROW()=CELL(¨FILA¨)</formula>
    </cfRule>
  </conditionalFormatting>
  <conditionalFormatting sqref="G81:G82">
    <cfRule type="expression" dxfId="200" priority="28" stopIfTrue="1">
      <formula>ROW()=CELL(¨FILA¨)</formula>
    </cfRule>
  </conditionalFormatting>
  <conditionalFormatting sqref="G92:G93">
    <cfRule type="expression" dxfId="199" priority="27" stopIfTrue="1">
      <formula>ROW()=CELL(¨FILA¨)</formula>
    </cfRule>
  </conditionalFormatting>
  <conditionalFormatting sqref="G113:G117">
    <cfRule type="expression" dxfId="198" priority="26" stopIfTrue="1">
      <formula>ROW()=CELL(¨FILA¨)</formula>
    </cfRule>
  </conditionalFormatting>
  <conditionalFormatting sqref="G119">
    <cfRule type="expression" dxfId="197" priority="22" stopIfTrue="1">
      <formula>ROW()=CELL(¨FILA¨)</formula>
    </cfRule>
  </conditionalFormatting>
  <conditionalFormatting sqref="G14:H16">
    <cfRule type="expression" dxfId="196" priority="67" stopIfTrue="1">
      <formula>ROW()=CELL(¨FILA¨)</formula>
    </cfRule>
  </conditionalFormatting>
  <conditionalFormatting sqref="G18:H19">
    <cfRule type="expression" dxfId="195" priority="66" stopIfTrue="1">
      <formula>ROW()=CELL(¨FILA¨)</formula>
    </cfRule>
  </conditionalFormatting>
  <conditionalFormatting sqref="G22:H22">
    <cfRule type="expression" dxfId="194" priority="65" stopIfTrue="1">
      <formula>ROW()=CELL(¨FILA¨)</formula>
    </cfRule>
  </conditionalFormatting>
  <conditionalFormatting sqref="G25:H26">
    <cfRule type="expression" dxfId="193" priority="64" stopIfTrue="1">
      <formula>ROW()=CELL(¨FILA¨)</formula>
    </cfRule>
  </conditionalFormatting>
  <conditionalFormatting sqref="G28:H29">
    <cfRule type="expression" dxfId="192" priority="63" stopIfTrue="1">
      <formula>ROW()=CELL(¨FILA¨)</formula>
    </cfRule>
  </conditionalFormatting>
  <conditionalFormatting sqref="G32:H33">
    <cfRule type="expression" dxfId="191" priority="62" stopIfTrue="1">
      <formula>ROW()=CELL(¨FILA¨)</formula>
    </cfRule>
  </conditionalFormatting>
  <conditionalFormatting sqref="G40:H40">
    <cfRule type="expression" dxfId="190" priority="61" stopIfTrue="1">
      <formula>ROW()=CELL(¨FILA¨)</formula>
    </cfRule>
  </conditionalFormatting>
  <conditionalFormatting sqref="G50:H52">
    <cfRule type="expression" dxfId="189" priority="60" stopIfTrue="1">
      <formula>ROW()=CELL(¨FILA¨)</formula>
    </cfRule>
  </conditionalFormatting>
  <conditionalFormatting sqref="G54:H55">
    <cfRule type="expression" dxfId="188" priority="59" stopIfTrue="1">
      <formula>ROW()=CELL(¨FILA¨)</formula>
    </cfRule>
  </conditionalFormatting>
  <conditionalFormatting sqref="G65:H65">
    <cfRule type="expression" dxfId="187" priority="58" stopIfTrue="1">
      <formula>ROW()=CELL(¨FILA¨)</formula>
    </cfRule>
  </conditionalFormatting>
  <conditionalFormatting sqref="G68:H68">
    <cfRule type="expression" dxfId="186" priority="57" stopIfTrue="1">
      <formula>ROW()=CELL(¨FILA¨)</formula>
    </cfRule>
  </conditionalFormatting>
  <conditionalFormatting sqref="G70:H72">
    <cfRule type="expression" dxfId="185" priority="56" stopIfTrue="1">
      <formula>ROW()=CELL(¨FILA¨)</formula>
    </cfRule>
  </conditionalFormatting>
  <conditionalFormatting sqref="G74:H74">
    <cfRule type="expression" dxfId="184" priority="51" stopIfTrue="1">
      <formula>ROW()=CELL(¨FILA¨)</formula>
    </cfRule>
  </conditionalFormatting>
  <conditionalFormatting sqref="G76:H78">
    <cfRule type="expression" dxfId="183" priority="55" stopIfTrue="1">
      <formula>ROW()=CELL(¨FILA¨)</formula>
    </cfRule>
  </conditionalFormatting>
  <conditionalFormatting sqref="G83:H83">
    <cfRule type="expression" dxfId="182" priority="54" stopIfTrue="1">
      <formula>ROW()=CELL(¨FILA¨)</formula>
    </cfRule>
  </conditionalFormatting>
  <conditionalFormatting sqref="G104:H107 A106:B107">
    <cfRule type="expression" dxfId="181" priority="78" stopIfTrue="1">
      <formula>ROW()=CELL(¨FILA¨)</formula>
    </cfRule>
  </conditionalFormatting>
  <conditionalFormatting sqref="H27">
    <cfRule type="expression" dxfId="180" priority="47" stopIfTrue="1">
      <formula>ROW()=CELL(¨FILA¨)</formula>
    </cfRule>
  </conditionalFormatting>
  <conditionalFormatting sqref="H66:H67">
    <cfRule type="expression" dxfId="179" priority="48" stopIfTrue="1">
      <formula>ROW()=CELL(¨FILA¨)</formula>
    </cfRule>
  </conditionalFormatting>
  <conditionalFormatting sqref="H75">
    <cfRule type="expression" dxfId="178" priority="46" stopIfTrue="1">
      <formula>ROW()=CELL(¨FILA¨)</formula>
    </cfRule>
  </conditionalFormatting>
  <conditionalFormatting sqref="H92:H93 G94:H94">
    <cfRule type="expression" dxfId="177" priority="53" stopIfTrue="1">
      <formula>ROW()=CELL(¨FILA¨)</formula>
    </cfRule>
  </conditionalFormatting>
  <conditionalFormatting sqref="I110:J112 M112:N112">
    <cfRule type="expression" dxfId="176" priority="37" stopIfTrue="1">
      <formula>ROW()=CELL(¨FILA¨)</formula>
    </cfRule>
  </conditionalFormatting>
  <conditionalFormatting sqref="I122:J132 M123:N132">
    <cfRule type="expression" dxfId="175" priority="39" stopIfTrue="1">
      <formula>ROW()=CELL(¨FILA¨)</formula>
    </cfRule>
  </conditionalFormatting>
  <conditionalFormatting sqref="J7:N7">
    <cfRule type="expression" dxfId="174" priority="31" stopIfTrue="1">
      <formula>ROW()=CELL(¨FILA¨)</formula>
    </cfRule>
  </conditionalFormatting>
  <conditionalFormatting sqref="K23:K24">
    <cfRule type="expression" dxfId="173" priority="13" stopIfTrue="1">
      <formula>ROW()=CELL(¨FILA¨)</formula>
    </cfRule>
  </conditionalFormatting>
  <conditionalFormatting sqref="K43">
    <cfRule type="expression" dxfId="172" priority="14" stopIfTrue="1">
      <formula>ROW()=CELL(¨FILA¨)</formula>
    </cfRule>
  </conditionalFormatting>
  <conditionalFormatting sqref="K84">
    <cfRule type="expression" dxfId="171" priority="12" stopIfTrue="1">
      <formula>ROW()=CELL(¨FILA¨)</formula>
    </cfRule>
  </conditionalFormatting>
  <conditionalFormatting sqref="K96:K98">
    <cfRule type="expression" dxfId="170" priority="11" stopIfTrue="1">
      <formula>ROW()=CELL(¨FILA¨)</formula>
    </cfRule>
  </conditionalFormatting>
  <conditionalFormatting sqref="K101:K103">
    <cfRule type="expression" dxfId="169" priority="10" stopIfTrue="1">
      <formula>ROW()=CELL(¨FILA¨)</formula>
    </cfRule>
  </conditionalFormatting>
  <conditionalFormatting sqref="L43">
    <cfRule type="expression" dxfId="168" priority="9" stopIfTrue="1">
      <formula>ROW()=CELL(¨FILA¨)</formula>
    </cfRule>
  </conditionalFormatting>
  <conditionalFormatting sqref="L73">
    <cfRule type="expression" dxfId="167" priority="15" stopIfTrue="1">
      <formula>ROW()=CELL(¨FILA¨)</formula>
    </cfRule>
  </conditionalFormatting>
  <conditionalFormatting sqref="L84 L96:L105">
    <cfRule type="expression" dxfId="166" priority="8" stopIfTrue="1">
      <formula>ROW()=CELL(¨FILA¨)</formula>
    </cfRule>
  </conditionalFormatting>
  <conditionalFormatting sqref="S124:T133 W124:X133 Z124:AB133">
    <cfRule type="expression" dxfId="165" priority="21" stopIfTrue="1">
      <formula>ROW()=CELL(¨FILA¨)</formula>
    </cfRule>
  </conditionalFormatting>
  <conditionalFormatting sqref="S8:AC11 N8:P72 Q8:R133 S12:T72 X12:AC72 U12:W112 A15 N74:P95 S74:T95 X74:AC95 Y96:Z107 I99:J102 M99:P102 S99:T102 X99:X102 AA99:AC102 W113:W116 U113:V121 Y113:Y121 V124:V133 Y124:Y133">
    <cfRule type="expression" dxfId="164" priority="84" stopIfTrue="1">
      <formula>ROW()=CELL(¨FILA¨)</formula>
    </cfRule>
  </conditionalFormatting>
  <conditionalFormatting sqref="T7 V7:W7">
    <cfRule type="expression" dxfId="163" priority="20" stopIfTrue="1">
      <formula>ROW()=CELL(¨FILA¨)</formula>
    </cfRule>
  </conditionalFormatting>
  <conditionalFormatting sqref="U7">
    <cfRule type="expression" dxfId="162" priority="18" stopIfTrue="1">
      <formula>ROW()=CELL(¨FILA¨)</formula>
    </cfRule>
  </conditionalFormatting>
  <conditionalFormatting sqref="U124:U133">
    <cfRule type="expression" dxfId="161" priority="16" stopIfTrue="1">
      <formula>ROW()=CELL(¨FILA¨)</formula>
    </cfRule>
  </conditionalFormatting>
  <conditionalFormatting sqref="X7 Z7:AB7">
    <cfRule type="expression" dxfId="160" priority="19" stopIfTrue="1">
      <formula>ROW()=CELL(¨FILA¨)</formula>
    </cfRule>
  </conditionalFormatting>
  <conditionalFormatting sqref="Y7">
    <cfRule type="expression" dxfId="159" priority="17" stopIfTrue="1">
      <formula>ROW()=CELL(¨FILA¨)</formula>
    </cfRule>
  </conditionalFormatting>
  <conditionalFormatting sqref="AD7:AF87">
    <cfRule type="expression" dxfId="158" priority="77" stopIfTrue="1">
      <formula>ROW()=CELL(¨FILA¨)</formula>
    </cfRule>
  </conditionalFormatting>
  <conditionalFormatting sqref="AL10:AL12">
    <cfRule type="expression" dxfId="157" priority="88" stopIfTrue="1">
      <formula>ROW()=CELL(¨FILA¨)</formula>
    </cfRule>
  </conditionalFormatting>
  <pageMargins left="0.51181102362204722" right="0.51181102362204722" top="0.55118110236220474" bottom="0.55118110236220474" header="0.31496062992125984" footer="0.31496062992125984"/>
  <pageSetup scale="53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1975-4C0A-472F-B150-9213659F4C6D}">
  <sheetPr>
    <tabColor rgb="FFFFFF00"/>
  </sheetPr>
  <dimension ref="A1:BI318"/>
  <sheetViews>
    <sheetView topLeftCell="X1" zoomScale="85" zoomScaleNormal="85" workbookViewId="0">
      <selection activeCell="AE246" sqref="AE246"/>
    </sheetView>
  </sheetViews>
  <sheetFormatPr baseColWidth="10" defaultRowHeight="15" x14ac:dyDescent="0.25"/>
  <cols>
    <col min="1" max="1" width="30.5703125" customWidth="1"/>
    <col min="2" max="2" width="20.7109375" customWidth="1"/>
    <col min="3" max="3" width="16.140625" customWidth="1"/>
    <col min="4" max="4" width="6.28515625" customWidth="1"/>
    <col min="5" max="5" width="6.42578125" style="22" customWidth="1"/>
    <col min="6" max="6" width="5.5703125" customWidth="1"/>
    <col min="7" max="7" width="30.42578125" customWidth="1"/>
    <col min="8" max="8" width="14.28515625" customWidth="1"/>
    <col min="9" max="9" width="13.140625" customWidth="1"/>
    <col min="10" max="11" width="7.5703125" customWidth="1"/>
    <col min="12" max="12" width="31.140625" customWidth="1"/>
    <col min="13" max="14" width="21.7109375" customWidth="1"/>
    <col min="15" max="15" width="7.7109375" customWidth="1"/>
    <col min="16" max="16" width="5.7109375" style="22" customWidth="1"/>
    <col min="17" max="17" width="7.140625" customWidth="1"/>
    <col min="18" max="18" width="22" customWidth="1"/>
    <col min="19" max="20" width="21.7109375" customWidth="1"/>
    <col min="22" max="22" width="22" customWidth="1"/>
    <col min="23" max="24" width="21.7109375" customWidth="1"/>
    <col min="26" max="26" width="22" customWidth="1"/>
    <col min="27" max="28" width="21.7109375" customWidth="1"/>
    <col min="30" max="30" width="22" customWidth="1"/>
    <col min="31" max="32" width="21.7109375" customWidth="1"/>
    <col min="34" max="34" width="22" customWidth="1"/>
    <col min="35" max="36" width="21.7109375" customWidth="1"/>
    <col min="38" max="38" width="22" customWidth="1"/>
    <col min="39" max="40" width="21.7109375" customWidth="1"/>
    <col min="42" max="42" width="11.42578125" style="35"/>
    <col min="44" max="44" width="32.42578125" customWidth="1"/>
    <col min="45" max="45" width="14.7109375" customWidth="1"/>
    <col min="46" max="46" width="17" customWidth="1"/>
    <col min="47" max="49" width="12.140625" style="37" customWidth="1"/>
    <col min="51" max="51" width="30.5703125" customWidth="1"/>
    <col min="52" max="52" width="16.42578125" customWidth="1"/>
    <col min="53" max="53" width="20.28515625" customWidth="1"/>
    <col min="54" max="55" width="14.85546875" customWidth="1"/>
    <col min="57" max="57" width="29.5703125" customWidth="1"/>
    <col min="58" max="58" width="18.42578125" customWidth="1"/>
  </cols>
  <sheetData>
    <row r="1" spans="1:61" x14ac:dyDescent="0.25">
      <c r="A1" s="33" t="s">
        <v>308</v>
      </c>
    </row>
    <row r="8" spans="1:61" x14ac:dyDescent="0.25">
      <c r="A8" s="1" t="s">
        <v>61</v>
      </c>
      <c r="B8" s="1" t="s">
        <v>68</v>
      </c>
      <c r="C8" s="1"/>
      <c r="D8" s="1"/>
      <c r="F8" s="1"/>
      <c r="G8" s="1" t="s">
        <v>61</v>
      </c>
      <c r="H8" s="1" t="s">
        <v>71</v>
      </c>
      <c r="I8" s="1"/>
      <c r="J8" s="1"/>
      <c r="K8" s="1"/>
      <c r="L8" s="1" t="s">
        <v>61</v>
      </c>
      <c r="M8" s="1" t="s">
        <v>96</v>
      </c>
      <c r="N8" s="1"/>
      <c r="O8" s="1"/>
      <c r="R8" s="1" t="s">
        <v>61</v>
      </c>
      <c r="S8" s="1" t="s">
        <v>79</v>
      </c>
      <c r="T8" s="1"/>
      <c r="V8" s="1" t="s">
        <v>61</v>
      </c>
      <c r="W8" s="1" t="s">
        <v>114</v>
      </c>
      <c r="X8" s="1"/>
      <c r="Z8" s="1" t="s">
        <v>61</v>
      </c>
      <c r="AA8" s="1" t="s">
        <v>142</v>
      </c>
      <c r="AB8" s="1"/>
      <c r="AD8" s="1" t="s">
        <v>61</v>
      </c>
      <c r="AE8" s="1" t="s">
        <v>171</v>
      </c>
      <c r="AF8" s="1"/>
      <c r="AH8" s="1" t="s">
        <v>61</v>
      </c>
      <c r="AI8" s="1" t="s">
        <v>211</v>
      </c>
      <c r="AJ8" s="1"/>
      <c r="AL8" s="1" t="s">
        <v>61</v>
      </c>
      <c r="AM8" s="1"/>
      <c r="AN8" s="1"/>
      <c r="AR8" s="1" t="s">
        <v>61</v>
      </c>
      <c r="AS8" s="1"/>
      <c r="AT8" s="1" t="s">
        <v>334</v>
      </c>
      <c r="AY8" s="1" t="s">
        <v>61</v>
      </c>
      <c r="AZ8" s="1"/>
      <c r="BA8" s="1" t="s">
        <v>337</v>
      </c>
      <c r="BB8" s="37"/>
      <c r="BC8" s="37"/>
      <c r="BE8" s="1" t="s">
        <v>61</v>
      </c>
      <c r="BF8" s="1"/>
      <c r="BG8" s="1" t="s">
        <v>386</v>
      </c>
      <c r="BH8" s="37"/>
      <c r="BI8" s="37"/>
    </row>
    <row r="9" spans="1:61" x14ac:dyDescent="0.25">
      <c r="A9" s="1" t="s">
        <v>62</v>
      </c>
      <c r="B9" s="1" t="str">
        <f>VLOOKUP(B8,LISTPROD[],2,FALSE)</f>
        <v>7 TOROS</v>
      </c>
      <c r="C9" s="1"/>
      <c r="D9" s="1"/>
      <c r="F9" s="1"/>
      <c r="G9" s="1" t="s">
        <v>62</v>
      </c>
      <c r="H9" s="1" t="str">
        <f>VLOOKUP(H8,LISTPROD[],2,FALSE)</f>
        <v>ALICITRIM LT</v>
      </c>
      <c r="I9" s="1"/>
      <c r="J9" s="1"/>
      <c r="K9" s="1"/>
      <c r="L9" s="1" t="s">
        <v>62</v>
      </c>
      <c r="M9" s="1" t="str">
        <f>VLOOKUP(M8,LISTPROD[],2,FALSE)</f>
        <v>CATUAMA (Capsulas)</v>
      </c>
      <c r="N9" s="1"/>
      <c r="O9" s="1"/>
      <c r="R9" s="1" t="s">
        <v>62</v>
      </c>
      <c r="S9" s="1" t="str">
        <f>VLOOKUP(S8,LISTPROD[],2,FALSE)</f>
        <v>ARTERIO VENOSO</v>
      </c>
      <c r="T9" s="1"/>
      <c r="V9" s="1" t="s">
        <v>62</v>
      </c>
      <c r="W9" s="1" t="str">
        <f>VLOOKUP(W8,LISTPROD[],2,FALSE)</f>
        <v>DIABETIZAN</v>
      </c>
      <c r="X9" s="1"/>
      <c r="Z9" s="1" t="s">
        <v>62</v>
      </c>
      <c r="AA9" s="1" t="str">
        <f>VLOOKUP(AA8,LISTPROD[],2,FALSE)</f>
        <v>GREEN MARVIN (Ungüento)</v>
      </c>
      <c r="AB9" s="1"/>
      <c r="AD9" s="1" t="s">
        <v>62</v>
      </c>
      <c r="AE9" s="1" t="str">
        <f>VLOOKUP(AE8,LISTPROD[],2,FALSE)</f>
        <v>PAPA SILVESTRE POLVO (500 gr)</v>
      </c>
      <c r="AF9" s="1"/>
      <c r="AH9" s="1" t="s">
        <v>62</v>
      </c>
      <c r="AI9" s="1" t="str">
        <f>VLOOKUP(AI8,LISTPROD[],2,FALSE)</f>
        <v>VINO CEREBRAL</v>
      </c>
      <c r="AJ9" s="1"/>
      <c r="AL9" s="1" t="s">
        <v>62</v>
      </c>
      <c r="AM9" s="1" t="e">
        <f>VLOOKUP(AM8,LISTPROD[],2,FALSE)</f>
        <v>#N/A</v>
      </c>
      <c r="AN9" s="1"/>
      <c r="AR9" s="1" t="s">
        <v>62</v>
      </c>
      <c r="AS9" s="1"/>
      <c r="AT9" s="1" t="str">
        <f>VLOOKUP(AT8,LISTPROD[],2,FALSE)</f>
        <v>RESCATE (Gotas)</v>
      </c>
      <c r="AY9" s="1" t="s">
        <v>62</v>
      </c>
      <c r="AZ9" s="1"/>
      <c r="BA9" s="1" t="str">
        <f>VLOOKUP(BA8,LISTPROD[],2,FALSE)</f>
        <v>STRESS (Gotas)</v>
      </c>
      <c r="BB9" s="37"/>
      <c r="BC9" s="37"/>
      <c r="BE9" s="1" t="s">
        <v>62</v>
      </c>
      <c r="BF9" s="1"/>
      <c r="BG9" s="1" t="str">
        <f>VLOOKUP(BG8,LISTPROD[],2,FALSE)</f>
        <v>CALENDULA (Capsulas)</v>
      </c>
      <c r="BH9" s="37"/>
      <c r="BI9" s="37"/>
    </row>
    <row r="10" spans="1:61" x14ac:dyDescent="0.25">
      <c r="A10" s="1" t="s">
        <v>234</v>
      </c>
      <c r="B10" s="1" t="str">
        <f>VLOOKUP(B8,LISTPROD[],3,FALSE)</f>
        <v>7TRS</v>
      </c>
      <c r="C10" s="1"/>
      <c r="D10" s="1"/>
      <c r="F10" s="1"/>
      <c r="G10" s="1" t="s">
        <v>234</v>
      </c>
      <c r="H10" s="1" t="str">
        <f>VLOOKUP(H8,LISTPROD[],3,FALSE)</f>
        <v>ALICITRIN CIRCULATORIO</v>
      </c>
      <c r="I10" s="1"/>
      <c r="J10" s="1"/>
      <c r="K10" s="1"/>
      <c r="L10" s="1" t="s">
        <v>234</v>
      </c>
      <c r="M10" s="1" t="str">
        <f>VLOOKUP(M8,LISTPROD[],3,FALSE)</f>
        <v>CATUAMA</v>
      </c>
      <c r="N10" s="1"/>
      <c r="O10" s="1"/>
      <c r="R10" s="1" t="s">
        <v>234</v>
      </c>
      <c r="S10" s="1" t="str">
        <f>VLOOKUP(S8,LISTPROD[],3,FALSE)</f>
        <v>ARTERIO VENOSO</v>
      </c>
      <c r="T10" s="1"/>
      <c r="V10" s="1" t="s">
        <v>234</v>
      </c>
      <c r="W10" s="1" t="str">
        <f>VLOOKUP(W8,LISTPROD[],3,FALSE)</f>
        <v>DIABETIZAN</v>
      </c>
      <c r="X10" s="1"/>
      <c r="Z10" s="1" t="s">
        <v>234</v>
      </c>
      <c r="AA10" s="1" t="str">
        <f>VLOOKUP(AA8,LISTPROD[],3,FALSE)</f>
        <v>GREEN MARVIN (Ungüento)</v>
      </c>
      <c r="AB10" s="1"/>
      <c r="AD10" s="1" t="s">
        <v>234</v>
      </c>
      <c r="AE10" s="1" t="str">
        <f>VLOOKUP(AE8,LISTPROD[],3,FALSE)</f>
        <v>PAPA SILVESTRE POLVO (500 gr)</v>
      </c>
      <c r="AF10" s="1"/>
      <c r="AH10" s="1" t="s">
        <v>234</v>
      </c>
      <c r="AI10" s="1" t="str">
        <f>VLOOKUP(AI8,LISTPROD[],3,FALSE)</f>
        <v>VINO CEREBRAL</v>
      </c>
      <c r="AJ10" s="1"/>
      <c r="AL10" s="1" t="s">
        <v>234</v>
      </c>
      <c r="AM10" s="1" t="e">
        <f>VLOOKUP(AM8,LISTPROD[],3,FALSE)</f>
        <v>#N/A</v>
      </c>
      <c r="AN10" s="1"/>
      <c r="AR10" s="1" t="s">
        <v>234</v>
      </c>
      <c r="AS10" s="1"/>
      <c r="AT10" s="1" t="str">
        <f>VLOOKUP(AT8,LISTPROD[],3,FALSE)</f>
        <v>RESCATE Gotas Orales</v>
      </c>
      <c r="AY10" s="1" t="s">
        <v>234</v>
      </c>
      <c r="AZ10" s="1"/>
      <c r="BA10" s="1" t="str">
        <f>VLOOKUP(BA8,LISTPROD[],3,FALSE)</f>
        <v>STRESS Gotas Orales</v>
      </c>
      <c r="BB10" s="37"/>
      <c r="BC10" s="37"/>
      <c r="BE10" s="1" t="s">
        <v>234</v>
      </c>
      <c r="BF10" s="1"/>
      <c r="BG10" s="1" t="str">
        <f>VLOOKUP(BG8,LISTPROD[],3,FALSE)</f>
        <v>CALENDULA</v>
      </c>
      <c r="BH10" s="37"/>
      <c r="BI10" s="37"/>
    </row>
    <row r="11" spans="1:61" x14ac:dyDescent="0.25">
      <c r="A11" s="1" t="s">
        <v>239</v>
      </c>
      <c r="B11" s="21">
        <v>390</v>
      </c>
      <c r="C11" s="21"/>
      <c r="D11" s="1"/>
      <c r="G11" s="1" t="s">
        <v>239</v>
      </c>
      <c r="H11" s="21"/>
      <c r="I11" s="1"/>
      <c r="J11" s="1"/>
      <c r="K11" s="1"/>
      <c r="L11" s="1" t="s">
        <v>239</v>
      </c>
      <c r="M11" s="21"/>
      <c r="N11" s="21"/>
      <c r="O11" s="1"/>
      <c r="R11" s="1" t="s">
        <v>239</v>
      </c>
      <c r="S11" s="21"/>
      <c r="T11" s="21"/>
      <c r="V11" s="1" t="s">
        <v>239</v>
      </c>
      <c r="W11" s="21"/>
      <c r="X11" s="21"/>
      <c r="Z11" s="1" t="s">
        <v>239</v>
      </c>
      <c r="AA11" s="21"/>
      <c r="AB11" s="21"/>
      <c r="AD11" s="1" t="s">
        <v>239</v>
      </c>
      <c r="AE11" s="21"/>
      <c r="AF11" s="21"/>
      <c r="AH11" s="1" t="s">
        <v>239</v>
      </c>
      <c r="AI11" s="21"/>
      <c r="AJ11" s="21"/>
      <c r="AL11" s="1" t="s">
        <v>239</v>
      </c>
      <c r="AM11" s="21"/>
      <c r="AN11" s="21"/>
      <c r="AR11" s="1" t="s">
        <v>239</v>
      </c>
      <c r="AS11" s="1"/>
      <c r="AT11" s="21">
        <v>158</v>
      </c>
      <c r="AY11" s="1" t="s">
        <v>239</v>
      </c>
      <c r="AZ11" s="1"/>
      <c r="BA11" s="21"/>
      <c r="BB11" s="37"/>
      <c r="BC11" s="37"/>
      <c r="BE11" s="1" t="s">
        <v>239</v>
      </c>
      <c r="BF11" s="1"/>
      <c r="BG11" s="21">
        <v>140</v>
      </c>
      <c r="BH11" s="37"/>
      <c r="BI11" s="37"/>
    </row>
    <row r="12" spans="1:61" x14ac:dyDescent="0.25">
      <c r="A12" s="1" t="s">
        <v>240</v>
      </c>
      <c r="B12" s="21"/>
      <c r="C12" s="21"/>
      <c r="D12" s="1"/>
      <c r="G12" s="1" t="s">
        <v>240</v>
      </c>
      <c r="H12" s="21"/>
      <c r="I12" s="1"/>
      <c r="J12" s="1"/>
      <c r="K12" s="1"/>
      <c r="L12" s="1" t="s">
        <v>240</v>
      </c>
      <c r="M12" s="21"/>
      <c r="N12" s="21"/>
      <c r="O12" s="1"/>
      <c r="R12" s="1" t="s">
        <v>240</v>
      </c>
      <c r="S12" s="21"/>
      <c r="T12" s="21"/>
      <c r="V12" s="1" t="s">
        <v>240</v>
      </c>
      <c r="W12" s="21"/>
      <c r="X12" s="21"/>
      <c r="Z12" s="1" t="s">
        <v>240</v>
      </c>
      <c r="AA12" s="21"/>
      <c r="AB12" s="21"/>
      <c r="AD12" s="1" t="s">
        <v>240</v>
      </c>
      <c r="AE12" s="21"/>
      <c r="AF12" s="21"/>
      <c r="AH12" s="1" t="s">
        <v>240</v>
      </c>
      <c r="AI12" s="21"/>
      <c r="AJ12" s="21"/>
      <c r="AL12" s="1" t="s">
        <v>240</v>
      </c>
      <c r="AM12" s="21"/>
      <c r="AN12" s="21"/>
      <c r="AR12" s="1" t="s">
        <v>240</v>
      </c>
      <c r="AS12" s="1"/>
      <c r="AT12" s="21"/>
      <c r="AY12" s="1" t="s">
        <v>240</v>
      </c>
      <c r="AZ12" s="1"/>
      <c r="BA12" s="21"/>
      <c r="BB12" s="37"/>
      <c r="BC12" s="37"/>
      <c r="BE12" s="1" t="s">
        <v>240</v>
      </c>
      <c r="BF12" s="1"/>
      <c r="BG12" s="21"/>
      <c r="BH12" s="37"/>
      <c r="BI12" s="37"/>
    </row>
    <row r="13" spans="1:61" x14ac:dyDescent="0.25">
      <c r="A13" s="1" t="s">
        <v>238</v>
      </c>
      <c r="B13" s="31" t="s">
        <v>306</v>
      </c>
      <c r="C13" s="31"/>
      <c r="D13" s="1"/>
      <c r="G13" s="1" t="s">
        <v>238</v>
      </c>
      <c r="H13" s="21"/>
      <c r="I13" s="1"/>
      <c r="J13" s="1"/>
      <c r="K13" s="1"/>
      <c r="L13" s="1" t="s">
        <v>238</v>
      </c>
      <c r="M13" s="21"/>
      <c r="N13" s="21"/>
      <c r="O13" s="1"/>
      <c r="R13" s="1" t="s">
        <v>238</v>
      </c>
      <c r="S13" s="21"/>
      <c r="T13" s="21"/>
      <c r="V13" s="1" t="s">
        <v>238</v>
      </c>
      <c r="W13" s="21"/>
      <c r="X13" s="21"/>
      <c r="Z13" s="1" t="s">
        <v>238</v>
      </c>
      <c r="AA13" s="21"/>
      <c r="AB13" s="21"/>
      <c r="AD13" s="1" t="s">
        <v>238</v>
      </c>
      <c r="AE13" s="21"/>
      <c r="AF13" s="21"/>
      <c r="AH13" s="1" t="s">
        <v>238</v>
      </c>
      <c r="AI13" s="21"/>
      <c r="AJ13" s="21"/>
      <c r="AL13" s="1" t="s">
        <v>238</v>
      </c>
      <c r="AM13" s="21"/>
      <c r="AN13" s="21"/>
      <c r="AR13" s="1" t="s">
        <v>238</v>
      </c>
      <c r="AS13" s="1"/>
      <c r="AT13" s="21"/>
      <c r="AY13" s="1" t="s">
        <v>238</v>
      </c>
      <c r="AZ13" s="1"/>
      <c r="BA13" s="21"/>
      <c r="BB13" s="37"/>
      <c r="BC13" s="37"/>
      <c r="BE13" s="1" t="s">
        <v>238</v>
      </c>
      <c r="BF13" s="1"/>
      <c r="BG13" s="21"/>
      <c r="BH13" s="37"/>
      <c r="BI13" s="37"/>
    </row>
    <row r="14" spans="1:61" x14ac:dyDescent="0.25">
      <c r="A14" s="25" t="s">
        <v>1</v>
      </c>
      <c r="B14" s="23" t="s">
        <v>322</v>
      </c>
      <c r="C14" s="38" t="s">
        <v>2</v>
      </c>
      <c r="D14" s="2"/>
      <c r="G14" s="25" t="s">
        <v>1</v>
      </c>
      <c r="H14" s="23" t="s">
        <v>322</v>
      </c>
      <c r="I14" s="38" t="s">
        <v>2</v>
      </c>
      <c r="J14" s="2"/>
      <c r="K14" s="2"/>
      <c r="L14" s="25" t="s">
        <v>1</v>
      </c>
      <c r="M14" s="23" t="s">
        <v>322</v>
      </c>
      <c r="N14" s="38" t="s">
        <v>2</v>
      </c>
      <c r="O14" s="2"/>
      <c r="R14" s="23" t="s">
        <v>1</v>
      </c>
      <c r="S14" s="23" t="s">
        <v>322</v>
      </c>
      <c r="T14" s="38" t="s">
        <v>2</v>
      </c>
      <c r="V14" s="23" t="s">
        <v>1</v>
      </c>
      <c r="W14" s="23" t="s">
        <v>322</v>
      </c>
      <c r="X14" s="38" t="s">
        <v>2</v>
      </c>
      <c r="Z14" s="23" t="s">
        <v>1</v>
      </c>
      <c r="AA14" s="23" t="s">
        <v>322</v>
      </c>
      <c r="AB14" s="38" t="s">
        <v>2</v>
      </c>
      <c r="AD14" s="23" t="s">
        <v>1</v>
      </c>
      <c r="AE14" s="23" t="s">
        <v>322</v>
      </c>
      <c r="AF14" s="38" t="s">
        <v>2</v>
      </c>
      <c r="AH14" s="23" t="s">
        <v>1</v>
      </c>
      <c r="AI14" s="23" t="s">
        <v>322</v>
      </c>
      <c r="AJ14" s="38" t="s">
        <v>2</v>
      </c>
      <c r="AL14" s="23" t="s">
        <v>1</v>
      </c>
      <c r="AM14" s="23" t="s">
        <v>322</v>
      </c>
      <c r="AN14" s="38" t="s">
        <v>2</v>
      </c>
      <c r="AR14" s="23" t="s">
        <v>1</v>
      </c>
      <c r="AS14" s="23" t="s">
        <v>391</v>
      </c>
      <c r="AT14" s="23" t="s">
        <v>322</v>
      </c>
      <c r="AU14" s="73" t="s">
        <v>2</v>
      </c>
      <c r="AV14" s="98" t="s">
        <v>394</v>
      </c>
      <c r="AW14" s="95"/>
      <c r="AY14" s="23" t="s">
        <v>1</v>
      </c>
      <c r="AZ14" s="23" t="s">
        <v>391</v>
      </c>
      <c r="BA14" s="23" t="s">
        <v>322</v>
      </c>
      <c r="BB14" s="38" t="s">
        <v>2</v>
      </c>
      <c r="BC14" s="95"/>
      <c r="BE14" s="23" t="s">
        <v>1</v>
      </c>
      <c r="BF14" s="23" t="s">
        <v>391</v>
      </c>
      <c r="BG14" s="23" t="s">
        <v>322</v>
      </c>
      <c r="BH14" s="38" t="s">
        <v>2</v>
      </c>
      <c r="BI14" s="98" t="s">
        <v>394</v>
      </c>
    </row>
    <row r="15" spans="1:61" x14ac:dyDescent="0.25">
      <c r="A15" s="24" t="s">
        <v>268</v>
      </c>
      <c r="B15" s="24">
        <v>1000</v>
      </c>
      <c r="C15" s="41" t="s">
        <v>54</v>
      </c>
      <c r="G15" s="24" t="s">
        <v>252</v>
      </c>
      <c r="H15" s="24">
        <v>600</v>
      </c>
      <c r="I15" s="41" t="s">
        <v>54</v>
      </c>
      <c r="L15" s="24"/>
      <c r="M15" s="24"/>
      <c r="N15" s="41"/>
      <c r="R15" s="24" t="s">
        <v>252</v>
      </c>
      <c r="S15" s="24">
        <v>600</v>
      </c>
      <c r="V15" s="24" t="s">
        <v>252</v>
      </c>
      <c r="W15" s="24">
        <v>600</v>
      </c>
      <c r="Z15" s="24" t="s">
        <v>285</v>
      </c>
      <c r="AA15" s="24">
        <v>5000</v>
      </c>
      <c r="AD15" s="24"/>
      <c r="AE15" s="24"/>
      <c r="AH15" s="24" t="s">
        <v>252</v>
      </c>
      <c r="AI15" s="24">
        <v>600</v>
      </c>
      <c r="AL15" s="24"/>
      <c r="AM15" s="24"/>
      <c r="AR15" s="24" t="s">
        <v>319</v>
      </c>
      <c r="AS15" s="36" t="s">
        <v>392</v>
      </c>
      <c r="AT15" s="24" t="s">
        <v>56</v>
      </c>
      <c r="AU15" s="74">
        <v>1.5</v>
      </c>
      <c r="AV15" s="99">
        <f>AU15/$AT$11</f>
        <v>9.4936708860759497E-3</v>
      </c>
      <c r="AW15" s="96"/>
      <c r="AY15" s="36" t="s">
        <v>360</v>
      </c>
      <c r="AZ15" s="36" t="s">
        <v>392</v>
      </c>
      <c r="BA15" s="74">
        <v>1</v>
      </c>
      <c r="BB15" s="39" t="s">
        <v>56</v>
      </c>
      <c r="BC15" s="97"/>
      <c r="BE15" s="36" t="s">
        <v>395</v>
      </c>
      <c r="BF15" s="24" t="s">
        <v>368</v>
      </c>
      <c r="BG15" s="74" t="s">
        <v>393</v>
      </c>
      <c r="BH15" s="104">
        <v>140</v>
      </c>
      <c r="BI15" s="99">
        <f>BH15/$AT$192</f>
        <v>1</v>
      </c>
    </row>
    <row r="16" spans="1:61" ht="30" x14ac:dyDescent="0.25">
      <c r="A16" s="24" t="s">
        <v>252</v>
      </c>
      <c r="B16" s="24">
        <v>600</v>
      </c>
      <c r="C16" s="41" t="s">
        <v>54</v>
      </c>
      <c r="G16" s="24" t="s">
        <v>253</v>
      </c>
      <c r="H16" s="24">
        <v>500</v>
      </c>
      <c r="I16" s="41" t="s">
        <v>54</v>
      </c>
      <c r="L16" s="24"/>
      <c r="M16" s="24"/>
      <c r="N16" s="41"/>
      <c r="R16" s="24" t="s">
        <v>244</v>
      </c>
      <c r="S16" s="24">
        <v>200</v>
      </c>
      <c r="V16" s="24" t="s">
        <v>244</v>
      </c>
      <c r="W16" s="24">
        <v>200</v>
      </c>
      <c r="Z16" s="24" t="s">
        <v>291</v>
      </c>
      <c r="AA16" s="24">
        <v>200</v>
      </c>
      <c r="AD16" s="24"/>
      <c r="AE16" s="24"/>
      <c r="AH16" s="24" t="s">
        <v>244</v>
      </c>
      <c r="AI16" s="24">
        <v>200</v>
      </c>
      <c r="AL16" s="24"/>
      <c r="AM16" s="24"/>
      <c r="AR16" s="24" t="s">
        <v>361</v>
      </c>
      <c r="AS16" s="36" t="s">
        <v>392</v>
      </c>
      <c r="AT16" s="24" t="s">
        <v>56</v>
      </c>
      <c r="AU16" s="74">
        <v>1.5</v>
      </c>
      <c r="AV16" s="99">
        <f t="shared" ref="AV16:AV21" si="0">AU16/$AT$11</f>
        <v>9.4936708860759497E-3</v>
      </c>
      <c r="AW16" s="96"/>
      <c r="AY16" s="36" t="s">
        <v>361</v>
      </c>
      <c r="AZ16" s="36" t="s">
        <v>392</v>
      </c>
      <c r="BA16" s="74">
        <v>1</v>
      </c>
      <c r="BB16" s="39" t="s">
        <v>56</v>
      </c>
      <c r="BC16" s="97"/>
      <c r="BE16" s="36" t="s">
        <v>397</v>
      </c>
      <c r="BF16" s="24" t="s">
        <v>392</v>
      </c>
      <c r="BG16" s="74" t="s">
        <v>54</v>
      </c>
      <c r="BH16" s="104">
        <v>4200</v>
      </c>
      <c r="BI16" s="99">
        <f t="shared" ref="BI16:BI21" si="1">BH16/$AT$192</f>
        <v>30</v>
      </c>
    </row>
    <row r="17" spans="1:61" x14ac:dyDescent="0.25">
      <c r="A17" s="24" t="s">
        <v>243</v>
      </c>
      <c r="B17" s="24">
        <v>300</v>
      </c>
      <c r="C17" s="41" t="s">
        <v>54</v>
      </c>
      <c r="G17" s="24" t="s">
        <v>261</v>
      </c>
      <c r="H17" s="24">
        <v>200</v>
      </c>
      <c r="I17" s="41" t="s">
        <v>54</v>
      </c>
      <c r="L17" s="24"/>
      <c r="M17" s="24"/>
      <c r="N17" s="41"/>
      <c r="R17" s="24" t="s">
        <v>243</v>
      </c>
      <c r="S17" s="24">
        <v>1000</v>
      </c>
      <c r="V17" s="24" t="s">
        <v>253</v>
      </c>
      <c r="W17" s="24">
        <v>1000</v>
      </c>
      <c r="Z17" s="27" t="s">
        <v>286</v>
      </c>
      <c r="AA17" s="24">
        <v>3000</v>
      </c>
      <c r="AD17" s="24"/>
      <c r="AE17" s="24"/>
      <c r="AH17" s="24" t="s">
        <v>262</v>
      </c>
      <c r="AI17" s="24">
        <v>100</v>
      </c>
      <c r="AL17" s="24"/>
      <c r="AM17" s="24"/>
      <c r="AR17" s="24" t="s">
        <v>366</v>
      </c>
      <c r="AS17" s="36" t="s">
        <v>392</v>
      </c>
      <c r="AT17" s="24" t="s">
        <v>56</v>
      </c>
      <c r="AU17" s="74">
        <v>1.5</v>
      </c>
      <c r="AV17" s="99">
        <f t="shared" si="0"/>
        <v>9.4936708860759497E-3</v>
      </c>
      <c r="AW17" s="96"/>
      <c r="AY17" s="36" t="s">
        <v>318</v>
      </c>
      <c r="AZ17" s="36" t="s">
        <v>392</v>
      </c>
      <c r="BA17" s="74">
        <v>1</v>
      </c>
      <c r="BB17" s="39" t="s">
        <v>56</v>
      </c>
      <c r="BC17" s="97"/>
      <c r="BE17" s="36" t="s">
        <v>396</v>
      </c>
      <c r="BF17" s="24" t="s">
        <v>392</v>
      </c>
      <c r="BG17" s="74" t="s">
        <v>393</v>
      </c>
      <c r="BH17" s="104">
        <v>8400</v>
      </c>
      <c r="BI17" s="99">
        <f t="shared" si="1"/>
        <v>60</v>
      </c>
    </row>
    <row r="18" spans="1:61" ht="30" x14ac:dyDescent="0.25">
      <c r="A18" s="27" t="s">
        <v>274</v>
      </c>
      <c r="B18" s="24">
        <v>150</v>
      </c>
      <c r="C18" s="41" t="s">
        <v>54</v>
      </c>
      <c r="G18" s="24" t="s">
        <v>248</v>
      </c>
      <c r="H18" s="24">
        <v>900</v>
      </c>
      <c r="I18" s="41" t="s">
        <v>54</v>
      </c>
      <c r="L18" s="24"/>
      <c r="M18" s="24"/>
      <c r="N18" s="24"/>
      <c r="R18" s="24" t="s">
        <v>248</v>
      </c>
      <c r="S18" s="24">
        <v>800</v>
      </c>
      <c r="V18" s="24" t="s">
        <v>251</v>
      </c>
      <c r="W18" s="24">
        <v>100</v>
      </c>
      <c r="Z18" s="24" t="s">
        <v>292</v>
      </c>
      <c r="AA18" s="24">
        <v>300</v>
      </c>
      <c r="AD18" s="24"/>
      <c r="AE18" s="24"/>
      <c r="AH18" s="24" t="s">
        <v>268</v>
      </c>
      <c r="AI18" s="24">
        <v>1000</v>
      </c>
      <c r="AL18" s="24"/>
      <c r="AM18" s="24"/>
      <c r="AR18" s="24" t="s">
        <v>364</v>
      </c>
      <c r="AS18" s="36" t="s">
        <v>392</v>
      </c>
      <c r="AT18" s="24" t="s">
        <v>56</v>
      </c>
      <c r="AU18" s="74">
        <v>1.5</v>
      </c>
      <c r="AV18" s="99">
        <f t="shared" si="0"/>
        <v>9.4936708860759497E-3</v>
      </c>
      <c r="AW18" s="96"/>
      <c r="AY18" s="36" t="s">
        <v>362</v>
      </c>
      <c r="AZ18" s="36" t="s">
        <v>392</v>
      </c>
      <c r="BA18" s="74">
        <v>1</v>
      </c>
      <c r="BB18" s="39" t="s">
        <v>56</v>
      </c>
      <c r="BC18" s="97"/>
      <c r="BE18" s="36" t="s">
        <v>371</v>
      </c>
      <c r="BF18" s="24" t="s">
        <v>368</v>
      </c>
      <c r="BG18" s="74" t="s">
        <v>393</v>
      </c>
      <c r="BH18" s="104">
        <v>140</v>
      </c>
      <c r="BI18" s="99">
        <f t="shared" si="1"/>
        <v>1</v>
      </c>
    </row>
    <row r="19" spans="1:61" x14ac:dyDescent="0.25">
      <c r="A19" s="27" t="s">
        <v>248</v>
      </c>
      <c r="B19" s="24">
        <v>700</v>
      </c>
      <c r="C19" s="41" t="s">
        <v>54</v>
      </c>
      <c r="G19" s="24" t="s">
        <v>262</v>
      </c>
      <c r="H19" s="24">
        <v>100</v>
      </c>
      <c r="I19" s="41" t="s">
        <v>54</v>
      </c>
      <c r="L19" s="24"/>
      <c r="M19" s="24"/>
      <c r="N19" s="24"/>
      <c r="R19" s="24" t="s">
        <v>262</v>
      </c>
      <c r="S19" s="24">
        <v>100</v>
      </c>
      <c r="V19" s="24" t="s">
        <v>246</v>
      </c>
      <c r="W19" s="24">
        <v>22</v>
      </c>
      <c r="Z19" s="24" t="s">
        <v>293</v>
      </c>
      <c r="AA19" s="24">
        <v>1</v>
      </c>
      <c r="AD19" s="24"/>
      <c r="AE19" s="24"/>
      <c r="AH19" s="24" t="s">
        <v>248</v>
      </c>
      <c r="AI19" s="24">
        <v>800</v>
      </c>
      <c r="AL19" s="24"/>
      <c r="AM19" s="24"/>
      <c r="AR19" s="24" t="s">
        <v>365</v>
      </c>
      <c r="AS19" s="36" t="s">
        <v>392</v>
      </c>
      <c r="AT19" s="24" t="s">
        <v>56</v>
      </c>
      <c r="AU19" s="74">
        <v>1.5</v>
      </c>
      <c r="AV19" s="99">
        <f t="shared" si="0"/>
        <v>9.4936708860759497E-3</v>
      </c>
      <c r="AW19" s="96"/>
      <c r="AY19" s="36" t="s">
        <v>363</v>
      </c>
      <c r="AZ19" s="36" t="s">
        <v>392</v>
      </c>
      <c r="BA19" s="74">
        <v>1</v>
      </c>
      <c r="BB19" s="39" t="s">
        <v>56</v>
      </c>
      <c r="BC19" s="97"/>
      <c r="BE19" s="36" t="s">
        <v>372</v>
      </c>
      <c r="BF19" s="24" t="s">
        <v>368</v>
      </c>
      <c r="BG19" s="74" t="s">
        <v>393</v>
      </c>
      <c r="BH19" s="104">
        <v>140</v>
      </c>
      <c r="BI19" s="99">
        <f t="shared" si="1"/>
        <v>1</v>
      </c>
    </row>
    <row r="20" spans="1:61" x14ac:dyDescent="0.25">
      <c r="A20" s="24" t="s">
        <v>281</v>
      </c>
      <c r="B20" s="24">
        <v>100</v>
      </c>
      <c r="C20" s="41" t="s">
        <v>54</v>
      </c>
      <c r="G20" s="24" t="s">
        <v>246</v>
      </c>
      <c r="H20" s="24">
        <v>20</v>
      </c>
      <c r="I20" s="41" t="s">
        <v>54</v>
      </c>
      <c r="L20" s="24"/>
      <c r="M20" s="24"/>
      <c r="N20" s="24"/>
      <c r="R20" s="24" t="s">
        <v>268</v>
      </c>
      <c r="S20" s="24">
        <v>300</v>
      </c>
      <c r="V20" s="24" t="s">
        <v>257</v>
      </c>
      <c r="W20" s="24">
        <v>100</v>
      </c>
      <c r="Z20" s="24"/>
      <c r="AA20" s="24"/>
      <c r="AD20" s="24"/>
      <c r="AE20" s="24"/>
      <c r="AH20" s="24" t="s">
        <v>243</v>
      </c>
      <c r="AI20" s="24">
        <v>300</v>
      </c>
      <c r="AL20" s="24"/>
      <c r="AM20" s="24"/>
      <c r="AR20" s="24" t="s">
        <v>320</v>
      </c>
      <c r="AS20" s="36" t="s">
        <v>392</v>
      </c>
      <c r="AT20" s="24" t="s">
        <v>56</v>
      </c>
      <c r="AU20" s="74">
        <v>600</v>
      </c>
      <c r="AV20" s="99">
        <f t="shared" si="0"/>
        <v>3.7974683544303796</v>
      </c>
      <c r="AW20" s="96"/>
      <c r="AY20" s="36" t="s">
        <v>320</v>
      </c>
      <c r="AZ20" s="36" t="s">
        <v>392</v>
      </c>
      <c r="BA20" s="74">
        <v>450</v>
      </c>
      <c r="BB20" s="39" t="s">
        <v>56</v>
      </c>
      <c r="BC20" s="97"/>
      <c r="BE20" s="36" t="s">
        <v>373</v>
      </c>
      <c r="BF20" s="24" t="s">
        <v>368</v>
      </c>
      <c r="BG20" s="74" t="s">
        <v>393</v>
      </c>
      <c r="BH20" s="104">
        <v>140</v>
      </c>
      <c r="BI20" s="99">
        <f t="shared" si="1"/>
        <v>1</v>
      </c>
    </row>
    <row r="21" spans="1:61" x14ac:dyDescent="0.25">
      <c r="A21" s="24" t="s">
        <v>246</v>
      </c>
      <c r="B21" s="24">
        <v>60</v>
      </c>
      <c r="C21" s="41" t="s">
        <v>54</v>
      </c>
      <c r="G21" s="24" t="s">
        <v>247</v>
      </c>
      <c r="H21" s="24"/>
      <c r="I21" s="41"/>
      <c r="L21" s="24"/>
      <c r="M21" s="24"/>
      <c r="N21" s="24"/>
      <c r="R21" s="24" t="s">
        <v>246</v>
      </c>
      <c r="S21" s="24">
        <v>60</v>
      </c>
      <c r="V21" s="24" t="s">
        <v>247</v>
      </c>
      <c r="W21" s="24"/>
      <c r="Z21" s="24"/>
      <c r="AA21" s="24"/>
      <c r="AD21" s="24"/>
      <c r="AE21" s="24"/>
      <c r="AH21" s="24" t="s">
        <v>246</v>
      </c>
      <c r="AI21" s="24">
        <v>60</v>
      </c>
      <c r="AL21" s="24"/>
      <c r="AM21" s="24"/>
      <c r="AR21" s="24" t="s">
        <v>321</v>
      </c>
      <c r="AS21" s="24" t="s">
        <v>392</v>
      </c>
      <c r="AT21" s="24" t="s">
        <v>56</v>
      </c>
      <c r="AU21" s="75">
        <v>3100</v>
      </c>
      <c r="AV21" s="99">
        <f t="shared" si="0"/>
        <v>19.620253164556964</v>
      </c>
      <c r="AW21" s="96"/>
      <c r="AY21" s="24" t="s">
        <v>321</v>
      </c>
      <c r="AZ21" s="24" t="s">
        <v>392</v>
      </c>
      <c r="BA21" s="74">
        <v>2044.9999999999998</v>
      </c>
      <c r="BB21" s="39" t="s">
        <v>56</v>
      </c>
      <c r="BC21" s="97"/>
      <c r="BE21" s="36" t="s">
        <v>374</v>
      </c>
      <c r="BF21" s="92" t="s">
        <v>368</v>
      </c>
      <c r="BG21" s="75" t="s">
        <v>393</v>
      </c>
      <c r="BH21" s="104">
        <v>140</v>
      </c>
      <c r="BI21" s="99">
        <f t="shared" si="1"/>
        <v>1</v>
      </c>
    </row>
    <row r="22" spans="1:61" x14ac:dyDescent="0.25">
      <c r="A22" s="24" t="s">
        <v>261</v>
      </c>
      <c r="B22" s="24">
        <v>200</v>
      </c>
      <c r="C22" s="41" t="s">
        <v>54</v>
      </c>
      <c r="G22" s="24"/>
      <c r="H22" s="24"/>
      <c r="I22" s="41"/>
      <c r="L22" s="24"/>
      <c r="M22" s="24"/>
      <c r="N22" s="24"/>
      <c r="R22" s="24" t="s">
        <v>247</v>
      </c>
      <c r="S22" s="24"/>
      <c r="V22" s="24"/>
      <c r="W22" s="24"/>
      <c r="Z22" s="24"/>
      <c r="AA22" s="24"/>
      <c r="AD22" s="24"/>
      <c r="AE22" s="24"/>
      <c r="AH22" s="24" t="s">
        <v>251</v>
      </c>
      <c r="AI22" s="24">
        <v>100</v>
      </c>
      <c r="AL22" s="24"/>
      <c r="AM22" s="24"/>
      <c r="AR22" s="24" t="s">
        <v>375</v>
      </c>
      <c r="AS22" s="24" t="s">
        <v>368</v>
      </c>
      <c r="AT22" s="24" t="s">
        <v>393</v>
      </c>
      <c r="AU22" s="94">
        <v>158</v>
      </c>
      <c r="AV22" s="24"/>
      <c r="AW22"/>
      <c r="AY22" s="24" t="s">
        <v>375</v>
      </c>
      <c r="AZ22" s="24" t="s">
        <v>368</v>
      </c>
      <c r="BA22" s="24"/>
      <c r="BB22" s="39" t="s">
        <v>393</v>
      </c>
      <c r="BC22" s="97"/>
      <c r="BE22" s="24"/>
      <c r="BF22" s="24"/>
      <c r="BG22" s="24"/>
      <c r="BH22" s="40"/>
      <c r="BI22" s="24"/>
    </row>
    <row r="23" spans="1:61" x14ac:dyDescent="0.25">
      <c r="A23" s="24" t="s">
        <v>251</v>
      </c>
      <c r="B23" s="24">
        <v>200</v>
      </c>
      <c r="C23" s="41" t="s">
        <v>54</v>
      </c>
      <c r="AH23" s="24" t="s">
        <v>247</v>
      </c>
      <c r="AI23" s="24"/>
      <c r="AR23" s="24" t="s">
        <v>376</v>
      </c>
      <c r="AS23" s="24" t="s">
        <v>368</v>
      </c>
      <c r="AT23" s="24" t="s">
        <v>393</v>
      </c>
      <c r="AU23" s="94">
        <v>158</v>
      </c>
      <c r="AV23" s="24"/>
      <c r="AW23"/>
      <c r="AY23" s="24" t="s">
        <v>376</v>
      </c>
      <c r="AZ23" s="24" t="s">
        <v>368</v>
      </c>
      <c r="BA23" s="24"/>
      <c r="BB23" s="93" t="s">
        <v>393</v>
      </c>
      <c r="BC23" s="3"/>
    </row>
    <row r="24" spans="1:61" x14ac:dyDescent="0.25">
      <c r="A24" s="24" t="s">
        <v>269</v>
      </c>
      <c r="B24" s="24">
        <v>100</v>
      </c>
      <c r="C24" s="41" t="s">
        <v>54</v>
      </c>
      <c r="AR24" s="24" t="s">
        <v>377</v>
      </c>
      <c r="AS24" s="24" t="s">
        <v>368</v>
      </c>
      <c r="AT24" s="24" t="s">
        <v>393</v>
      </c>
      <c r="AU24" s="94">
        <v>158</v>
      </c>
      <c r="AV24" s="24"/>
      <c r="AW24"/>
      <c r="AY24" s="24" t="s">
        <v>377</v>
      </c>
      <c r="AZ24" s="24" t="s">
        <v>368</v>
      </c>
      <c r="BA24" s="24"/>
      <c r="BB24" s="93" t="s">
        <v>393</v>
      </c>
      <c r="BC24" s="3"/>
    </row>
    <row r="25" spans="1:61" x14ac:dyDescent="0.25">
      <c r="A25" s="24" t="s">
        <v>247</v>
      </c>
      <c r="B25" s="24"/>
      <c r="C25" s="32"/>
      <c r="AR25" s="24" t="s">
        <v>378</v>
      </c>
      <c r="AS25" s="24" t="s">
        <v>368</v>
      </c>
      <c r="AT25" s="24" t="s">
        <v>393</v>
      </c>
      <c r="AU25" s="94">
        <v>158</v>
      </c>
      <c r="AV25" s="24"/>
      <c r="AW25"/>
      <c r="AY25" s="24" t="s">
        <v>378</v>
      </c>
      <c r="AZ25" s="24" t="s">
        <v>368</v>
      </c>
      <c r="BA25" s="24"/>
      <c r="BB25" s="93" t="s">
        <v>393</v>
      </c>
      <c r="BC25" s="3"/>
    </row>
    <row r="26" spans="1:61" x14ac:dyDescent="0.25">
      <c r="AR26" s="24" t="s">
        <v>379</v>
      </c>
      <c r="AS26" s="24" t="s">
        <v>368</v>
      </c>
      <c r="AT26" s="24" t="s">
        <v>393</v>
      </c>
      <c r="AU26" s="94">
        <v>158</v>
      </c>
      <c r="AV26" s="24"/>
      <c r="AW26"/>
      <c r="AY26" s="24" t="s">
        <v>379</v>
      </c>
      <c r="AZ26" s="24" t="s">
        <v>368</v>
      </c>
      <c r="BA26" s="24"/>
      <c r="BB26" s="93" t="s">
        <v>393</v>
      </c>
      <c r="BC26" s="3"/>
    </row>
    <row r="32" spans="1:61" x14ac:dyDescent="0.25">
      <c r="R32" s="1478"/>
      <c r="S32" s="1478"/>
      <c r="T32" s="34"/>
    </row>
    <row r="33" spans="1:55" x14ac:dyDescent="0.25">
      <c r="A33" s="1" t="s">
        <v>61</v>
      </c>
      <c r="B33" s="1" t="s">
        <v>76</v>
      </c>
      <c r="C33" s="1"/>
      <c r="G33" s="1" t="s">
        <v>61</v>
      </c>
      <c r="H33" s="1" t="s">
        <v>91</v>
      </c>
      <c r="L33" s="1" t="s">
        <v>61</v>
      </c>
      <c r="M33" s="1" t="s">
        <v>178</v>
      </c>
      <c r="N33" s="1"/>
      <c r="R33" s="1" t="s">
        <v>61</v>
      </c>
      <c r="S33" s="1" t="s">
        <v>82</v>
      </c>
      <c r="T33" s="1"/>
      <c r="V33" s="1" t="s">
        <v>61</v>
      </c>
      <c r="W33" s="1" t="s">
        <v>241</v>
      </c>
      <c r="X33" s="1"/>
      <c r="Z33" s="1" t="s">
        <v>61</v>
      </c>
      <c r="AA33" s="1" t="s">
        <v>145</v>
      </c>
      <c r="AB33" s="1"/>
      <c r="AD33" s="1" t="s">
        <v>61</v>
      </c>
      <c r="AE33" s="1" t="s">
        <v>172</v>
      </c>
      <c r="AF33" s="1"/>
      <c r="AH33" s="1" t="s">
        <v>61</v>
      </c>
      <c r="AI33" s="1" t="s">
        <v>213</v>
      </c>
      <c r="AJ33" s="1"/>
      <c r="AL33" s="1" t="s">
        <v>61</v>
      </c>
      <c r="AM33" s="1"/>
      <c r="AN33" s="1"/>
      <c r="AR33" s="1" t="s">
        <v>61</v>
      </c>
      <c r="AS33" s="1"/>
      <c r="AT33" s="1" t="s">
        <v>339</v>
      </c>
      <c r="AY33" s="1" t="s">
        <v>61</v>
      </c>
      <c r="AZ33" s="1"/>
      <c r="BA33" s="1" t="s">
        <v>341</v>
      </c>
      <c r="BB33" s="37"/>
      <c r="BC33" s="37"/>
    </row>
    <row r="34" spans="1:55" x14ac:dyDescent="0.25">
      <c r="A34" s="1" t="s">
        <v>62</v>
      </c>
      <c r="B34" s="1" t="str">
        <f>VLOOKUP(B33,LISTPROD[],2,FALSE)</f>
        <v>ARBRON</v>
      </c>
      <c r="C34" s="1"/>
      <c r="G34" s="1" t="s">
        <v>62</v>
      </c>
      <c r="H34" s="1" t="str">
        <f>VLOOKUP(H33,LISTPROD[],2,FALSE)</f>
        <v>CALCUBANO LT</v>
      </c>
      <c r="L34" s="1" t="s">
        <v>62</v>
      </c>
      <c r="M34" s="1" t="str">
        <f>VLOOKUP(M33,LISTPROD[],2,FALSE)</f>
        <v>PROSTABELL</v>
      </c>
      <c r="N34" s="1"/>
      <c r="R34" s="1" t="s">
        <v>62</v>
      </c>
      <c r="S34" s="1" t="str">
        <f>VLOOKUP(S33,LISTPROD[],2,FALSE)</f>
        <v>ARTRIN</v>
      </c>
      <c r="T34" s="1"/>
      <c r="V34" s="1" t="s">
        <v>62</v>
      </c>
      <c r="W34" s="1" t="str">
        <f>VLOOKUP(W33,LISTPROD[],2,FALSE)</f>
        <v>DOLORAN ULTRA (pastillas) y Spray</v>
      </c>
      <c r="X34" s="1"/>
      <c r="Z34" s="1" t="s">
        <v>62</v>
      </c>
      <c r="AA34" s="1" t="str">
        <f>VLOOKUP(AA33,LISTPROD[],2,FALSE)</f>
        <v>INFAMOL-JARABE 500 ML</v>
      </c>
      <c r="AB34" s="1"/>
      <c r="AD34" s="1" t="s">
        <v>62</v>
      </c>
      <c r="AE34" s="1" t="str">
        <f>VLOOKUP(AE33,LISTPROD[],2,FALSE)</f>
        <v>POTENFULL</v>
      </c>
      <c r="AF34" s="1"/>
      <c r="AH34" s="1" t="s">
        <v>62</v>
      </c>
      <c r="AI34" s="1" t="str">
        <f>VLOOKUP(AI33,LISTPROD[],2,FALSE)</f>
        <v>VISION PLUS (Gotas)</v>
      </c>
      <c r="AJ34" s="1"/>
      <c r="AL34" s="1" t="s">
        <v>62</v>
      </c>
      <c r="AM34" s="1" t="e">
        <f>VLOOKUP(AM33,LISTPROD[],2,FALSE)</f>
        <v>#N/A</v>
      </c>
      <c r="AN34" s="1"/>
      <c r="AR34" s="1" t="s">
        <v>62</v>
      </c>
      <c r="AS34" s="1"/>
      <c r="AT34" s="1" t="str">
        <f>VLOOKUP(AT33,LISTPROD[],2,FALSE)</f>
        <v>VICIOS (Gotas)</v>
      </c>
      <c r="AY34" s="1" t="s">
        <v>62</v>
      </c>
      <c r="AZ34" s="1"/>
      <c r="BA34" s="1" t="str">
        <f>VLOOKUP(BA33,LISTPROD[],2,FALSE)</f>
        <v>ALCACHOFA (Capsulas)</v>
      </c>
      <c r="BB34" s="37"/>
      <c r="BC34" s="37"/>
    </row>
    <row r="35" spans="1:55" x14ac:dyDescent="0.25">
      <c r="A35" s="1" t="s">
        <v>234</v>
      </c>
      <c r="B35" s="1" t="str">
        <f>VLOOKUP(B33,LISTPROD[],3,FALSE)</f>
        <v>ARBRON</v>
      </c>
      <c r="C35" s="1"/>
      <c r="G35" s="1" t="s">
        <v>234</v>
      </c>
      <c r="H35" s="1" t="str">
        <f>VLOOKUP(H33,LISTPROD[],3,FALSE)</f>
        <v>CALCUBANO</v>
      </c>
      <c r="L35" s="1" t="s">
        <v>234</v>
      </c>
      <c r="M35" s="1" t="str">
        <f>VLOOKUP(M33,LISTPROD[],3,FALSE)</f>
        <v>SAW PALMETTO-Esencia FLoral  500 ml</v>
      </c>
      <c r="N35" s="1"/>
      <c r="R35" s="1" t="s">
        <v>234</v>
      </c>
      <c r="S35" s="1" t="str">
        <f>VLOOKUP(S33,LISTPROD[],3,FALSE)</f>
        <v>ARTRIN</v>
      </c>
      <c r="T35" s="1"/>
      <c r="V35" s="1" t="s">
        <v>234</v>
      </c>
      <c r="W35" s="1" t="str">
        <f>VLOOKUP(W33,LISTPROD[],3,FALSE)</f>
        <v>DOLORAN ULTRA (pastillas) y Spray</v>
      </c>
      <c r="X35" s="1"/>
      <c r="Z35" s="1" t="s">
        <v>234</v>
      </c>
      <c r="AA35" s="1" t="str">
        <f>VLOOKUP(AA33,LISTPROD[],3,FALSE)</f>
        <v>INFAMOL-JARABE 500 ML</v>
      </c>
      <c r="AB35" s="1"/>
      <c r="AD35" s="1" t="s">
        <v>234</v>
      </c>
      <c r="AE35" s="1" t="str">
        <f>VLOOKUP(AE33,LISTPROD[],3,FALSE)</f>
        <v>POTENFULL</v>
      </c>
      <c r="AF35" s="1"/>
      <c r="AH35" s="1" t="s">
        <v>234</v>
      </c>
      <c r="AI35" s="1" t="str">
        <f>VLOOKUP(AI33,LISTPROD[],3,FALSE)</f>
        <v>VISION PLUS (Gotas)</v>
      </c>
      <c r="AJ35" s="1"/>
      <c r="AL35" s="1" t="s">
        <v>234</v>
      </c>
      <c r="AM35" s="1" t="e">
        <f>VLOOKUP(AM33,LISTPROD[],3,FALSE)</f>
        <v>#N/A</v>
      </c>
      <c r="AN35" s="1"/>
      <c r="AR35" s="1" t="s">
        <v>234</v>
      </c>
      <c r="AS35" s="1"/>
      <c r="AT35" s="1" t="str">
        <f>VLOOKUP(AT33,LISTPROD[],3,FALSE)</f>
        <v>VICIOS Gotas Orales</v>
      </c>
      <c r="AY35" s="1" t="s">
        <v>234</v>
      </c>
      <c r="AZ35" s="1"/>
      <c r="BA35" s="1" t="str">
        <f>VLOOKUP(BA33,LISTPROD[],3,FALSE)</f>
        <v>ALCACHOFA</v>
      </c>
      <c r="BB35" s="37"/>
      <c r="BC35" s="37"/>
    </row>
    <row r="36" spans="1:55" x14ac:dyDescent="0.25">
      <c r="A36" s="1" t="s">
        <v>239</v>
      </c>
      <c r="B36" s="21"/>
      <c r="C36" s="21"/>
      <c r="G36" s="1" t="s">
        <v>239</v>
      </c>
      <c r="H36" s="21"/>
      <c r="L36" s="1" t="s">
        <v>239</v>
      </c>
      <c r="M36" s="21"/>
      <c r="N36" s="21"/>
      <c r="R36" s="1" t="s">
        <v>239</v>
      </c>
      <c r="S36" s="21"/>
      <c r="T36" s="21"/>
      <c r="V36" s="1" t="s">
        <v>239</v>
      </c>
      <c r="W36" s="21"/>
      <c r="X36" s="21"/>
      <c r="Z36" s="1" t="s">
        <v>239</v>
      </c>
      <c r="AA36" s="21"/>
      <c r="AB36" s="21"/>
      <c r="AD36" s="1" t="s">
        <v>239</v>
      </c>
      <c r="AE36" s="21"/>
      <c r="AF36" s="21"/>
      <c r="AH36" s="1" t="s">
        <v>239</v>
      </c>
      <c r="AI36" s="21"/>
      <c r="AJ36" s="21"/>
      <c r="AL36" s="1" t="s">
        <v>239</v>
      </c>
      <c r="AM36" s="21"/>
      <c r="AN36" s="21"/>
      <c r="AR36" s="1" t="s">
        <v>239</v>
      </c>
      <c r="AS36" s="1"/>
      <c r="AT36" s="21"/>
      <c r="AY36" s="1" t="s">
        <v>239</v>
      </c>
      <c r="AZ36" s="1"/>
      <c r="BA36" s="21"/>
      <c r="BB36" s="37"/>
      <c r="BC36" s="37"/>
    </row>
    <row r="37" spans="1:55" x14ac:dyDescent="0.25">
      <c r="A37" s="1" t="s">
        <v>240</v>
      </c>
      <c r="B37" s="21"/>
      <c r="C37" s="21"/>
      <c r="G37" s="1" t="s">
        <v>240</v>
      </c>
      <c r="H37" s="21"/>
      <c r="L37" s="1" t="s">
        <v>240</v>
      </c>
      <c r="M37" s="21"/>
      <c r="N37" s="21"/>
      <c r="R37" s="1" t="s">
        <v>240</v>
      </c>
      <c r="S37" s="21"/>
      <c r="T37" s="21"/>
      <c r="V37" s="1" t="s">
        <v>240</v>
      </c>
      <c r="W37" s="21"/>
      <c r="X37" s="21"/>
      <c r="Z37" s="1" t="s">
        <v>240</v>
      </c>
      <c r="AA37" s="21"/>
      <c r="AB37" s="21"/>
      <c r="AD37" s="1" t="s">
        <v>240</v>
      </c>
      <c r="AE37" s="21"/>
      <c r="AF37" s="21"/>
      <c r="AH37" s="1" t="s">
        <v>240</v>
      </c>
      <c r="AI37" s="21"/>
      <c r="AJ37" s="21"/>
      <c r="AL37" s="1" t="s">
        <v>240</v>
      </c>
      <c r="AM37" s="21"/>
      <c r="AN37" s="21"/>
      <c r="AR37" s="1" t="s">
        <v>240</v>
      </c>
      <c r="AS37" s="1"/>
      <c r="AT37" s="21"/>
      <c r="AY37" s="1" t="s">
        <v>240</v>
      </c>
      <c r="AZ37" s="1"/>
      <c r="BA37" s="21"/>
      <c r="BB37" s="37"/>
      <c r="BC37" s="37"/>
    </row>
    <row r="38" spans="1:55" x14ac:dyDescent="0.25">
      <c r="A38" s="1" t="s">
        <v>238</v>
      </c>
      <c r="B38" s="21"/>
      <c r="C38" s="21"/>
      <c r="G38" s="1" t="s">
        <v>238</v>
      </c>
      <c r="H38" s="21"/>
      <c r="L38" s="1" t="s">
        <v>238</v>
      </c>
      <c r="M38" s="21"/>
      <c r="N38" s="21"/>
      <c r="R38" s="1" t="s">
        <v>238</v>
      </c>
      <c r="S38" s="21"/>
      <c r="T38" s="21"/>
      <c r="V38" s="1" t="s">
        <v>238</v>
      </c>
      <c r="W38" s="21"/>
      <c r="X38" s="21"/>
      <c r="Z38" s="1" t="s">
        <v>238</v>
      </c>
      <c r="AA38" s="21"/>
      <c r="AB38" s="21"/>
      <c r="AD38" s="1" t="s">
        <v>238</v>
      </c>
      <c r="AE38" s="21"/>
      <c r="AF38" s="21"/>
      <c r="AH38" s="1" t="s">
        <v>238</v>
      </c>
      <c r="AI38" s="21"/>
      <c r="AJ38" s="21"/>
      <c r="AL38" s="1" t="s">
        <v>238</v>
      </c>
      <c r="AM38" s="21"/>
      <c r="AN38" s="21"/>
      <c r="AR38" s="1" t="s">
        <v>238</v>
      </c>
      <c r="AS38" s="1"/>
      <c r="AT38" s="21"/>
      <c r="AY38" s="1" t="s">
        <v>238</v>
      </c>
      <c r="AZ38" s="1"/>
      <c r="BA38" s="21"/>
      <c r="BB38" s="37"/>
      <c r="BC38" s="37"/>
    </row>
    <row r="39" spans="1:55" x14ac:dyDescent="0.25">
      <c r="A39" s="25" t="s">
        <v>1</v>
      </c>
      <c r="B39" s="23" t="s">
        <v>322</v>
      </c>
      <c r="C39" s="38" t="s">
        <v>2</v>
      </c>
      <c r="G39" s="25" t="s">
        <v>1</v>
      </c>
      <c r="H39" s="23" t="s">
        <v>322</v>
      </c>
      <c r="I39" s="38" t="s">
        <v>2</v>
      </c>
      <c r="L39" s="25" t="s">
        <v>1</v>
      </c>
      <c r="M39" s="23" t="s">
        <v>322</v>
      </c>
      <c r="N39" s="38" t="s">
        <v>2</v>
      </c>
      <c r="R39" s="23" t="s">
        <v>1</v>
      </c>
      <c r="S39" s="23" t="s">
        <v>322</v>
      </c>
      <c r="T39" s="38" t="s">
        <v>2</v>
      </c>
      <c r="V39" s="23" t="s">
        <v>1</v>
      </c>
      <c r="W39" s="23" t="s">
        <v>322</v>
      </c>
      <c r="X39" s="38" t="s">
        <v>2</v>
      </c>
      <c r="Z39" s="23" t="s">
        <v>1</v>
      </c>
      <c r="AA39" s="23" t="s">
        <v>322</v>
      </c>
      <c r="AB39" s="38" t="s">
        <v>2</v>
      </c>
      <c r="AD39" s="23" t="s">
        <v>1</v>
      </c>
      <c r="AE39" s="23" t="s">
        <v>322</v>
      </c>
      <c r="AF39" s="38" t="s">
        <v>2</v>
      </c>
      <c r="AH39" s="23" t="s">
        <v>1</v>
      </c>
      <c r="AI39" s="23" t="s">
        <v>322</v>
      </c>
      <c r="AJ39" s="38" t="s">
        <v>2</v>
      </c>
      <c r="AL39" s="23" t="s">
        <v>1</v>
      </c>
      <c r="AM39" s="23" t="s">
        <v>322</v>
      </c>
      <c r="AN39" s="38" t="s">
        <v>2</v>
      </c>
      <c r="AR39" s="23" t="s">
        <v>1</v>
      </c>
      <c r="AS39" s="23"/>
      <c r="AT39" s="23" t="s">
        <v>322</v>
      </c>
      <c r="AU39" s="38" t="s">
        <v>2</v>
      </c>
      <c r="AV39" s="95"/>
      <c r="AW39" s="95"/>
      <c r="AY39" s="23" t="s">
        <v>1</v>
      </c>
      <c r="AZ39" s="23"/>
      <c r="BA39" s="23" t="s">
        <v>322</v>
      </c>
      <c r="BB39" s="73" t="s">
        <v>2</v>
      </c>
      <c r="BC39" s="95"/>
    </row>
    <row r="40" spans="1:55" x14ac:dyDescent="0.25">
      <c r="A40" s="24" t="s">
        <v>252</v>
      </c>
      <c r="B40" s="24">
        <v>600</v>
      </c>
      <c r="G40" s="24" t="s">
        <v>272</v>
      </c>
      <c r="H40" s="24">
        <v>7000</v>
      </c>
      <c r="L40" s="24" t="s">
        <v>252</v>
      </c>
      <c r="M40" s="24">
        <v>600</v>
      </c>
      <c r="R40" s="24" t="s">
        <v>311</v>
      </c>
      <c r="S40" s="24" t="s">
        <v>312</v>
      </c>
      <c r="V40" s="24"/>
      <c r="W40" s="24"/>
      <c r="Z40" s="24"/>
      <c r="AA40" s="24"/>
      <c r="AD40" s="24" t="s">
        <v>248</v>
      </c>
      <c r="AE40" s="24">
        <v>700</v>
      </c>
      <c r="AH40" s="27" t="s">
        <v>267</v>
      </c>
      <c r="AI40" s="27"/>
      <c r="AJ40" s="42"/>
      <c r="AL40" s="24"/>
      <c r="AM40" s="24"/>
      <c r="AR40" s="36" t="s">
        <v>364</v>
      </c>
      <c r="AS40" s="91"/>
      <c r="AT40" s="28">
        <v>1</v>
      </c>
      <c r="AU40" s="39" t="s">
        <v>56</v>
      </c>
      <c r="AV40" s="97"/>
      <c r="AW40" s="97"/>
      <c r="AY40" s="24" t="s">
        <v>316</v>
      </c>
      <c r="AZ40" s="24"/>
      <c r="BA40" s="24">
        <v>1</v>
      </c>
      <c r="BB40" s="39" t="s">
        <v>56</v>
      </c>
      <c r="BC40" s="97"/>
    </row>
    <row r="41" spans="1:55" x14ac:dyDescent="0.25">
      <c r="A41" s="24" t="s">
        <v>243</v>
      </c>
      <c r="B41" s="24">
        <v>600</v>
      </c>
      <c r="G41" s="24" t="s">
        <v>298</v>
      </c>
      <c r="H41" s="24">
        <v>300</v>
      </c>
      <c r="L41" s="24" t="s">
        <v>298</v>
      </c>
      <c r="M41" s="24">
        <v>200</v>
      </c>
      <c r="R41" s="24" t="s">
        <v>313</v>
      </c>
      <c r="S41" s="24" t="s">
        <v>314</v>
      </c>
      <c r="V41" s="24"/>
      <c r="W41" s="24"/>
      <c r="Z41" s="24"/>
      <c r="AA41" s="24"/>
      <c r="AD41" s="24" t="s">
        <v>242</v>
      </c>
      <c r="AE41" s="24">
        <v>600</v>
      </c>
      <c r="AH41" s="24" t="s">
        <v>265</v>
      </c>
      <c r="AI41" s="24">
        <v>150</v>
      </c>
      <c r="AL41" s="24"/>
      <c r="AM41" s="24"/>
      <c r="AR41" s="36"/>
      <c r="AS41" s="91"/>
      <c r="AT41" s="28"/>
      <c r="AU41" s="39"/>
      <c r="AV41" s="97"/>
      <c r="AW41" s="97"/>
      <c r="AY41" s="24"/>
      <c r="AZ41" s="24"/>
      <c r="BA41" s="24"/>
      <c r="BB41" s="39"/>
      <c r="BC41" s="97"/>
    </row>
    <row r="42" spans="1:55" x14ac:dyDescent="0.25">
      <c r="A42" s="24" t="s">
        <v>251</v>
      </c>
      <c r="B42" s="24">
        <v>50</v>
      </c>
      <c r="G42" s="24" t="s">
        <v>252</v>
      </c>
      <c r="H42" s="24">
        <v>600</v>
      </c>
      <c r="L42" s="24" t="s">
        <v>253</v>
      </c>
      <c r="M42" s="24">
        <v>1000</v>
      </c>
      <c r="R42" s="24"/>
      <c r="S42" s="24"/>
      <c r="V42" s="24"/>
      <c r="W42" s="24"/>
      <c r="Z42" s="24"/>
      <c r="AA42" s="24"/>
      <c r="AD42" s="24" t="s">
        <v>253</v>
      </c>
      <c r="AE42" s="24">
        <v>1000</v>
      </c>
      <c r="AH42" s="24" t="s">
        <v>266</v>
      </c>
      <c r="AI42" s="24">
        <v>1</v>
      </c>
      <c r="AL42" s="24"/>
      <c r="AM42" s="24"/>
      <c r="AR42" s="36"/>
      <c r="AS42" s="91"/>
      <c r="AT42" s="28"/>
      <c r="AU42" s="39"/>
      <c r="AV42" s="97"/>
      <c r="AW42" s="97"/>
      <c r="AY42" s="24"/>
      <c r="AZ42" s="24"/>
      <c r="BA42" s="24"/>
      <c r="BB42" s="39"/>
      <c r="BC42" s="97"/>
    </row>
    <row r="43" spans="1:55" x14ac:dyDescent="0.25">
      <c r="A43" s="24" t="s">
        <v>261</v>
      </c>
      <c r="B43" s="24">
        <v>200</v>
      </c>
      <c r="G43" s="24" t="s">
        <v>262</v>
      </c>
      <c r="H43" s="24">
        <v>200</v>
      </c>
      <c r="L43" s="24" t="s">
        <v>251</v>
      </c>
      <c r="M43" s="24">
        <v>150</v>
      </c>
      <c r="R43" s="24"/>
      <c r="S43" s="24"/>
      <c r="V43" s="24"/>
      <c r="W43" s="24"/>
      <c r="Z43" s="24"/>
      <c r="AA43" s="24"/>
      <c r="AD43" s="24" t="s">
        <v>251</v>
      </c>
      <c r="AE43" s="24">
        <v>250</v>
      </c>
      <c r="AH43" s="24"/>
      <c r="AI43" s="24"/>
      <c r="AL43" s="24"/>
      <c r="AM43" s="24"/>
      <c r="AR43" s="36"/>
      <c r="AS43" s="91"/>
      <c r="AT43" s="28"/>
      <c r="AU43" s="39"/>
      <c r="AV43" s="97"/>
      <c r="AW43" s="97"/>
      <c r="AY43" s="24"/>
      <c r="AZ43" s="24"/>
      <c r="BA43" s="24"/>
      <c r="BB43" s="39"/>
      <c r="BC43" s="97"/>
    </row>
    <row r="44" spans="1:55" x14ac:dyDescent="0.25">
      <c r="A44" s="24" t="s">
        <v>284</v>
      </c>
      <c r="B44" s="24">
        <v>100</v>
      </c>
      <c r="G44" s="24" t="s">
        <v>254</v>
      </c>
      <c r="H44" s="24">
        <v>700</v>
      </c>
      <c r="L44" s="24" t="s">
        <v>254</v>
      </c>
      <c r="M44" s="24">
        <v>900</v>
      </c>
      <c r="R44" s="24"/>
      <c r="S44" s="24"/>
      <c r="V44" s="24"/>
      <c r="W44" s="24"/>
      <c r="Z44" s="24"/>
      <c r="AA44" s="24"/>
      <c r="AD44" s="24" t="s">
        <v>249</v>
      </c>
      <c r="AE44" s="24">
        <v>600</v>
      </c>
      <c r="AH44" s="24"/>
      <c r="AI44" s="24"/>
      <c r="AL44" s="24"/>
      <c r="AM44" s="24"/>
      <c r="AR44" s="36"/>
      <c r="AS44" s="91"/>
      <c r="AT44" s="28"/>
      <c r="AU44" s="39"/>
      <c r="AV44" s="97"/>
      <c r="AW44" s="97"/>
      <c r="AY44" s="24"/>
      <c r="AZ44" s="24"/>
      <c r="BA44" s="24"/>
      <c r="BB44" s="39"/>
      <c r="BC44" s="97"/>
    </row>
    <row r="45" spans="1:55" x14ac:dyDescent="0.25">
      <c r="A45" s="24" t="s">
        <v>246</v>
      </c>
      <c r="B45" s="24">
        <v>20</v>
      </c>
      <c r="G45" s="24" t="s">
        <v>246</v>
      </c>
      <c r="H45" s="24">
        <v>40</v>
      </c>
      <c r="L45" s="24" t="s">
        <v>246</v>
      </c>
      <c r="M45" s="24">
        <v>20</v>
      </c>
      <c r="R45" s="24"/>
      <c r="S45" s="24"/>
      <c r="V45" s="24"/>
      <c r="W45" s="24"/>
      <c r="Z45" s="24"/>
      <c r="AA45" s="24"/>
      <c r="AD45" s="24" t="s">
        <v>302</v>
      </c>
      <c r="AE45" s="24">
        <v>150</v>
      </c>
      <c r="AH45" s="24"/>
      <c r="AI45" s="24"/>
      <c r="AL45" s="24"/>
      <c r="AM45" s="24"/>
      <c r="AR45" s="36"/>
      <c r="AS45" s="91"/>
      <c r="AT45" s="28"/>
      <c r="AU45" s="39"/>
      <c r="AV45" s="97"/>
      <c r="AW45" s="97"/>
      <c r="AY45" s="24"/>
      <c r="AZ45" s="24"/>
      <c r="BA45" s="24"/>
      <c r="BB45" s="39"/>
      <c r="BC45" s="97"/>
    </row>
    <row r="46" spans="1:55" x14ac:dyDescent="0.25">
      <c r="A46" s="24" t="s">
        <v>248</v>
      </c>
      <c r="B46" s="24">
        <v>800</v>
      </c>
      <c r="G46" s="24" t="s">
        <v>247</v>
      </c>
      <c r="H46" s="24"/>
      <c r="L46" s="24" t="s">
        <v>289</v>
      </c>
      <c r="M46" s="24">
        <v>100</v>
      </c>
      <c r="R46" s="24"/>
      <c r="S46" s="24"/>
      <c r="V46" s="24"/>
      <c r="W46" s="24"/>
      <c r="Z46" s="24"/>
      <c r="AA46" s="24"/>
      <c r="AD46" s="24" t="s">
        <v>300</v>
      </c>
      <c r="AE46" s="24">
        <v>500</v>
      </c>
      <c r="AH46" s="24"/>
      <c r="AI46" s="24"/>
      <c r="AL46" s="24"/>
      <c r="AM46" s="24"/>
      <c r="AR46" s="24"/>
      <c r="AS46" s="28"/>
      <c r="AT46" s="28"/>
      <c r="AU46" s="40"/>
      <c r="AY46" s="24"/>
      <c r="AZ46" s="24"/>
      <c r="BA46" s="24"/>
      <c r="BB46" s="39"/>
      <c r="BC46" s="97"/>
    </row>
    <row r="47" spans="1:55" x14ac:dyDescent="0.25">
      <c r="A47" s="24" t="s">
        <v>247</v>
      </c>
      <c r="B47" s="24"/>
      <c r="G47" s="24"/>
      <c r="H47" s="24"/>
      <c r="L47" s="24" t="s">
        <v>247</v>
      </c>
      <c r="M47" s="24"/>
      <c r="R47" s="24"/>
      <c r="S47" s="24"/>
      <c r="V47" s="24"/>
      <c r="W47" s="24"/>
      <c r="Z47" s="24"/>
      <c r="AA47" s="24"/>
      <c r="AD47" s="24" t="s">
        <v>301</v>
      </c>
      <c r="AE47" s="24">
        <v>500</v>
      </c>
      <c r="AH47" s="24"/>
      <c r="AI47" s="24"/>
      <c r="AL47" s="24"/>
      <c r="AM47" s="24"/>
      <c r="AR47" s="24"/>
      <c r="AS47" s="28"/>
      <c r="AT47" s="28"/>
      <c r="AU47" s="40"/>
      <c r="AY47" s="24"/>
      <c r="AZ47" s="24"/>
      <c r="BA47" s="24"/>
      <c r="BB47" s="40"/>
      <c r="BC47" s="37"/>
    </row>
    <row r="48" spans="1:55" x14ac:dyDescent="0.25">
      <c r="AD48" s="24" t="s">
        <v>247</v>
      </c>
      <c r="AE48" s="24"/>
      <c r="AH48" s="24"/>
      <c r="AI48" s="24"/>
    </row>
    <row r="62" spans="1:55" x14ac:dyDescent="0.25">
      <c r="A62" s="1" t="s">
        <v>61</v>
      </c>
      <c r="B62" s="1" t="s">
        <v>85</v>
      </c>
      <c r="C62" s="1"/>
      <c r="G62" s="1" t="s">
        <v>61</v>
      </c>
      <c r="H62" s="1" t="s">
        <v>93</v>
      </c>
      <c r="L62" s="1" t="s">
        <v>61</v>
      </c>
      <c r="M62" s="1" t="s">
        <v>180</v>
      </c>
      <c r="N62" s="1"/>
      <c r="R62" s="1" t="s">
        <v>61</v>
      </c>
      <c r="S62" s="1" t="s">
        <v>87</v>
      </c>
      <c r="T62" s="1"/>
      <c r="V62" s="1" t="s">
        <v>61</v>
      </c>
      <c r="W62" s="1" t="s">
        <v>116</v>
      </c>
      <c r="X62" s="1"/>
      <c r="Z62" s="1" t="s">
        <v>61</v>
      </c>
      <c r="AA62" s="1"/>
      <c r="AB62" s="1"/>
      <c r="AD62" s="1" t="s">
        <v>61</v>
      </c>
      <c r="AE62" s="1" t="s">
        <v>174</v>
      </c>
      <c r="AF62" s="1"/>
      <c r="AH62" s="1" t="s">
        <v>61</v>
      </c>
      <c r="AI62" s="1" t="s">
        <v>214</v>
      </c>
      <c r="AJ62" s="1"/>
      <c r="AL62" s="1" t="s">
        <v>61</v>
      </c>
      <c r="AM62" s="1"/>
      <c r="AN62" s="1"/>
      <c r="AR62" s="1" t="s">
        <v>61</v>
      </c>
      <c r="AS62" s="1"/>
      <c r="AT62" s="1" t="s">
        <v>343</v>
      </c>
      <c r="AY62" s="1" t="s">
        <v>61</v>
      </c>
      <c r="AZ62" s="1"/>
      <c r="BA62" s="1" t="s">
        <v>345</v>
      </c>
      <c r="BB62" s="37"/>
      <c r="BC62" s="37"/>
    </row>
    <row r="63" spans="1:55" x14ac:dyDescent="0.25">
      <c r="A63" s="1" t="s">
        <v>62</v>
      </c>
      <c r="B63" s="1" t="str">
        <f>VLOOKUP(B62,LISTPROD[],2,FALSE)</f>
        <v>BIL  PRO</v>
      </c>
      <c r="C63" s="1"/>
      <c r="G63" s="1" t="s">
        <v>62</v>
      </c>
      <c r="H63" s="1" t="str">
        <f>VLOOKUP(H62,LISTPROD[],2,FALSE)</f>
        <v>CARDO MARIANO (Capsulas)</v>
      </c>
      <c r="L63" s="1" t="s">
        <v>62</v>
      </c>
      <c r="M63" s="1" t="str">
        <f>VLOOKUP(M62,LISTPROD[],2,FALSE)</f>
        <v>PROX TAP LT</v>
      </c>
      <c r="N63" s="1"/>
      <c r="R63" s="1" t="s">
        <v>62</v>
      </c>
      <c r="S63" s="1" t="str">
        <f>VLOOKUP(S62,LISTPROD[],2,FALSE)</f>
        <v>BIO 44</v>
      </c>
      <c r="T63" s="1"/>
      <c r="V63" s="1" t="s">
        <v>62</v>
      </c>
      <c r="W63" s="1" t="str">
        <f>VLOOKUP(W62,LISTPROD[],2,FALSE)</f>
        <v>ELIXIR (Gotas)</v>
      </c>
      <c r="X63" s="1"/>
      <c r="Z63" s="1" t="s">
        <v>62</v>
      </c>
      <c r="AA63" s="26" t="s">
        <v>225</v>
      </c>
      <c r="AB63" s="26"/>
      <c r="AD63" s="1" t="s">
        <v>62</v>
      </c>
      <c r="AE63" s="1" t="str">
        <f>VLOOKUP(AE62,LISTPROD[],2,FALSE)</f>
        <v>PPG</v>
      </c>
      <c r="AF63" s="1"/>
      <c r="AH63" s="1" t="s">
        <v>62</v>
      </c>
      <c r="AI63" s="1" t="str">
        <f>VLOOKUP(AI62,LISTPROD[],2,FALSE)</f>
        <v>VITA CEREBRINA FRANCESA</v>
      </c>
      <c r="AJ63" s="1"/>
      <c r="AL63" s="1" t="s">
        <v>62</v>
      </c>
      <c r="AM63" s="1" t="e">
        <f>VLOOKUP(AM62,LISTPROD[],2,FALSE)</f>
        <v>#N/A</v>
      </c>
      <c r="AN63" s="1"/>
      <c r="AR63" s="1" t="s">
        <v>62</v>
      </c>
      <c r="AS63" s="1"/>
      <c r="AT63" s="1" t="str">
        <f>VLOOKUP(AT62,LISTPROD[],2,FALSE)</f>
        <v>GINGOBILOBA  (Capsulas)</v>
      </c>
      <c r="AY63" s="1" t="s">
        <v>62</v>
      </c>
      <c r="AZ63" s="1"/>
      <c r="BA63" s="1" t="str">
        <f>VLOOKUP(BA62,LISTPROD[],2,FALSE)</f>
        <v>INSOMNIO (Gotas)</v>
      </c>
      <c r="BB63" s="37"/>
      <c r="BC63" s="37"/>
    </row>
    <row r="64" spans="1:55" x14ac:dyDescent="0.25">
      <c r="A64" s="1" t="s">
        <v>234</v>
      </c>
      <c r="B64" s="1" t="str">
        <f>VLOOKUP(B62,LISTPROD[],3,FALSE)</f>
        <v>BRIL-PRO</v>
      </c>
      <c r="C64" s="1"/>
      <c r="G64" s="1" t="s">
        <v>234</v>
      </c>
      <c r="H64" s="1" t="str">
        <f>VLOOKUP(H62,LISTPROD[],3,FALSE)</f>
        <v>CARDO MARIANO (Capsulas)</v>
      </c>
      <c r="L64" s="1" t="s">
        <v>234</v>
      </c>
      <c r="M64" s="1" t="str">
        <f>VLOOKUP(M62,LISTPROD[],3,FALSE)</f>
        <v>PROX - TAP</v>
      </c>
      <c r="N64" s="1"/>
      <c r="R64" s="1" t="s">
        <v>234</v>
      </c>
      <c r="S64" s="1" t="str">
        <f>VLOOKUP(S62,LISTPROD[],3,FALSE)</f>
        <v>BIO 44</v>
      </c>
      <c r="T64" s="1"/>
      <c r="V64" s="1" t="s">
        <v>234</v>
      </c>
      <c r="W64" s="1" t="str">
        <f>VLOOKUP(W62,LISTPROD[],3,FALSE)</f>
        <v>ELIXIR (Gotas)</v>
      </c>
      <c r="X64" s="1"/>
      <c r="Z64" s="1" t="s">
        <v>234</v>
      </c>
      <c r="AA64" s="1" t="s">
        <v>74</v>
      </c>
      <c r="AB64" s="1"/>
      <c r="AD64" s="1" t="s">
        <v>234</v>
      </c>
      <c r="AE64" s="1" t="str">
        <f>VLOOKUP(AE62,LISTPROD[],3,FALSE)</f>
        <v>PPG</v>
      </c>
      <c r="AF64" s="1"/>
      <c r="AH64" s="1" t="s">
        <v>234</v>
      </c>
      <c r="AI64" s="1" t="str">
        <f>VLOOKUP(AI62,LISTPROD[],3,FALSE)</f>
        <v>VITA CEREBRINA FRANCESA</v>
      </c>
      <c r="AJ64" s="1"/>
      <c r="AL64" s="1" t="s">
        <v>234</v>
      </c>
      <c r="AM64" s="1" t="e">
        <f>VLOOKUP(AM62,LISTPROD[],3,FALSE)</f>
        <v>#N/A</v>
      </c>
      <c r="AN64" s="1"/>
      <c r="AR64" s="1" t="s">
        <v>234</v>
      </c>
      <c r="AS64" s="1"/>
      <c r="AT64" s="1" t="str">
        <f>VLOOKUP(AT62,LISTPROD[],3,FALSE)</f>
        <v>GINKGO BILOBA</v>
      </c>
      <c r="AY64" s="1" t="s">
        <v>234</v>
      </c>
      <c r="AZ64" s="1"/>
      <c r="BA64" s="1" t="str">
        <f>VLOOKUP(BA62,LISTPROD[],3,FALSE)</f>
        <v>INSOMNIO Gotas Orales</v>
      </c>
      <c r="BB64" s="37"/>
      <c r="BC64" s="37"/>
    </row>
    <row r="65" spans="1:55" x14ac:dyDescent="0.25">
      <c r="A65" s="1" t="s">
        <v>239</v>
      </c>
      <c r="B65" s="21"/>
      <c r="C65" s="21"/>
      <c r="G65" s="1" t="s">
        <v>239</v>
      </c>
      <c r="H65" s="21"/>
      <c r="L65" s="1" t="s">
        <v>239</v>
      </c>
      <c r="M65" s="21"/>
      <c r="N65" s="21"/>
      <c r="R65" s="1" t="s">
        <v>239</v>
      </c>
      <c r="S65" s="21"/>
      <c r="T65" s="21"/>
      <c r="V65" s="1" t="s">
        <v>239</v>
      </c>
      <c r="W65" s="21"/>
      <c r="X65" s="21"/>
      <c r="Z65" s="1" t="s">
        <v>239</v>
      </c>
      <c r="AA65" s="21"/>
      <c r="AB65" s="21"/>
      <c r="AD65" s="1" t="s">
        <v>239</v>
      </c>
      <c r="AE65" s="21"/>
      <c r="AF65" s="21"/>
      <c r="AH65" s="1" t="s">
        <v>239</v>
      </c>
      <c r="AI65" s="21"/>
      <c r="AJ65" s="21"/>
      <c r="AL65" s="1" t="s">
        <v>239</v>
      </c>
      <c r="AM65" s="21"/>
      <c r="AN65" s="21"/>
      <c r="AR65" s="1" t="s">
        <v>239</v>
      </c>
      <c r="AS65" s="1"/>
      <c r="AT65" s="21"/>
      <c r="AY65" s="1" t="s">
        <v>239</v>
      </c>
      <c r="AZ65" s="1"/>
      <c r="BA65" s="21"/>
      <c r="BB65" s="37"/>
      <c r="BC65" s="37"/>
    </row>
    <row r="66" spans="1:55" x14ac:dyDescent="0.25">
      <c r="A66" s="1" t="s">
        <v>240</v>
      </c>
      <c r="B66" s="21"/>
      <c r="C66" s="21"/>
      <c r="G66" s="1" t="s">
        <v>240</v>
      </c>
      <c r="H66" s="21"/>
      <c r="L66" s="1" t="s">
        <v>240</v>
      </c>
      <c r="M66" s="21"/>
      <c r="N66" s="21"/>
      <c r="R66" s="1" t="s">
        <v>240</v>
      </c>
      <c r="S66" s="21"/>
      <c r="T66" s="21"/>
      <c r="V66" s="1" t="s">
        <v>240</v>
      </c>
      <c r="W66" s="21"/>
      <c r="X66" s="21"/>
      <c r="Z66" s="1" t="s">
        <v>240</v>
      </c>
      <c r="AA66" s="21"/>
      <c r="AB66" s="21"/>
      <c r="AD66" s="1" t="s">
        <v>240</v>
      </c>
      <c r="AE66" s="21"/>
      <c r="AF66" s="21"/>
      <c r="AH66" s="1" t="s">
        <v>240</v>
      </c>
      <c r="AI66" s="21"/>
      <c r="AJ66" s="21"/>
      <c r="AL66" s="1" t="s">
        <v>240</v>
      </c>
      <c r="AM66" s="21"/>
      <c r="AN66" s="21"/>
      <c r="AR66" s="1" t="s">
        <v>240</v>
      </c>
      <c r="AS66" s="1"/>
      <c r="AT66" s="21"/>
      <c r="AY66" s="1" t="s">
        <v>240</v>
      </c>
      <c r="AZ66" s="1"/>
      <c r="BA66" s="21"/>
      <c r="BB66" s="37"/>
      <c r="BC66" s="37"/>
    </row>
    <row r="67" spans="1:55" x14ac:dyDescent="0.25">
      <c r="A67" s="1" t="s">
        <v>238</v>
      </c>
      <c r="B67" s="21"/>
      <c r="C67" s="21"/>
      <c r="G67" s="1" t="s">
        <v>238</v>
      </c>
      <c r="H67" s="21"/>
      <c r="L67" s="1" t="s">
        <v>238</v>
      </c>
      <c r="M67" s="21"/>
      <c r="N67" s="21"/>
      <c r="R67" s="1" t="s">
        <v>238</v>
      </c>
      <c r="S67" s="21"/>
      <c r="T67" s="21"/>
      <c r="V67" s="1" t="s">
        <v>238</v>
      </c>
      <c r="W67" s="21"/>
      <c r="X67" s="21"/>
      <c r="Z67" s="1" t="s">
        <v>238</v>
      </c>
      <c r="AA67" s="21"/>
      <c r="AB67" s="21"/>
      <c r="AD67" s="1" t="s">
        <v>238</v>
      </c>
      <c r="AE67" s="21"/>
      <c r="AF67" s="21"/>
      <c r="AH67" s="1" t="s">
        <v>238</v>
      </c>
      <c r="AI67" s="21"/>
      <c r="AJ67" s="21"/>
      <c r="AL67" s="1" t="s">
        <v>238</v>
      </c>
      <c r="AM67" s="21"/>
      <c r="AN67" s="21"/>
      <c r="AR67" s="1" t="s">
        <v>238</v>
      </c>
      <c r="AS67" s="1"/>
      <c r="AT67" s="21"/>
      <c r="AY67" s="1" t="s">
        <v>238</v>
      </c>
      <c r="AZ67" s="1"/>
      <c r="BA67" s="21"/>
      <c r="BB67" s="37"/>
      <c r="BC67" s="37"/>
    </row>
    <row r="68" spans="1:55" x14ac:dyDescent="0.25">
      <c r="A68" s="25" t="s">
        <v>1</v>
      </c>
      <c r="B68" s="23" t="s">
        <v>322</v>
      </c>
      <c r="C68" s="38" t="s">
        <v>2</v>
      </c>
      <c r="G68" s="25" t="s">
        <v>1</v>
      </c>
      <c r="H68" s="23" t="s">
        <v>322</v>
      </c>
      <c r="I68" s="38" t="s">
        <v>2</v>
      </c>
      <c r="L68" s="25" t="s">
        <v>1</v>
      </c>
      <c r="M68" s="23" t="s">
        <v>322</v>
      </c>
      <c r="N68" s="38" t="s">
        <v>2</v>
      </c>
      <c r="R68" s="23" t="s">
        <v>1</v>
      </c>
      <c r="S68" s="23" t="s">
        <v>322</v>
      </c>
      <c r="T68" s="38" t="s">
        <v>2</v>
      </c>
      <c r="V68" s="23" t="s">
        <v>1</v>
      </c>
      <c r="W68" s="23" t="s">
        <v>322</v>
      </c>
      <c r="X68" s="38" t="s">
        <v>2</v>
      </c>
      <c r="Z68" s="23" t="s">
        <v>1</v>
      </c>
      <c r="AA68" s="23" t="s">
        <v>322</v>
      </c>
      <c r="AB68" s="38" t="s">
        <v>2</v>
      </c>
      <c r="AD68" s="23" t="s">
        <v>1</v>
      </c>
      <c r="AE68" s="23" t="s">
        <v>322</v>
      </c>
      <c r="AF68" s="38" t="s">
        <v>2</v>
      </c>
      <c r="AH68" s="23" t="s">
        <v>1</v>
      </c>
      <c r="AI68" s="23" t="s">
        <v>322</v>
      </c>
      <c r="AJ68" s="38" t="s">
        <v>2</v>
      </c>
      <c r="AL68" s="23" t="s">
        <v>1</v>
      </c>
      <c r="AM68" s="23" t="s">
        <v>2</v>
      </c>
      <c r="AN68" s="23"/>
      <c r="AR68" s="23" t="s">
        <v>1</v>
      </c>
      <c r="AS68" s="23"/>
      <c r="AT68" s="23" t="s">
        <v>322</v>
      </c>
      <c r="AU68" s="38" t="s">
        <v>2</v>
      </c>
      <c r="AV68" s="95"/>
      <c r="AW68" s="95"/>
      <c r="AY68" s="23" t="s">
        <v>1</v>
      </c>
      <c r="AZ68" s="23" t="s">
        <v>391</v>
      </c>
      <c r="BA68" s="23" t="s">
        <v>322</v>
      </c>
      <c r="BB68" s="73" t="s">
        <v>2</v>
      </c>
      <c r="BC68" s="95"/>
    </row>
    <row r="69" spans="1:55" x14ac:dyDescent="0.25">
      <c r="A69" s="24" t="s">
        <v>272</v>
      </c>
      <c r="B69" s="24">
        <v>7000</v>
      </c>
      <c r="G69" s="24"/>
      <c r="H69" s="24"/>
      <c r="L69" s="24" t="s">
        <v>252</v>
      </c>
      <c r="M69" s="24">
        <v>600</v>
      </c>
      <c r="R69" s="24"/>
      <c r="S69" s="24"/>
      <c r="V69" s="24" t="s">
        <v>252</v>
      </c>
      <c r="W69" s="24">
        <v>90</v>
      </c>
      <c r="Z69" s="24" t="s">
        <v>258</v>
      </c>
      <c r="AA69" s="24">
        <v>5000</v>
      </c>
      <c r="AD69" s="24" t="s">
        <v>283</v>
      </c>
      <c r="AE69" s="24">
        <v>4500</v>
      </c>
      <c r="AH69" s="24" t="s">
        <v>242</v>
      </c>
      <c r="AI69" s="24">
        <v>600</v>
      </c>
      <c r="AL69" s="24"/>
      <c r="AM69" s="24"/>
      <c r="AR69" s="24"/>
      <c r="AS69" s="24"/>
      <c r="AT69" s="74"/>
      <c r="AU69" s="39"/>
      <c r="AV69" s="97"/>
      <c r="AW69" s="97"/>
      <c r="AY69" s="24" t="s">
        <v>316</v>
      </c>
      <c r="AZ69" s="24" t="s">
        <v>392</v>
      </c>
      <c r="BA69" s="24">
        <v>1.55</v>
      </c>
      <c r="BB69" s="39" t="s">
        <v>56</v>
      </c>
      <c r="BC69" s="97"/>
    </row>
    <row r="70" spans="1:55" x14ac:dyDescent="0.25">
      <c r="A70" s="24" t="s">
        <v>261</v>
      </c>
      <c r="B70" s="24">
        <v>756</v>
      </c>
      <c r="G70" s="24"/>
      <c r="H70" s="24"/>
      <c r="L70" s="24" t="s">
        <v>261</v>
      </c>
      <c r="M70" s="24">
        <v>200</v>
      </c>
      <c r="R70" s="24"/>
      <c r="S70" s="24"/>
      <c r="V70" s="24" t="s">
        <v>243</v>
      </c>
      <c r="W70" s="24">
        <v>25</v>
      </c>
      <c r="Z70" s="24" t="s">
        <v>260</v>
      </c>
      <c r="AA70" s="24">
        <v>1500</v>
      </c>
      <c r="AD70" s="24" t="s">
        <v>261</v>
      </c>
      <c r="AE70" s="24">
        <v>290</v>
      </c>
      <c r="AH70" s="24" t="s">
        <v>261</v>
      </c>
      <c r="AI70" s="24">
        <v>200</v>
      </c>
      <c r="AL70" s="24"/>
      <c r="AM70" s="24"/>
      <c r="AR70" s="24"/>
      <c r="AS70" s="24"/>
      <c r="AT70" s="74"/>
      <c r="AU70" s="39"/>
      <c r="AV70" s="97"/>
      <c r="AW70" s="97"/>
      <c r="AY70" s="24" t="s">
        <v>317</v>
      </c>
      <c r="AZ70" s="24" t="s">
        <v>392</v>
      </c>
      <c r="BA70" s="24">
        <v>1.55</v>
      </c>
      <c r="BB70" s="39" t="s">
        <v>56</v>
      </c>
      <c r="BC70" s="97"/>
    </row>
    <row r="71" spans="1:55" x14ac:dyDescent="0.25">
      <c r="A71" s="24" t="s">
        <v>252</v>
      </c>
      <c r="B71" s="24">
        <v>408</v>
      </c>
      <c r="G71" s="24"/>
      <c r="H71" s="24"/>
      <c r="L71" s="24" t="s">
        <v>243</v>
      </c>
      <c r="M71" s="24">
        <v>1000</v>
      </c>
      <c r="R71" s="24"/>
      <c r="S71" s="24"/>
      <c r="V71" s="24" t="s">
        <v>244</v>
      </c>
      <c r="W71" s="24">
        <v>25</v>
      </c>
      <c r="Z71" s="24" t="s">
        <v>259</v>
      </c>
      <c r="AA71" s="24">
        <v>1</v>
      </c>
      <c r="AD71" s="24" t="s">
        <v>242</v>
      </c>
      <c r="AE71" s="24">
        <v>300</v>
      </c>
      <c r="AH71" s="24" t="s">
        <v>262</v>
      </c>
      <c r="AI71" s="24">
        <v>100</v>
      </c>
      <c r="AL71" s="24"/>
      <c r="AM71" s="24"/>
      <c r="AR71" s="24"/>
      <c r="AS71" s="24"/>
      <c r="AT71" s="74"/>
      <c r="AU71" s="39"/>
      <c r="AV71" s="97"/>
      <c r="AW71" s="97"/>
      <c r="AY71" s="24" t="s">
        <v>318</v>
      </c>
      <c r="AZ71" s="24" t="s">
        <v>392</v>
      </c>
      <c r="BA71" s="24">
        <v>1.55</v>
      </c>
      <c r="BB71" s="39" t="s">
        <v>56</v>
      </c>
      <c r="BC71" s="97"/>
    </row>
    <row r="72" spans="1:55" x14ac:dyDescent="0.25">
      <c r="A72" s="24" t="s">
        <v>296</v>
      </c>
      <c r="B72" s="24">
        <v>116</v>
      </c>
      <c r="G72" s="24"/>
      <c r="H72" s="24"/>
      <c r="L72" s="24" t="s">
        <v>251</v>
      </c>
      <c r="M72" s="24">
        <v>150</v>
      </c>
      <c r="R72" s="24"/>
      <c r="S72" s="24"/>
      <c r="V72" s="24" t="s">
        <v>246</v>
      </c>
      <c r="W72" s="24">
        <v>12</v>
      </c>
      <c r="Z72" s="24"/>
      <c r="AA72" s="24"/>
      <c r="AD72" s="24" t="s">
        <v>264</v>
      </c>
      <c r="AE72" s="24">
        <v>50</v>
      </c>
      <c r="AH72" s="24" t="s">
        <v>268</v>
      </c>
      <c r="AI72" s="24">
        <v>1000</v>
      </c>
      <c r="AL72" s="24"/>
      <c r="AM72" s="24"/>
      <c r="AR72" s="24"/>
      <c r="AS72" s="24"/>
      <c r="AT72" s="74"/>
      <c r="AU72" s="39"/>
      <c r="AV72" s="97"/>
      <c r="AW72" s="97"/>
      <c r="AY72" s="24" t="s">
        <v>319</v>
      </c>
      <c r="AZ72" s="24" t="s">
        <v>392</v>
      </c>
      <c r="BA72" s="24">
        <v>1.55</v>
      </c>
      <c r="BB72" s="39" t="s">
        <v>56</v>
      </c>
      <c r="BC72" s="97"/>
    </row>
    <row r="73" spans="1:55" x14ac:dyDescent="0.25">
      <c r="A73" s="24" t="s">
        <v>254</v>
      </c>
      <c r="B73" s="24">
        <v>708</v>
      </c>
      <c r="G73" s="24"/>
      <c r="H73" s="24"/>
      <c r="L73" s="24" t="s">
        <v>254</v>
      </c>
      <c r="M73" s="24">
        <v>900</v>
      </c>
      <c r="R73" s="24"/>
      <c r="S73" s="24"/>
      <c r="V73" s="24" t="s">
        <v>290</v>
      </c>
      <c r="W73" s="24">
        <v>7</v>
      </c>
      <c r="Z73" s="24"/>
      <c r="AA73" s="24"/>
      <c r="AD73" s="24" t="s">
        <v>284</v>
      </c>
      <c r="AE73" s="24">
        <v>84</v>
      </c>
      <c r="AH73" s="24" t="s">
        <v>254</v>
      </c>
      <c r="AI73" s="24">
        <v>800</v>
      </c>
      <c r="AL73" s="24"/>
      <c r="AM73" s="24"/>
      <c r="AR73" s="24"/>
      <c r="AS73" s="24"/>
      <c r="AT73" s="74"/>
      <c r="AU73" s="39"/>
      <c r="AV73" s="97"/>
      <c r="AW73" s="97"/>
      <c r="AY73" s="24" t="s">
        <v>320</v>
      </c>
      <c r="AZ73" s="24" t="s">
        <v>392</v>
      </c>
      <c r="BA73" s="24">
        <v>697.5</v>
      </c>
      <c r="BB73" s="39" t="s">
        <v>56</v>
      </c>
      <c r="BC73" s="97"/>
    </row>
    <row r="74" spans="1:55" x14ac:dyDescent="0.25">
      <c r="A74" s="24" t="s">
        <v>297</v>
      </c>
      <c r="B74" s="24">
        <v>68</v>
      </c>
      <c r="G74" s="24"/>
      <c r="H74" s="24"/>
      <c r="L74" s="24" t="s">
        <v>246</v>
      </c>
      <c r="M74" s="24">
        <v>20</v>
      </c>
      <c r="R74" s="24"/>
      <c r="S74" s="24"/>
      <c r="V74" s="24" t="s">
        <v>247</v>
      </c>
      <c r="W74" s="24"/>
      <c r="Z74" s="24"/>
      <c r="AA74" s="24"/>
      <c r="AD74" s="24"/>
      <c r="AE74" s="24"/>
      <c r="AH74" s="24" t="s">
        <v>251</v>
      </c>
      <c r="AI74" s="24">
        <v>100</v>
      </c>
      <c r="AL74" s="24"/>
      <c r="AM74" s="24"/>
      <c r="AR74" s="24"/>
      <c r="AS74" s="24"/>
      <c r="AT74" s="74"/>
      <c r="AU74" s="39"/>
      <c r="AV74" s="97"/>
      <c r="AW74" s="97"/>
      <c r="AY74" s="24" t="s">
        <v>321</v>
      </c>
      <c r="AZ74" s="24" t="s">
        <v>392</v>
      </c>
      <c r="BA74" s="24">
        <v>3171.3</v>
      </c>
      <c r="BB74" s="39" t="s">
        <v>56</v>
      </c>
      <c r="BC74" s="97"/>
    </row>
    <row r="75" spans="1:55" x14ac:dyDescent="0.25">
      <c r="A75" s="24" t="s">
        <v>247</v>
      </c>
      <c r="B75" s="24"/>
      <c r="G75" s="24"/>
      <c r="H75" s="24"/>
      <c r="L75" s="24" t="s">
        <v>262</v>
      </c>
      <c r="M75" s="24">
        <v>100</v>
      </c>
      <c r="R75" s="24"/>
      <c r="S75" s="24"/>
      <c r="V75" s="24"/>
      <c r="W75" s="24"/>
      <c r="Z75" s="24"/>
      <c r="AA75" s="24"/>
      <c r="AD75" s="24"/>
      <c r="AE75" s="24"/>
      <c r="AH75" s="24" t="s">
        <v>243</v>
      </c>
      <c r="AI75" s="24">
        <v>300</v>
      </c>
      <c r="AL75" s="24"/>
      <c r="AM75" s="24"/>
      <c r="AR75" s="24"/>
      <c r="AS75" s="92"/>
      <c r="AT75" s="75"/>
      <c r="AU75" s="39"/>
      <c r="AV75" s="97"/>
      <c r="AW75" s="97"/>
      <c r="AY75" s="24" t="s">
        <v>375</v>
      </c>
      <c r="AZ75" s="24" t="s">
        <v>368</v>
      </c>
      <c r="BA75" s="24"/>
      <c r="BB75" s="39" t="s">
        <v>393</v>
      </c>
      <c r="BC75" s="97"/>
    </row>
    <row r="76" spans="1:55" x14ac:dyDescent="0.25">
      <c r="A76" s="29"/>
      <c r="B76" s="24"/>
      <c r="G76" s="24"/>
      <c r="H76" s="24"/>
      <c r="L76" s="24" t="s">
        <v>247</v>
      </c>
      <c r="M76" s="24"/>
      <c r="R76" s="24"/>
      <c r="S76" s="24"/>
      <c r="V76" s="24"/>
      <c r="W76" s="24"/>
      <c r="Z76" s="24"/>
      <c r="AA76" s="24"/>
      <c r="AD76" s="24"/>
      <c r="AE76" s="24"/>
      <c r="AH76" s="24" t="s">
        <v>246</v>
      </c>
      <c r="AI76" s="24">
        <v>40</v>
      </c>
      <c r="AL76" s="24"/>
      <c r="AM76" s="24"/>
      <c r="AR76" s="24"/>
      <c r="AS76" s="28"/>
      <c r="AT76" s="28"/>
      <c r="AU76" s="40"/>
      <c r="AY76" s="24" t="s">
        <v>376</v>
      </c>
      <c r="AZ76" s="24" t="s">
        <v>368</v>
      </c>
      <c r="BA76" s="24"/>
      <c r="BB76" s="39" t="s">
        <v>393</v>
      </c>
      <c r="BC76" s="97"/>
    </row>
    <row r="77" spans="1:55" x14ac:dyDescent="0.25">
      <c r="AH77" s="24" t="s">
        <v>259</v>
      </c>
      <c r="AI77" s="24">
        <v>20</v>
      </c>
      <c r="AY77" s="24" t="s">
        <v>377</v>
      </c>
      <c r="AZ77" s="24" t="s">
        <v>368</v>
      </c>
      <c r="BA77" s="24"/>
      <c r="BB77" s="93" t="s">
        <v>393</v>
      </c>
      <c r="BC77" s="3"/>
    </row>
    <row r="78" spans="1:55" x14ac:dyDescent="0.25">
      <c r="AH78" s="24" t="s">
        <v>247</v>
      </c>
      <c r="AI78" s="24"/>
      <c r="AY78" s="24" t="s">
        <v>378</v>
      </c>
      <c r="AZ78" s="24" t="s">
        <v>368</v>
      </c>
      <c r="BA78" s="24"/>
      <c r="BB78" s="93" t="s">
        <v>393</v>
      </c>
      <c r="BC78" s="3"/>
    </row>
    <row r="79" spans="1:55" x14ac:dyDescent="0.25">
      <c r="AY79" s="24" t="s">
        <v>379</v>
      </c>
      <c r="AZ79" s="24" t="s">
        <v>368</v>
      </c>
      <c r="BA79" s="24"/>
      <c r="BB79" s="93" t="s">
        <v>393</v>
      </c>
      <c r="BC79" s="3"/>
    </row>
    <row r="82" spans="1:55" x14ac:dyDescent="0.25">
      <c r="Z82" s="1" t="s">
        <v>61</v>
      </c>
      <c r="AA82" s="1" t="s">
        <v>147</v>
      </c>
      <c r="AB82" s="1"/>
    </row>
    <row r="83" spans="1:55" x14ac:dyDescent="0.25">
      <c r="Z83" s="1" t="s">
        <v>62</v>
      </c>
      <c r="AA83" s="1" t="str">
        <f>VLOOKUP(AA82,LISTPROD[],2,FALSE)</f>
        <v>INFAMOL PASTAS  (lleva Spray)</v>
      </c>
      <c r="AB83" s="1"/>
    </row>
    <row r="84" spans="1:55" x14ac:dyDescent="0.25">
      <c r="Z84" s="1"/>
      <c r="AA84" s="1"/>
      <c r="AB84" s="1"/>
    </row>
    <row r="85" spans="1:55" x14ac:dyDescent="0.25">
      <c r="Z85" s="1"/>
      <c r="AA85" s="1"/>
      <c r="AB85" s="1"/>
    </row>
    <row r="86" spans="1:55" x14ac:dyDescent="0.25">
      <c r="Z86" s="1"/>
      <c r="AA86" s="1"/>
      <c r="AB86" s="1"/>
    </row>
    <row r="87" spans="1:55" x14ac:dyDescent="0.25">
      <c r="A87" s="1" t="s">
        <v>61</v>
      </c>
      <c r="B87" s="1" t="s">
        <v>99</v>
      </c>
      <c r="C87" s="1"/>
      <c r="G87" s="1" t="s">
        <v>61</v>
      </c>
      <c r="H87" s="1" t="s">
        <v>100</v>
      </c>
      <c r="L87" s="1" t="s">
        <v>61</v>
      </c>
      <c r="M87" s="1" t="s">
        <v>184</v>
      </c>
      <c r="N87" s="1"/>
      <c r="R87" s="1" t="s">
        <v>61</v>
      </c>
      <c r="S87" s="1" t="s">
        <v>89</v>
      </c>
      <c r="T87" s="1"/>
      <c r="V87" s="1" t="s">
        <v>61</v>
      </c>
      <c r="W87" s="1" t="s">
        <v>117</v>
      </c>
      <c r="X87" s="1"/>
      <c r="Z87" s="1" t="s">
        <v>234</v>
      </c>
      <c r="AA87" s="1" t="str">
        <f>VLOOKUP(AA82,LISTPROD[],3,FALSE)</f>
        <v>INFAMOL PASTAS  (lleva Spray)</v>
      </c>
      <c r="AB87" s="1"/>
      <c r="AD87" s="1" t="s">
        <v>61</v>
      </c>
      <c r="AE87" s="1" t="s">
        <v>176</v>
      </c>
      <c r="AF87" s="1"/>
      <c r="AH87" s="1" t="s">
        <v>61</v>
      </c>
      <c r="AI87" s="1" t="s">
        <v>216</v>
      </c>
      <c r="AJ87" s="1"/>
      <c r="AL87" s="1" t="s">
        <v>61</v>
      </c>
      <c r="AM87" s="1"/>
      <c r="AN87" s="1"/>
      <c r="AR87" s="1" t="s">
        <v>61</v>
      </c>
      <c r="AS87" s="1"/>
      <c r="AT87" s="1" t="s">
        <v>347</v>
      </c>
      <c r="AY87" s="1" t="s">
        <v>61</v>
      </c>
      <c r="AZ87" s="1"/>
      <c r="BA87" s="1" t="s">
        <v>349</v>
      </c>
      <c r="BB87" s="37"/>
      <c r="BC87" s="37"/>
    </row>
    <row r="88" spans="1:55" x14ac:dyDescent="0.25">
      <c r="A88" s="1" t="s">
        <v>62</v>
      </c>
      <c r="B88" s="1" t="str">
        <f>VLOOKUP(B87,LISTPROD[],2,FALSE)</f>
        <v>CIR LAN (500ml)</v>
      </c>
      <c r="C88" s="1"/>
      <c r="G88" s="1" t="s">
        <v>62</v>
      </c>
      <c r="H88" s="1" t="str">
        <f>VLOOKUP(H87,LISTPROD[],2,FALSE)</f>
        <v>CIRCULAV LT</v>
      </c>
      <c r="L88" s="1" t="s">
        <v>62</v>
      </c>
      <c r="M88" s="1" t="str">
        <f>VLOOKUP(M87,LISTPROD[],2,FALSE)</f>
        <v>REUMAT OFF LT</v>
      </c>
      <c r="N88" s="1"/>
      <c r="R88" s="1" t="s">
        <v>62</v>
      </c>
      <c r="S88" s="1" t="str">
        <f>VLOOKUP(S87,LISTPROD[],2,FALSE)</f>
        <v>BOTANPROS</v>
      </c>
      <c r="T88" s="1"/>
      <c r="V88" s="1" t="s">
        <v>62</v>
      </c>
      <c r="W88" s="1" t="str">
        <f>VLOOKUP(W87,LISTPROD[],2,FALSE)</f>
        <v>ENFERMEDADES DE LA MUJER</v>
      </c>
      <c r="X88" s="1"/>
      <c r="Z88" s="1" t="s">
        <v>239</v>
      </c>
      <c r="AA88" s="21"/>
      <c r="AB88" s="21"/>
      <c r="AD88" s="1" t="s">
        <v>62</v>
      </c>
      <c r="AE88" s="1" t="str">
        <f>VLOOKUP(AE87,LISTPROD[],2,FALSE)</f>
        <v>PROSTA PHARMA</v>
      </c>
      <c r="AF88" s="1"/>
      <c r="AH88" s="1" t="s">
        <v>62</v>
      </c>
      <c r="AI88" s="1" t="str">
        <f>VLOOKUP(AI87,LISTPROD[],2,FALSE)</f>
        <v>WILTRON</v>
      </c>
      <c r="AJ88" s="1"/>
      <c r="AL88" s="1" t="s">
        <v>62</v>
      </c>
      <c r="AM88" s="1" t="e">
        <f>VLOOKUP(AM87,LISTPROD[],2,FALSE)</f>
        <v>#N/A</v>
      </c>
      <c r="AN88" s="1"/>
      <c r="AR88" s="1" t="s">
        <v>62</v>
      </c>
      <c r="AS88" s="1"/>
      <c r="AT88" s="1" t="str">
        <f>VLOOKUP(AT87,LISTPROD[],2,FALSE)</f>
        <v>ESTRELLA DE BELEN (Gotas)</v>
      </c>
      <c r="AY88" s="1" t="s">
        <v>62</v>
      </c>
      <c r="AZ88" s="1"/>
      <c r="BA88" s="1" t="str">
        <f>VLOOKUP(BA87,LISTPROD[],2,FALSE)</f>
        <v>PASSIFLORA (Gotas)</v>
      </c>
      <c r="BB88" s="37"/>
      <c r="BC88" s="37"/>
    </row>
    <row r="89" spans="1:55" x14ac:dyDescent="0.25">
      <c r="A89" s="1" t="s">
        <v>234</v>
      </c>
      <c r="B89" s="1" t="str">
        <f>VLOOKUP(B87,LISTPROD[],3,FALSE)</f>
        <v>CIR/LAN</v>
      </c>
      <c r="C89" s="1"/>
      <c r="G89" s="1" t="s">
        <v>234</v>
      </c>
      <c r="H89" s="1" t="str">
        <f>VLOOKUP(H87,LISTPROD[],3,FALSE)</f>
        <v>CIRCULAV PLUS</v>
      </c>
      <c r="L89" s="1" t="s">
        <v>234</v>
      </c>
      <c r="M89" s="1" t="str">
        <f>VLOOKUP(M87,LISTPROD[],3,FALSE)</f>
        <v>REUMAT - OFF</v>
      </c>
      <c r="N89" s="1"/>
      <c r="R89" s="1" t="s">
        <v>234</v>
      </c>
      <c r="S89" s="1" t="str">
        <f>VLOOKUP(S87,LISTPROD[],3,FALSE)</f>
        <v>BOTANPROS</v>
      </c>
      <c r="T89" s="1"/>
      <c r="V89" s="1" t="s">
        <v>234</v>
      </c>
      <c r="W89" s="1" t="str">
        <f>VLOOKUP(W87,LISTPROD[],3,FALSE)</f>
        <v>ENFERMEDADES DE LA MUJER</v>
      </c>
      <c r="X89" s="1"/>
      <c r="Z89" s="1" t="s">
        <v>240</v>
      </c>
      <c r="AA89" s="21"/>
      <c r="AB89" s="21"/>
      <c r="AD89" s="1" t="s">
        <v>234</v>
      </c>
      <c r="AE89" s="1" t="str">
        <f>VLOOKUP(AE87,LISTPROD[],3,FALSE)</f>
        <v>PROSTA PHARMA</v>
      </c>
      <c r="AF89" s="1"/>
      <c r="AH89" s="1" t="s">
        <v>234</v>
      </c>
      <c r="AI89" s="1" t="str">
        <f>VLOOKUP(AI87,LISTPROD[],3,FALSE)</f>
        <v>WILTRON</v>
      </c>
      <c r="AJ89" s="1"/>
      <c r="AL89" s="1" t="s">
        <v>234</v>
      </c>
      <c r="AM89" s="1" t="e">
        <f>VLOOKUP(AM87,LISTPROD[],3,FALSE)</f>
        <v>#N/A</v>
      </c>
      <c r="AN89" s="1"/>
      <c r="AR89" s="1" t="s">
        <v>234</v>
      </c>
      <c r="AS89" s="1"/>
      <c r="AT89" s="1" t="str">
        <f>VLOOKUP(AT87,LISTPROD[],3,FALSE)</f>
        <v>ESTRELLA DE BELEN Gotas Orales</v>
      </c>
      <c r="AY89" s="1" t="s">
        <v>234</v>
      </c>
      <c r="AZ89" s="1"/>
      <c r="BA89" s="1" t="str">
        <f>VLOOKUP(BA87,LISTPROD[],3,FALSE)</f>
        <v>PASSIFLORA Gotas Orales</v>
      </c>
      <c r="BB89" s="37"/>
      <c r="BC89" s="37"/>
    </row>
    <row r="90" spans="1:55" x14ac:dyDescent="0.25">
      <c r="A90" s="1" t="s">
        <v>239</v>
      </c>
      <c r="B90" s="21"/>
      <c r="C90" s="21"/>
      <c r="G90" s="1" t="s">
        <v>239</v>
      </c>
      <c r="H90" s="21"/>
      <c r="L90" s="1" t="s">
        <v>239</v>
      </c>
      <c r="M90" s="21"/>
      <c r="N90" s="21"/>
      <c r="R90" s="1" t="s">
        <v>239</v>
      </c>
      <c r="S90" s="21"/>
      <c r="T90" s="21"/>
      <c r="V90" s="1" t="s">
        <v>239</v>
      </c>
      <c r="W90" s="21"/>
      <c r="X90" s="21"/>
      <c r="Z90" s="1" t="s">
        <v>238</v>
      </c>
      <c r="AA90" s="21"/>
      <c r="AB90" s="21"/>
      <c r="AD90" s="1" t="s">
        <v>239</v>
      </c>
      <c r="AE90" s="21"/>
      <c r="AF90" s="21"/>
      <c r="AH90" s="1" t="s">
        <v>239</v>
      </c>
      <c r="AI90" s="21"/>
      <c r="AJ90" s="21"/>
      <c r="AL90" s="1" t="s">
        <v>239</v>
      </c>
      <c r="AM90" s="21"/>
      <c r="AN90" s="21"/>
      <c r="AR90" s="1" t="s">
        <v>239</v>
      </c>
      <c r="AS90" s="1"/>
      <c r="AT90" s="21"/>
      <c r="AY90" s="1" t="s">
        <v>239</v>
      </c>
      <c r="AZ90" s="1"/>
      <c r="BA90" s="21"/>
      <c r="BB90" s="37"/>
      <c r="BC90" s="37"/>
    </row>
    <row r="91" spans="1:55" x14ac:dyDescent="0.25">
      <c r="A91" s="1" t="s">
        <v>240</v>
      </c>
      <c r="B91" s="21"/>
      <c r="C91" s="21"/>
      <c r="G91" s="1" t="s">
        <v>240</v>
      </c>
      <c r="H91" s="21"/>
      <c r="L91" s="1" t="s">
        <v>240</v>
      </c>
      <c r="M91" s="21"/>
      <c r="N91" s="21"/>
      <c r="R91" s="1" t="s">
        <v>240</v>
      </c>
      <c r="S91" s="21"/>
      <c r="T91" s="21"/>
      <c r="V91" s="1" t="s">
        <v>240</v>
      </c>
      <c r="W91" s="21"/>
      <c r="X91" s="21"/>
      <c r="Z91" s="23" t="s">
        <v>1</v>
      </c>
      <c r="AA91" s="23" t="s">
        <v>322</v>
      </c>
      <c r="AB91" s="38" t="s">
        <v>2</v>
      </c>
      <c r="AD91" s="1" t="s">
        <v>240</v>
      </c>
      <c r="AE91" s="21"/>
      <c r="AF91" s="21"/>
      <c r="AH91" s="1" t="s">
        <v>240</v>
      </c>
      <c r="AI91" s="21"/>
      <c r="AJ91" s="21"/>
      <c r="AL91" s="1" t="s">
        <v>240</v>
      </c>
      <c r="AM91" s="21"/>
      <c r="AN91" s="21"/>
      <c r="AR91" s="1" t="s">
        <v>240</v>
      </c>
      <c r="AS91" s="1"/>
      <c r="AT91" s="21"/>
      <c r="AY91" s="1" t="s">
        <v>240</v>
      </c>
      <c r="AZ91" s="1"/>
      <c r="BA91" s="21"/>
      <c r="BB91" s="37"/>
      <c r="BC91" s="37"/>
    </row>
    <row r="92" spans="1:55" x14ac:dyDescent="0.25">
      <c r="A92" s="1" t="s">
        <v>238</v>
      </c>
      <c r="B92" s="21"/>
      <c r="C92" s="21"/>
      <c r="G92" s="1" t="s">
        <v>238</v>
      </c>
      <c r="H92" s="21"/>
      <c r="L92" s="1" t="s">
        <v>238</v>
      </c>
      <c r="M92" s="21"/>
      <c r="N92" s="21"/>
      <c r="R92" s="1" t="s">
        <v>238</v>
      </c>
      <c r="S92" s="21"/>
      <c r="T92" s="21"/>
      <c r="V92" s="1" t="s">
        <v>238</v>
      </c>
      <c r="W92" s="21"/>
      <c r="X92" s="21"/>
      <c r="Z92" s="24"/>
      <c r="AA92" s="24"/>
      <c r="AD92" s="1" t="s">
        <v>238</v>
      </c>
      <c r="AE92" s="21"/>
      <c r="AF92" s="21"/>
      <c r="AH92" s="1" t="s">
        <v>238</v>
      </c>
      <c r="AI92" s="21"/>
      <c r="AJ92" s="21"/>
      <c r="AL92" s="1" t="s">
        <v>238</v>
      </c>
      <c r="AM92" s="21"/>
      <c r="AN92" s="21"/>
      <c r="AR92" s="1" t="s">
        <v>238</v>
      </c>
      <c r="AS92" s="1"/>
      <c r="AT92" s="21"/>
      <c r="AY92" s="1" t="s">
        <v>238</v>
      </c>
      <c r="AZ92" s="1"/>
      <c r="BA92" s="21"/>
      <c r="BB92" s="37"/>
      <c r="BC92" s="37"/>
    </row>
    <row r="93" spans="1:55" x14ac:dyDescent="0.25">
      <c r="A93" s="25" t="s">
        <v>1</v>
      </c>
      <c r="B93" s="23" t="s">
        <v>322</v>
      </c>
      <c r="C93" s="38" t="s">
        <v>2</v>
      </c>
      <c r="G93" s="25" t="s">
        <v>1</v>
      </c>
      <c r="H93" s="23" t="s">
        <v>322</v>
      </c>
      <c r="I93" s="38" t="s">
        <v>2</v>
      </c>
      <c r="L93" s="25" t="s">
        <v>1</v>
      </c>
      <c r="M93" s="23" t="s">
        <v>322</v>
      </c>
      <c r="N93" s="38" t="s">
        <v>2</v>
      </c>
      <c r="R93" s="23" t="s">
        <v>1</v>
      </c>
      <c r="S93" s="23" t="s">
        <v>322</v>
      </c>
      <c r="T93" s="38" t="s">
        <v>2</v>
      </c>
      <c r="V93" s="23" t="s">
        <v>1</v>
      </c>
      <c r="W93" s="23" t="s">
        <v>322</v>
      </c>
      <c r="X93" s="38" t="s">
        <v>2</v>
      </c>
      <c r="Z93" s="24"/>
      <c r="AA93" s="24"/>
      <c r="AD93" s="23" t="s">
        <v>1</v>
      </c>
      <c r="AE93" s="23" t="s">
        <v>322</v>
      </c>
      <c r="AF93" s="38" t="s">
        <v>2</v>
      </c>
      <c r="AH93" s="23" t="s">
        <v>1</v>
      </c>
      <c r="AI93" s="23" t="s">
        <v>322</v>
      </c>
      <c r="AJ93" s="38" t="s">
        <v>2</v>
      </c>
      <c r="AL93" s="23" t="s">
        <v>1</v>
      </c>
      <c r="AM93" s="23" t="s">
        <v>2</v>
      </c>
      <c r="AN93" s="23"/>
      <c r="AR93" s="23" t="s">
        <v>1</v>
      </c>
      <c r="AS93" s="23"/>
      <c r="AT93" s="23" t="s">
        <v>322</v>
      </c>
      <c r="AU93" s="38" t="s">
        <v>2</v>
      </c>
      <c r="AV93" s="95"/>
      <c r="AW93" s="95"/>
      <c r="AY93" s="23" t="s">
        <v>1</v>
      </c>
      <c r="AZ93" s="23"/>
      <c r="BA93" s="23" t="s">
        <v>322</v>
      </c>
      <c r="BB93" s="73" t="s">
        <v>2</v>
      </c>
      <c r="BC93" s="95"/>
    </row>
    <row r="94" spans="1:55" x14ac:dyDescent="0.25">
      <c r="A94" s="24" t="s">
        <v>252</v>
      </c>
      <c r="B94" s="24">
        <v>600</v>
      </c>
      <c r="G94" s="24" t="s">
        <v>252</v>
      </c>
      <c r="H94" s="24">
        <v>600</v>
      </c>
      <c r="L94" s="24" t="s">
        <v>272</v>
      </c>
      <c r="M94" s="24">
        <v>7000</v>
      </c>
      <c r="R94" s="24" t="s">
        <v>252</v>
      </c>
      <c r="S94" s="24">
        <v>600</v>
      </c>
      <c r="V94" s="24" t="s">
        <v>252</v>
      </c>
      <c r="W94" s="24">
        <v>600</v>
      </c>
      <c r="Z94" s="24"/>
      <c r="AA94" s="24"/>
      <c r="AD94" s="24" t="s">
        <v>252</v>
      </c>
      <c r="AE94" s="24">
        <v>600</v>
      </c>
      <c r="AH94" s="24" t="s">
        <v>252</v>
      </c>
      <c r="AI94" s="24">
        <v>600</v>
      </c>
      <c r="AL94" s="24"/>
      <c r="AM94" s="24"/>
      <c r="AR94" s="24"/>
      <c r="AS94" s="24"/>
      <c r="AT94" s="74"/>
      <c r="AU94" s="39"/>
      <c r="AV94" s="97"/>
      <c r="AW94" s="97"/>
      <c r="AY94" s="36"/>
      <c r="AZ94" s="36"/>
      <c r="BA94" s="74"/>
      <c r="BB94" s="39"/>
      <c r="BC94" s="97"/>
    </row>
    <row r="95" spans="1:55" x14ac:dyDescent="0.25">
      <c r="A95" s="24" t="s">
        <v>243</v>
      </c>
      <c r="B95" s="24">
        <v>500</v>
      </c>
      <c r="G95" s="24" t="s">
        <v>243</v>
      </c>
      <c r="H95" s="24">
        <v>550</v>
      </c>
      <c r="L95" s="24" t="s">
        <v>244</v>
      </c>
      <c r="M95" s="24">
        <v>300</v>
      </c>
      <c r="R95" s="24" t="s">
        <v>243</v>
      </c>
      <c r="S95" s="24">
        <v>500</v>
      </c>
      <c r="V95" s="24" t="s">
        <v>244</v>
      </c>
      <c r="W95" s="24">
        <v>200</v>
      </c>
      <c r="Z95" s="24"/>
      <c r="AA95" s="24"/>
      <c r="AD95" s="24" t="s">
        <v>244</v>
      </c>
      <c r="AE95" s="24">
        <v>200</v>
      </c>
      <c r="AH95" s="24" t="s">
        <v>244</v>
      </c>
      <c r="AI95" s="24">
        <v>200</v>
      </c>
      <c r="AL95" s="24"/>
      <c r="AM95" s="24"/>
      <c r="AR95" s="24"/>
      <c r="AS95" s="24"/>
      <c r="AT95" s="74"/>
      <c r="AU95" s="39"/>
      <c r="AV95" s="97"/>
      <c r="AW95" s="97"/>
      <c r="AY95" s="36"/>
      <c r="AZ95" s="36"/>
      <c r="BA95" s="74"/>
      <c r="BB95" s="39"/>
      <c r="BC95" s="97"/>
    </row>
    <row r="96" spans="1:55" x14ac:dyDescent="0.25">
      <c r="A96" s="24" t="s">
        <v>244</v>
      </c>
      <c r="B96" s="24">
        <v>200</v>
      </c>
      <c r="G96" s="24" t="s">
        <v>244</v>
      </c>
      <c r="H96" s="24">
        <v>200</v>
      </c>
      <c r="L96" s="24" t="s">
        <v>252</v>
      </c>
      <c r="M96" s="24">
        <v>400</v>
      </c>
      <c r="R96" s="24" t="s">
        <v>244</v>
      </c>
      <c r="S96" s="24">
        <v>200</v>
      </c>
      <c r="V96" s="24" t="s">
        <v>243</v>
      </c>
      <c r="W96" s="24">
        <v>300</v>
      </c>
      <c r="Z96" s="24"/>
      <c r="AA96" s="24"/>
      <c r="AD96" s="24" t="s">
        <v>243</v>
      </c>
      <c r="AE96" s="24">
        <v>1000</v>
      </c>
      <c r="AH96" s="24" t="s">
        <v>243</v>
      </c>
      <c r="AI96" s="24">
        <v>1000</v>
      </c>
      <c r="AL96" s="24"/>
      <c r="AM96" s="24"/>
      <c r="AR96" s="24"/>
      <c r="AS96" s="24"/>
      <c r="AT96" s="74"/>
      <c r="AU96" s="39"/>
      <c r="AV96" s="97"/>
      <c r="AW96" s="97"/>
      <c r="AY96" s="36"/>
      <c r="AZ96" s="36"/>
      <c r="BA96" s="74"/>
      <c r="BB96" s="39"/>
      <c r="BC96" s="97"/>
    </row>
    <row r="97" spans="1:55" x14ac:dyDescent="0.25">
      <c r="A97" s="24" t="s">
        <v>270</v>
      </c>
      <c r="B97" s="24">
        <v>200</v>
      </c>
      <c r="G97" s="24" t="s">
        <v>248</v>
      </c>
      <c r="H97" s="24">
        <v>900</v>
      </c>
      <c r="L97" s="24" t="s">
        <v>262</v>
      </c>
      <c r="M97" s="24">
        <v>200</v>
      </c>
      <c r="R97" s="24" t="s">
        <v>254</v>
      </c>
      <c r="S97" s="24">
        <v>900</v>
      </c>
      <c r="V97" s="24" t="s">
        <v>251</v>
      </c>
      <c r="W97" s="24">
        <v>150</v>
      </c>
      <c r="Z97" s="24"/>
      <c r="AA97" s="24"/>
      <c r="AD97" s="24" t="s">
        <v>251</v>
      </c>
      <c r="AE97" s="24">
        <v>150</v>
      </c>
      <c r="AH97" s="24" t="s">
        <v>268</v>
      </c>
      <c r="AI97" s="24">
        <v>1000</v>
      </c>
      <c r="AL97" s="24"/>
      <c r="AM97" s="24"/>
      <c r="AR97" s="24"/>
      <c r="AS97" s="24"/>
      <c r="AT97" s="74"/>
      <c r="AU97" s="39"/>
      <c r="AV97" s="97"/>
      <c r="AW97" s="97"/>
      <c r="AY97" s="36"/>
      <c r="AZ97" s="36"/>
      <c r="BA97" s="24"/>
      <c r="BB97" s="39"/>
      <c r="BC97" s="97"/>
    </row>
    <row r="98" spans="1:55" x14ac:dyDescent="0.25">
      <c r="A98" s="24" t="s">
        <v>246</v>
      </c>
      <c r="B98" s="24">
        <v>38</v>
      </c>
      <c r="G98" s="24" t="s">
        <v>262</v>
      </c>
      <c r="H98" s="24">
        <v>100</v>
      </c>
      <c r="L98" s="24" t="s">
        <v>248</v>
      </c>
      <c r="M98" s="24">
        <v>700</v>
      </c>
      <c r="R98" s="24" t="s">
        <v>245</v>
      </c>
      <c r="S98" s="24">
        <v>100</v>
      </c>
      <c r="V98" s="24" t="s">
        <v>254</v>
      </c>
      <c r="W98" s="24">
        <v>900</v>
      </c>
      <c r="Z98" s="24"/>
      <c r="AA98" s="24"/>
      <c r="AD98" s="24" t="s">
        <v>254</v>
      </c>
      <c r="AE98" s="24">
        <v>900</v>
      </c>
      <c r="AH98" s="24" t="s">
        <v>248</v>
      </c>
      <c r="AI98" s="24">
        <v>800</v>
      </c>
      <c r="AL98" s="24"/>
      <c r="AM98" s="24"/>
      <c r="AR98" s="24"/>
      <c r="AS98" s="24"/>
      <c r="AT98" s="74"/>
      <c r="AU98" s="39"/>
      <c r="AV98" s="97"/>
      <c r="AW98" s="97"/>
      <c r="AY98" s="36"/>
      <c r="AZ98" s="36"/>
      <c r="BA98" s="24"/>
      <c r="BB98" s="39"/>
      <c r="BC98" s="97"/>
    </row>
    <row r="99" spans="1:55" x14ac:dyDescent="0.25">
      <c r="A99" s="24" t="s">
        <v>248</v>
      </c>
      <c r="B99" s="24">
        <v>800</v>
      </c>
      <c r="G99" s="24" t="s">
        <v>246</v>
      </c>
      <c r="H99" s="24">
        <v>25</v>
      </c>
      <c r="L99" s="24" t="s">
        <v>246</v>
      </c>
      <c r="M99" s="24">
        <v>68</v>
      </c>
      <c r="R99" s="24" t="s">
        <v>246</v>
      </c>
      <c r="S99" s="24">
        <v>20</v>
      </c>
      <c r="V99" s="24" t="s">
        <v>259</v>
      </c>
      <c r="W99" s="24">
        <v>20</v>
      </c>
      <c r="Z99" s="24"/>
      <c r="AA99" s="24"/>
      <c r="AD99" s="24" t="s">
        <v>246</v>
      </c>
      <c r="AE99" s="24">
        <v>20</v>
      </c>
      <c r="AH99" s="24" t="s">
        <v>262</v>
      </c>
      <c r="AI99" s="24">
        <v>100</v>
      </c>
      <c r="AL99" s="24"/>
      <c r="AM99" s="24"/>
      <c r="AR99" s="24"/>
      <c r="AS99" s="24"/>
      <c r="AT99" s="74"/>
      <c r="AU99" s="39"/>
      <c r="AV99" s="97"/>
      <c r="AW99" s="97"/>
      <c r="AY99" s="36"/>
      <c r="AZ99" s="36"/>
      <c r="BA99" s="24"/>
      <c r="BB99" s="39"/>
      <c r="BC99" s="97"/>
    </row>
    <row r="100" spans="1:55" x14ac:dyDescent="0.25">
      <c r="A100" s="24" t="s">
        <v>271</v>
      </c>
      <c r="B100" s="24"/>
      <c r="G100" s="24"/>
      <c r="H100" s="24"/>
      <c r="L100" s="24" t="s">
        <v>271</v>
      </c>
      <c r="M100" s="24"/>
      <c r="R100" s="24" t="s">
        <v>247</v>
      </c>
      <c r="S100" s="24"/>
      <c r="V100" s="24" t="s">
        <v>269</v>
      </c>
      <c r="W100" s="24">
        <v>400</v>
      </c>
      <c r="AD100" s="24" t="s">
        <v>262</v>
      </c>
      <c r="AE100" s="24">
        <v>100</v>
      </c>
      <c r="AH100" s="24" t="s">
        <v>269</v>
      </c>
      <c r="AI100" s="24">
        <v>300</v>
      </c>
      <c r="AL100" s="24"/>
      <c r="AM100" s="24"/>
      <c r="AR100" s="24"/>
      <c r="AS100" s="92"/>
      <c r="AT100" s="75"/>
      <c r="AU100" s="39"/>
      <c r="AV100" s="97"/>
      <c r="AW100" s="97"/>
      <c r="AY100" s="36"/>
      <c r="AZ100" s="36"/>
      <c r="BA100" s="24"/>
      <c r="BB100" s="39"/>
      <c r="BC100" s="97"/>
    </row>
    <row r="101" spans="1:55" x14ac:dyDescent="0.25">
      <c r="A101" s="24"/>
      <c r="B101" s="24"/>
      <c r="G101" s="24"/>
      <c r="H101" s="24"/>
      <c r="L101" s="24"/>
      <c r="M101" s="24"/>
      <c r="R101" s="24"/>
      <c r="S101" s="24"/>
      <c r="V101" s="24" t="s">
        <v>247</v>
      </c>
      <c r="W101" s="24"/>
      <c r="AD101" s="24" t="s">
        <v>247</v>
      </c>
      <c r="AE101" s="24"/>
      <c r="AH101" s="24" t="s">
        <v>246</v>
      </c>
      <c r="AI101" s="24">
        <v>60</v>
      </c>
      <c r="AL101" s="24"/>
      <c r="AM101" s="24"/>
      <c r="AR101" s="24"/>
      <c r="AS101" s="28"/>
      <c r="AT101" s="28"/>
      <c r="AU101" s="40"/>
      <c r="AY101" s="36"/>
      <c r="AZ101" s="36"/>
      <c r="BA101" s="24"/>
      <c r="BB101" s="40"/>
      <c r="BC101" s="37"/>
    </row>
    <row r="102" spans="1:55" x14ac:dyDescent="0.25">
      <c r="AH102" s="24" t="s">
        <v>247</v>
      </c>
      <c r="AI102" s="24"/>
    </row>
    <row r="105" spans="1:55" x14ac:dyDescent="0.25">
      <c r="Z105" s="1" t="s">
        <v>61</v>
      </c>
      <c r="AA105" s="1" t="s">
        <v>150</v>
      </c>
      <c r="AB105" s="1"/>
    </row>
    <row r="106" spans="1:55" x14ac:dyDescent="0.25">
      <c r="Z106" s="1"/>
      <c r="AA106" s="1"/>
      <c r="AB106" s="1"/>
    </row>
    <row r="107" spans="1:55" x14ac:dyDescent="0.25">
      <c r="Z107" s="1"/>
      <c r="AA107" s="1"/>
      <c r="AB107" s="1"/>
    </row>
    <row r="108" spans="1:55" x14ac:dyDescent="0.25">
      <c r="Z108" s="1"/>
      <c r="AA108" s="1"/>
      <c r="AB108" s="1"/>
    </row>
    <row r="109" spans="1:55" x14ac:dyDescent="0.25">
      <c r="Z109" s="1"/>
      <c r="AA109" s="1"/>
      <c r="AB109" s="1"/>
    </row>
    <row r="110" spans="1:55" x14ac:dyDescent="0.25">
      <c r="Z110" s="1"/>
      <c r="AA110" s="1"/>
      <c r="AB110" s="1"/>
    </row>
    <row r="111" spans="1:55" x14ac:dyDescent="0.25">
      <c r="A111" s="1" t="s">
        <v>61</v>
      </c>
      <c r="B111" s="1" t="s">
        <v>148</v>
      </c>
      <c r="C111" s="1"/>
      <c r="G111" s="1" t="s">
        <v>61</v>
      </c>
      <c r="H111" s="1" t="s">
        <v>110</v>
      </c>
      <c r="L111" s="1" t="s">
        <v>61</v>
      </c>
      <c r="M111" s="1" t="s">
        <v>192</v>
      </c>
      <c r="N111" s="1"/>
      <c r="R111" s="1" t="s">
        <v>61</v>
      </c>
      <c r="S111" s="1" t="s">
        <v>94</v>
      </c>
      <c r="T111" s="1"/>
      <c r="V111" s="1" t="s">
        <v>61</v>
      </c>
      <c r="W111" s="1" t="s">
        <v>119</v>
      </c>
      <c r="X111" s="1"/>
      <c r="Z111" s="1" t="s">
        <v>62</v>
      </c>
      <c r="AA111" s="1" t="str">
        <f>VLOOKUP(AA105,LISTPROD[],2,FALSE)</f>
        <v>LIMPIEZA CHINA</v>
      </c>
      <c r="AB111" s="1"/>
      <c r="AD111" s="1" t="s">
        <v>61</v>
      </c>
      <c r="AE111" s="1" t="s">
        <v>182</v>
      </c>
      <c r="AF111" s="1"/>
      <c r="AH111" s="1" t="s">
        <v>61</v>
      </c>
      <c r="AI111" s="1" t="s">
        <v>218</v>
      </c>
      <c r="AJ111" s="1"/>
      <c r="AL111" s="1" t="s">
        <v>61</v>
      </c>
      <c r="AM111" s="1"/>
      <c r="AN111" s="1"/>
      <c r="AR111" s="1" t="s">
        <v>61</v>
      </c>
      <c r="AS111" s="1"/>
      <c r="AT111" s="1" t="s">
        <v>351</v>
      </c>
      <c r="AY111" s="1" t="s">
        <v>61</v>
      </c>
      <c r="AZ111" s="1"/>
      <c r="BA111" s="1" t="s">
        <v>353</v>
      </c>
      <c r="BB111" s="37"/>
      <c r="BC111" s="37"/>
    </row>
    <row r="112" spans="1:55" x14ac:dyDescent="0.25">
      <c r="A112" s="1" t="s">
        <v>62</v>
      </c>
      <c r="B112" s="1" t="str">
        <f>VLOOKUP(B111,LISTPROD[],2,FALSE)</f>
        <v>KOLOSAN</v>
      </c>
      <c r="C112" s="1"/>
      <c r="G112" s="1" t="s">
        <v>62</v>
      </c>
      <c r="H112" s="1" t="str">
        <f>VLOOKUP(H111,LISTPROD[],2,FALSE)</f>
        <v>CONCENTRADO DE PLANTAS CUBANA</v>
      </c>
      <c r="L112" s="1" t="s">
        <v>62</v>
      </c>
      <c r="M112" s="1" t="str">
        <f>VLOOKUP(M111,LISTPROD[],2,FALSE)</f>
        <v>SAW PALMETO (Capsulas)</v>
      </c>
      <c r="N112" s="1"/>
      <c r="R112" s="1" t="s">
        <v>62</v>
      </c>
      <c r="S112" s="1" t="str">
        <f>VLOOKUP(S111,LISTPROD[],2,FALSE)</f>
        <v>CARTILAGO DE TIBURON</v>
      </c>
      <c r="T112" s="1"/>
      <c r="V112" s="1" t="s">
        <v>62</v>
      </c>
      <c r="W112" s="1" t="str">
        <f>VLOOKUP(W111,LISTPROD[],2,FALSE)</f>
        <v>ERECMAX</v>
      </c>
      <c r="X112" s="1"/>
      <c r="Z112" s="1" t="s">
        <v>234</v>
      </c>
      <c r="AA112" s="1" t="str">
        <f>VLOOKUP(AA105,LISTPROD[],3,FALSE)</f>
        <v>LIMPIEZA CHINA</v>
      </c>
      <c r="AB112" s="1"/>
      <c r="AD112" s="1" t="s">
        <v>62</v>
      </c>
      <c r="AE112" s="1" t="str">
        <f>VLOOKUP(AE111,LISTPROD[],2,FALSE)</f>
        <v>RENAL PLUS</v>
      </c>
      <c r="AF112" s="1"/>
      <c r="AH112" s="1" t="s">
        <v>62</v>
      </c>
      <c r="AI112" s="1" t="str">
        <f>VLOOKUP(AI111,LISTPROD[],2,FALSE)</f>
        <v>ZARZAPARILLA</v>
      </c>
      <c r="AJ112" s="1"/>
      <c r="AL112" s="1" t="s">
        <v>62</v>
      </c>
      <c r="AM112" s="1" t="e">
        <f>VLOOKUP(AM111,LISTPROD[],2,FALSE)</f>
        <v>#N/A</v>
      </c>
      <c r="AN112" s="1"/>
      <c r="AR112" s="1" t="s">
        <v>62</v>
      </c>
      <c r="AS112" s="1"/>
      <c r="AT112" s="1" t="str">
        <f>VLOOKUP(AT111,LISTPROD[],2,FALSE)</f>
        <v>FUMARIA (Gotas)</v>
      </c>
      <c r="AY112" s="1" t="s">
        <v>62</v>
      </c>
      <c r="AZ112" s="1"/>
      <c r="BA112" s="1" t="str">
        <f>VLOOKUP(BA111,LISTPROD[],2,FALSE)</f>
        <v>MELENA DE LEON (Gotas)</v>
      </c>
      <c r="BB112" s="37"/>
      <c r="BC112" s="37"/>
    </row>
    <row r="113" spans="1:55" x14ac:dyDescent="0.25">
      <c r="A113" s="1" t="s">
        <v>234</v>
      </c>
      <c r="B113" s="1" t="str">
        <f>VLOOKUP(B111,LISTPROD[],3,FALSE)</f>
        <v>KOLOSAN</v>
      </c>
      <c r="C113" s="1"/>
      <c r="G113" s="1" t="s">
        <v>234</v>
      </c>
      <c r="H113" s="1" t="str">
        <f>VLOOKUP(H111,LISTPROD[],3,FALSE)</f>
        <v>GINSENG-Esencia FLoral  500 ml</v>
      </c>
      <c r="L113" s="1" t="s">
        <v>234</v>
      </c>
      <c r="M113" s="1" t="str">
        <f>VLOOKUP(M111,LISTPROD[],3,FALSE)</f>
        <v xml:space="preserve">SAW PALMETTO </v>
      </c>
      <c r="N113" s="1"/>
      <c r="R113" s="1" t="s">
        <v>234</v>
      </c>
      <c r="S113" s="1" t="str">
        <f>VLOOKUP(S111,LISTPROD[],3,FALSE)</f>
        <v>CARTILAGO DE TIBURON</v>
      </c>
      <c r="T113" s="1"/>
      <c r="V113" s="1" t="s">
        <v>234</v>
      </c>
      <c r="W113" s="1" t="str">
        <f>VLOOKUP(W111,LISTPROD[],3,FALSE)</f>
        <v>ERECMAX</v>
      </c>
      <c r="X113" s="1"/>
      <c r="Z113" s="1" t="s">
        <v>239</v>
      </c>
      <c r="AA113" s="21"/>
      <c r="AB113" s="21"/>
      <c r="AD113" s="1" t="s">
        <v>234</v>
      </c>
      <c r="AE113" s="1" t="str">
        <f>VLOOKUP(AE111,LISTPROD[],3,FALSE)</f>
        <v>RENAL PLUS</v>
      </c>
      <c r="AF113" s="1"/>
      <c r="AH113" s="1" t="s">
        <v>234</v>
      </c>
      <c r="AI113" s="1" t="str">
        <f>VLOOKUP(AI111,LISTPROD[],3,FALSE)</f>
        <v>ZARZAPARILLA</v>
      </c>
      <c r="AJ113" s="1"/>
      <c r="AL113" s="1" t="s">
        <v>234</v>
      </c>
      <c r="AM113" s="1" t="e">
        <f>VLOOKUP(AM111,LISTPROD[],3,FALSE)</f>
        <v>#N/A</v>
      </c>
      <c r="AN113" s="1"/>
      <c r="AR113" s="1" t="s">
        <v>234</v>
      </c>
      <c r="AS113" s="1"/>
      <c r="AT113" s="1" t="str">
        <f>VLOOKUP(AT111,LISTPROD[],3,FALSE)</f>
        <v>FUMARIA  Gotas Orales</v>
      </c>
      <c r="AY113" s="1" t="s">
        <v>234</v>
      </c>
      <c r="AZ113" s="1"/>
      <c r="BA113" s="1" t="str">
        <f>VLOOKUP(BA111,LISTPROD[],3,FALSE)</f>
        <v>MELENA DE LEON Gotas Orales</v>
      </c>
      <c r="BB113" s="37"/>
      <c r="BC113" s="37"/>
    </row>
    <row r="114" spans="1:55" x14ac:dyDescent="0.25">
      <c r="A114" s="1" t="s">
        <v>239</v>
      </c>
      <c r="B114" s="21"/>
      <c r="C114" s="21"/>
      <c r="G114" s="1" t="s">
        <v>239</v>
      </c>
      <c r="H114" s="21"/>
      <c r="L114" s="1" t="s">
        <v>239</v>
      </c>
      <c r="M114" s="21"/>
      <c r="N114" s="21"/>
      <c r="R114" s="1" t="s">
        <v>239</v>
      </c>
      <c r="S114" s="21"/>
      <c r="T114" s="21"/>
      <c r="V114" s="1" t="s">
        <v>239</v>
      </c>
      <c r="W114" s="21"/>
      <c r="X114" s="21"/>
      <c r="Z114" s="1" t="s">
        <v>240</v>
      </c>
      <c r="AA114" s="21"/>
      <c r="AB114" s="21"/>
      <c r="AD114" s="1" t="s">
        <v>239</v>
      </c>
      <c r="AE114" s="21"/>
      <c r="AF114" s="21"/>
      <c r="AH114" s="1" t="s">
        <v>239</v>
      </c>
      <c r="AI114" s="21"/>
      <c r="AJ114" s="21"/>
      <c r="AL114" s="1" t="s">
        <v>239</v>
      </c>
      <c r="AM114" s="21"/>
      <c r="AN114" s="21"/>
      <c r="AR114" s="1" t="s">
        <v>239</v>
      </c>
      <c r="AS114" s="1"/>
      <c r="AT114" s="21"/>
      <c r="AY114" s="1" t="s">
        <v>239</v>
      </c>
      <c r="AZ114" s="1"/>
      <c r="BA114" s="21"/>
      <c r="BB114" s="37"/>
      <c r="BC114" s="37"/>
    </row>
    <row r="115" spans="1:55" x14ac:dyDescent="0.25">
      <c r="A115" s="1" t="s">
        <v>240</v>
      </c>
      <c r="B115" s="21"/>
      <c r="C115" s="21"/>
      <c r="G115" s="1" t="s">
        <v>240</v>
      </c>
      <c r="H115" s="21"/>
      <c r="L115" s="1" t="s">
        <v>240</v>
      </c>
      <c r="M115" s="21"/>
      <c r="N115" s="21"/>
      <c r="R115" s="1" t="s">
        <v>240</v>
      </c>
      <c r="S115" s="21"/>
      <c r="T115" s="21"/>
      <c r="V115" s="1" t="s">
        <v>240</v>
      </c>
      <c r="W115" s="21"/>
      <c r="X115" s="21"/>
      <c r="Z115" s="1" t="s">
        <v>238</v>
      </c>
      <c r="AA115" s="21"/>
      <c r="AB115" s="21"/>
      <c r="AD115" s="1" t="s">
        <v>240</v>
      </c>
      <c r="AE115" s="21"/>
      <c r="AF115" s="21"/>
      <c r="AH115" s="1" t="s">
        <v>240</v>
      </c>
      <c r="AI115" s="21"/>
      <c r="AJ115" s="21"/>
      <c r="AL115" s="1" t="s">
        <v>240</v>
      </c>
      <c r="AM115" s="21"/>
      <c r="AN115" s="21"/>
      <c r="AR115" s="1" t="s">
        <v>240</v>
      </c>
      <c r="AS115" s="1"/>
      <c r="AT115" s="21"/>
      <c r="AY115" s="1" t="s">
        <v>240</v>
      </c>
      <c r="AZ115" s="1"/>
      <c r="BA115" s="21"/>
      <c r="BB115" s="37"/>
      <c r="BC115" s="37"/>
    </row>
    <row r="116" spans="1:55" x14ac:dyDescent="0.25">
      <c r="A116" s="1" t="s">
        <v>238</v>
      </c>
      <c r="B116" s="21"/>
      <c r="C116" s="21"/>
      <c r="G116" s="1" t="s">
        <v>238</v>
      </c>
      <c r="H116" s="21"/>
      <c r="L116" s="1" t="s">
        <v>238</v>
      </c>
      <c r="M116" s="21"/>
      <c r="N116" s="21"/>
      <c r="R116" s="1" t="s">
        <v>238</v>
      </c>
      <c r="S116" s="21"/>
      <c r="T116" s="21"/>
      <c r="V116" s="1" t="s">
        <v>238</v>
      </c>
      <c r="W116" s="21"/>
      <c r="X116" s="21"/>
      <c r="Z116" s="23" t="s">
        <v>1</v>
      </c>
      <c r="AA116" s="23" t="s">
        <v>322</v>
      </c>
      <c r="AB116" s="38" t="s">
        <v>2</v>
      </c>
      <c r="AD116" s="1" t="s">
        <v>238</v>
      </c>
      <c r="AE116" s="21"/>
      <c r="AF116" s="21"/>
      <c r="AH116" s="1" t="s">
        <v>238</v>
      </c>
      <c r="AI116" s="21"/>
      <c r="AJ116" s="21"/>
      <c r="AL116" s="1" t="s">
        <v>238</v>
      </c>
      <c r="AM116" s="21"/>
      <c r="AN116" s="21"/>
      <c r="AR116" s="1" t="s">
        <v>238</v>
      </c>
      <c r="AS116" s="1"/>
      <c r="AT116" s="21"/>
      <c r="AY116" s="1" t="s">
        <v>238</v>
      </c>
      <c r="AZ116" s="1"/>
      <c r="BA116" s="21"/>
      <c r="BB116" s="37"/>
      <c r="BC116" s="37"/>
    </row>
    <row r="117" spans="1:55" x14ac:dyDescent="0.25">
      <c r="A117" s="25" t="s">
        <v>1</v>
      </c>
      <c r="B117" s="23" t="s">
        <v>322</v>
      </c>
      <c r="C117" s="38" t="s">
        <v>2</v>
      </c>
      <c r="G117" s="25" t="s">
        <v>1</v>
      </c>
      <c r="H117" s="23" t="s">
        <v>322</v>
      </c>
      <c r="I117" s="38" t="s">
        <v>2</v>
      </c>
      <c r="L117" s="25" t="s">
        <v>1</v>
      </c>
      <c r="M117" s="23" t="s">
        <v>322</v>
      </c>
      <c r="N117" s="38" t="s">
        <v>2</v>
      </c>
      <c r="R117" s="23" t="s">
        <v>1</v>
      </c>
      <c r="S117" s="23" t="s">
        <v>322</v>
      </c>
      <c r="T117" s="38" t="s">
        <v>2</v>
      </c>
      <c r="V117" s="23" t="s">
        <v>1</v>
      </c>
      <c r="W117" s="23" t="s">
        <v>322</v>
      </c>
      <c r="X117" s="38" t="s">
        <v>2</v>
      </c>
      <c r="Z117" s="24" t="s">
        <v>252</v>
      </c>
      <c r="AA117" s="24">
        <v>600</v>
      </c>
      <c r="AD117" s="23" t="s">
        <v>1</v>
      </c>
      <c r="AE117" s="23" t="s">
        <v>322</v>
      </c>
      <c r="AF117" s="38" t="s">
        <v>2</v>
      </c>
      <c r="AH117" s="23" t="s">
        <v>1</v>
      </c>
      <c r="AI117" s="23" t="s">
        <v>322</v>
      </c>
      <c r="AJ117" s="38" t="s">
        <v>2</v>
      </c>
      <c r="AL117" s="23" t="s">
        <v>1</v>
      </c>
      <c r="AM117" s="23" t="s">
        <v>2</v>
      </c>
      <c r="AN117" s="23"/>
      <c r="AR117" s="23" t="s">
        <v>1</v>
      </c>
      <c r="AS117" s="23"/>
      <c r="AT117" s="23" t="s">
        <v>322</v>
      </c>
      <c r="AU117" s="38" t="s">
        <v>2</v>
      </c>
      <c r="AV117" s="95"/>
      <c r="AW117" s="95"/>
      <c r="AY117" s="23" t="s">
        <v>1</v>
      </c>
      <c r="AZ117" s="23"/>
      <c r="BA117" s="23" t="s">
        <v>322</v>
      </c>
      <c r="BB117" s="73" t="s">
        <v>2</v>
      </c>
      <c r="BC117" s="95"/>
    </row>
    <row r="118" spans="1:55" x14ac:dyDescent="0.25">
      <c r="A118" s="24"/>
      <c r="B118" s="24"/>
      <c r="G118" s="24" t="s">
        <v>252</v>
      </c>
      <c r="H118" s="24">
        <v>600</v>
      </c>
      <c r="L118" s="24"/>
      <c r="M118" s="24"/>
      <c r="R118" s="24" t="s">
        <v>272</v>
      </c>
      <c r="S118" s="24">
        <v>7000</v>
      </c>
      <c r="V118" s="24"/>
      <c r="W118" s="24"/>
      <c r="Z118" s="24" t="s">
        <v>243</v>
      </c>
      <c r="AA118" s="24">
        <v>550</v>
      </c>
      <c r="AD118" s="24" t="s">
        <v>252</v>
      </c>
      <c r="AE118" s="24">
        <v>600</v>
      </c>
      <c r="AH118" s="24"/>
      <c r="AI118" s="24"/>
      <c r="AL118" s="24"/>
      <c r="AM118" s="24"/>
      <c r="AR118" s="24"/>
      <c r="AS118" s="24"/>
      <c r="AT118" s="74"/>
      <c r="AU118" s="39"/>
      <c r="AV118" s="97"/>
      <c r="AW118" s="97"/>
      <c r="AY118" s="36"/>
      <c r="AZ118" s="36"/>
      <c r="BA118" s="74"/>
      <c r="BB118" s="39"/>
      <c r="BC118" s="97"/>
    </row>
    <row r="119" spans="1:55" x14ac:dyDescent="0.25">
      <c r="A119" s="24"/>
      <c r="B119" s="24"/>
      <c r="G119" s="24" t="s">
        <v>253</v>
      </c>
      <c r="H119" s="24">
        <v>500</v>
      </c>
      <c r="L119" s="24"/>
      <c r="M119" s="24"/>
      <c r="R119" s="24" t="s">
        <v>261</v>
      </c>
      <c r="S119" s="24">
        <v>300</v>
      </c>
      <c r="V119" s="24"/>
      <c r="W119" s="24"/>
      <c r="Z119" s="24" t="s">
        <v>244</v>
      </c>
      <c r="AA119" s="24">
        <v>200</v>
      </c>
      <c r="AD119" s="24" t="s">
        <v>261</v>
      </c>
      <c r="AE119" s="24">
        <v>200</v>
      </c>
      <c r="AH119" s="24"/>
      <c r="AI119" s="24"/>
      <c r="AL119" s="24"/>
      <c r="AM119" s="24"/>
      <c r="AR119" s="24"/>
      <c r="AS119" s="24"/>
      <c r="AT119" s="74"/>
      <c r="AU119" s="39"/>
      <c r="AV119" s="97"/>
      <c r="AW119" s="97"/>
      <c r="AY119" s="36"/>
      <c r="AZ119" s="36"/>
      <c r="BA119" s="74"/>
      <c r="BB119" s="39"/>
      <c r="BC119" s="97"/>
    </row>
    <row r="120" spans="1:55" x14ac:dyDescent="0.25">
      <c r="A120" s="24"/>
      <c r="B120" s="24"/>
      <c r="G120" s="24" t="s">
        <v>244</v>
      </c>
      <c r="H120" s="24">
        <v>200</v>
      </c>
      <c r="L120" s="24"/>
      <c r="M120" s="24"/>
      <c r="R120" s="24" t="s">
        <v>252</v>
      </c>
      <c r="S120" s="24">
        <v>408</v>
      </c>
      <c r="V120" s="24"/>
      <c r="W120" s="24"/>
      <c r="Z120" s="24" t="s">
        <v>248</v>
      </c>
      <c r="AA120" s="24">
        <v>900</v>
      </c>
      <c r="AD120" s="24" t="s">
        <v>253</v>
      </c>
      <c r="AE120" s="24">
        <v>1000</v>
      </c>
      <c r="AH120" s="24"/>
      <c r="AI120" s="24"/>
      <c r="AL120" s="24"/>
      <c r="AM120" s="24"/>
      <c r="AR120" s="24"/>
      <c r="AS120" s="24"/>
      <c r="AT120" s="74"/>
      <c r="AU120" s="39"/>
      <c r="AV120" s="97"/>
      <c r="AW120" s="97"/>
      <c r="AY120" s="36"/>
      <c r="AZ120" s="36"/>
      <c r="BA120" s="74"/>
      <c r="BB120" s="39"/>
      <c r="BC120" s="97"/>
    </row>
    <row r="121" spans="1:55" x14ac:dyDescent="0.25">
      <c r="A121" s="24"/>
      <c r="B121" s="24"/>
      <c r="G121" s="24" t="s">
        <v>254</v>
      </c>
      <c r="H121" s="24">
        <v>900</v>
      </c>
      <c r="L121" s="24"/>
      <c r="M121" s="24"/>
      <c r="R121" s="24" t="s">
        <v>296</v>
      </c>
      <c r="S121" s="24">
        <v>116</v>
      </c>
      <c r="V121" s="24"/>
      <c r="W121" s="24"/>
      <c r="Z121" s="24" t="s">
        <v>245</v>
      </c>
      <c r="AA121" s="24">
        <v>100</v>
      </c>
      <c r="AD121" s="24" t="s">
        <v>251</v>
      </c>
      <c r="AE121" s="24">
        <v>150</v>
      </c>
      <c r="AH121" s="24"/>
      <c r="AI121" s="24"/>
      <c r="AL121" s="24"/>
      <c r="AM121" s="24"/>
      <c r="AR121" s="24"/>
      <c r="AS121" s="24"/>
      <c r="AT121" s="74"/>
      <c r="AU121" s="39"/>
      <c r="AV121" s="97"/>
      <c r="AW121" s="97"/>
      <c r="AY121" s="36"/>
      <c r="AZ121" s="36"/>
      <c r="BA121" s="24"/>
      <c r="BB121" s="39"/>
      <c r="BC121" s="97"/>
    </row>
    <row r="122" spans="1:55" x14ac:dyDescent="0.25">
      <c r="A122" s="24"/>
      <c r="B122" s="24"/>
      <c r="G122" s="24" t="s">
        <v>245</v>
      </c>
      <c r="H122" s="24">
        <v>100</v>
      </c>
      <c r="L122" s="24"/>
      <c r="M122" s="24"/>
      <c r="R122" s="24" t="s">
        <v>254</v>
      </c>
      <c r="S122" s="24">
        <v>708</v>
      </c>
      <c r="V122" s="24"/>
      <c r="W122" s="24"/>
      <c r="Z122" s="24" t="s">
        <v>246</v>
      </c>
      <c r="AA122" s="24">
        <v>30</v>
      </c>
      <c r="AD122" s="24" t="s">
        <v>254</v>
      </c>
      <c r="AE122" s="24">
        <v>900</v>
      </c>
      <c r="AH122" s="24"/>
      <c r="AI122" s="24"/>
      <c r="AL122" s="24"/>
      <c r="AM122" s="24"/>
      <c r="AR122" s="24"/>
      <c r="AS122" s="24"/>
      <c r="AT122" s="74"/>
      <c r="AU122" s="39"/>
      <c r="AV122" s="97"/>
      <c r="AW122" s="97"/>
      <c r="AY122" s="36"/>
      <c r="AZ122" s="36"/>
      <c r="BA122" s="24"/>
      <c r="BB122" s="39"/>
      <c r="BC122" s="97"/>
    </row>
    <row r="123" spans="1:55" x14ac:dyDescent="0.25">
      <c r="A123" s="24"/>
      <c r="B123" s="24"/>
      <c r="G123" s="24" t="s">
        <v>246</v>
      </c>
      <c r="H123" s="24">
        <v>20</v>
      </c>
      <c r="L123" s="24"/>
      <c r="M123" s="24"/>
      <c r="R123" s="24" t="s">
        <v>297</v>
      </c>
      <c r="S123" s="24">
        <v>68</v>
      </c>
      <c r="V123" s="24"/>
      <c r="W123" s="24"/>
      <c r="Z123" s="24" t="s">
        <v>247</v>
      </c>
      <c r="AA123" s="24"/>
      <c r="AD123" s="24" t="s">
        <v>246</v>
      </c>
      <c r="AE123" s="24">
        <v>20</v>
      </c>
      <c r="AH123" s="24"/>
      <c r="AI123" s="24"/>
      <c r="AL123" s="24"/>
      <c r="AM123" s="24"/>
      <c r="AR123" s="24"/>
      <c r="AS123" s="24"/>
      <c r="AT123" s="74"/>
      <c r="AU123" s="39"/>
      <c r="AV123" s="97"/>
      <c r="AW123" s="97"/>
      <c r="AY123" s="36"/>
      <c r="AZ123" s="36"/>
      <c r="BA123" s="24"/>
      <c r="BB123" s="39"/>
      <c r="BC123" s="97"/>
    </row>
    <row r="124" spans="1:55" x14ac:dyDescent="0.25">
      <c r="A124" s="24"/>
      <c r="B124" s="24"/>
      <c r="G124" s="24" t="s">
        <v>247</v>
      </c>
      <c r="H124" s="24"/>
      <c r="L124" s="24"/>
      <c r="M124" s="24"/>
      <c r="R124" s="24" t="s">
        <v>247</v>
      </c>
      <c r="S124" s="24"/>
      <c r="V124" s="24"/>
      <c r="W124" s="24"/>
      <c r="Z124" s="24"/>
      <c r="AA124" s="24"/>
      <c r="AD124" s="24" t="s">
        <v>289</v>
      </c>
      <c r="AE124" s="24">
        <v>100</v>
      </c>
      <c r="AH124" s="24"/>
      <c r="AI124" s="24"/>
      <c r="AL124" s="24"/>
      <c r="AM124" s="24"/>
      <c r="AR124" s="24"/>
      <c r="AS124" s="92"/>
      <c r="AT124" s="75"/>
      <c r="AU124" s="39"/>
      <c r="AV124" s="97"/>
      <c r="AW124" s="97"/>
      <c r="AY124" s="36"/>
      <c r="AZ124" s="36"/>
      <c r="BA124" s="24"/>
      <c r="BB124" s="39"/>
      <c r="BC124" s="97"/>
    </row>
    <row r="125" spans="1:55" x14ac:dyDescent="0.25">
      <c r="A125" s="24"/>
      <c r="B125" s="24"/>
      <c r="G125" s="24"/>
      <c r="H125" s="24"/>
      <c r="L125" s="24"/>
      <c r="M125" s="24"/>
      <c r="R125" s="24"/>
      <c r="S125" s="24"/>
      <c r="V125" s="24"/>
      <c r="W125" s="24"/>
      <c r="AD125" s="24" t="s">
        <v>247</v>
      </c>
      <c r="AE125" s="24"/>
      <c r="AH125" s="24"/>
      <c r="AI125" s="24"/>
      <c r="AL125" s="24"/>
      <c r="AM125" s="24"/>
      <c r="AR125" s="24"/>
      <c r="AS125" s="28"/>
      <c r="AT125" s="28"/>
      <c r="AU125" s="40"/>
      <c r="AY125" s="36"/>
      <c r="AZ125" s="36"/>
      <c r="BA125" s="24"/>
      <c r="BB125" s="40"/>
      <c r="BC125" s="37"/>
    </row>
    <row r="126" spans="1:55" x14ac:dyDescent="0.25">
      <c r="AU126"/>
      <c r="AV126"/>
      <c r="AW126"/>
    </row>
    <row r="127" spans="1:55" x14ac:dyDescent="0.25">
      <c r="Z127" s="1" t="s">
        <v>61</v>
      </c>
      <c r="AA127" s="1" t="s">
        <v>152</v>
      </c>
      <c r="AB127" s="1"/>
    </row>
    <row r="128" spans="1:55" x14ac:dyDescent="0.25">
      <c r="Z128" s="1"/>
      <c r="AA128" s="1"/>
      <c r="AB128" s="1"/>
    </row>
    <row r="129" spans="1:55" x14ac:dyDescent="0.25">
      <c r="Z129" s="1"/>
      <c r="AA129" s="1"/>
      <c r="AB129" s="1"/>
    </row>
    <row r="130" spans="1:55" x14ac:dyDescent="0.25">
      <c r="Z130" s="1"/>
      <c r="AA130" s="1"/>
      <c r="AB130" s="1"/>
    </row>
    <row r="131" spans="1:55" x14ac:dyDescent="0.25">
      <c r="Z131" s="1"/>
      <c r="AA131" s="1"/>
      <c r="AB131" s="1"/>
    </row>
    <row r="132" spans="1:55" x14ac:dyDescent="0.25">
      <c r="Z132" s="1"/>
      <c r="AA132" s="1"/>
      <c r="AB132" s="1"/>
    </row>
    <row r="133" spans="1:55" x14ac:dyDescent="0.25">
      <c r="Z133" s="1"/>
      <c r="AA133" s="1"/>
      <c r="AB133" s="1"/>
    </row>
    <row r="134" spans="1:55" x14ac:dyDescent="0.25">
      <c r="Z134" s="1"/>
      <c r="AA134" s="1"/>
      <c r="AB134" s="1"/>
    </row>
    <row r="135" spans="1:55" x14ac:dyDescent="0.25">
      <c r="A135" s="1" t="s">
        <v>61</v>
      </c>
      <c r="B135" s="1" t="s">
        <v>168</v>
      </c>
      <c r="C135" s="1"/>
      <c r="G135" s="1" t="s">
        <v>61</v>
      </c>
      <c r="H135" s="1" t="s">
        <v>121</v>
      </c>
      <c r="L135" s="1" t="s">
        <v>61</v>
      </c>
      <c r="M135" s="1" t="s">
        <v>193</v>
      </c>
      <c r="N135" s="1"/>
      <c r="R135" s="1" t="s">
        <v>61</v>
      </c>
      <c r="S135" s="1" t="s">
        <v>97</v>
      </c>
      <c r="T135" s="1"/>
      <c r="V135" s="1" t="s">
        <v>61</v>
      </c>
      <c r="W135" s="1" t="s">
        <v>126</v>
      </c>
      <c r="X135" s="1"/>
      <c r="Z135" s="1" t="s">
        <v>62</v>
      </c>
      <c r="AA135" s="1" t="str">
        <f>VLOOKUP(AA127,LISTPROD[],2,FALSE)</f>
        <v>MATRI SEX</v>
      </c>
      <c r="AB135" s="1"/>
      <c r="AD135" s="1" t="s">
        <v>61</v>
      </c>
      <c r="AE135" s="1" t="s">
        <v>186</v>
      </c>
      <c r="AF135" s="1"/>
      <c r="AH135" s="1" t="s">
        <v>61</v>
      </c>
      <c r="AI135" s="1" t="s">
        <v>223</v>
      </c>
      <c r="AJ135" s="1"/>
      <c r="AL135" s="1" t="s">
        <v>61</v>
      </c>
      <c r="AM135" s="1"/>
      <c r="AN135" s="1"/>
      <c r="AR135" s="1" t="s">
        <v>61</v>
      </c>
      <c r="AS135" s="1"/>
      <c r="AT135" s="1" t="s">
        <v>355</v>
      </c>
      <c r="AY135" s="1" t="s">
        <v>61</v>
      </c>
      <c r="AZ135" s="1"/>
      <c r="BA135" s="1" t="s">
        <v>357</v>
      </c>
      <c r="BB135" s="37"/>
      <c r="BC135" s="37"/>
    </row>
    <row r="136" spans="1:55" x14ac:dyDescent="0.25">
      <c r="A136" s="1" t="s">
        <v>62</v>
      </c>
      <c r="B136" s="1" t="str">
        <f>VLOOKUP(B135,LISTPROD[],2,FALSE)</f>
        <v>PAP BRAZ JARABE LITRO</v>
      </c>
      <c r="C136" s="1"/>
      <c r="G136" s="1" t="s">
        <v>62</v>
      </c>
      <c r="H136" s="1" t="str">
        <f>VLOOKUP(H135,LISTPROD[],2,FALSE)</f>
        <v>FENOGRECO (Capsulas)</v>
      </c>
      <c r="L136" s="1" t="s">
        <v>62</v>
      </c>
      <c r="M136" s="1" t="str">
        <f>VLOOKUP(M135,LISTPROD[],2,FALSE)</f>
        <v>SUPER CALCIO</v>
      </c>
      <c r="N136" s="1"/>
      <c r="R136" s="1" t="s">
        <v>62</v>
      </c>
      <c r="S136" s="1" t="str">
        <f>VLOOKUP(S135,LISTPROD[],2,FALSE)</f>
        <v>CHANCA PIEDRA JARABE</v>
      </c>
      <c r="T136" s="1"/>
      <c r="V136" s="1" t="s">
        <v>62</v>
      </c>
      <c r="W136" s="1" t="str">
        <f>VLOOKUP(W135,LISTPROD[],2,FALSE)</f>
        <v>FLEXDOL</v>
      </c>
      <c r="X136" s="1"/>
      <c r="Z136" s="1" t="s">
        <v>234</v>
      </c>
      <c r="AA136" s="1" t="str">
        <f>VLOOKUP(AA127,LISTPROD[],3,FALSE)</f>
        <v>MATRI SEX</v>
      </c>
      <c r="AB136" s="1"/>
      <c r="AD136" s="1" t="s">
        <v>62</v>
      </c>
      <c r="AE136" s="1" t="str">
        <f>VLOOKUP(AE135,LISTPROD[],2,FALSE)</f>
        <v>ROMPE CALCULOS</v>
      </c>
      <c r="AF136" s="1"/>
      <c r="AH136" s="1" t="s">
        <v>62</v>
      </c>
      <c r="AI136" s="1" t="str">
        <f>VLOOKUP(AI135,LISTPROD[],2,FALSE)</f>
        <v>ULTRA DOLOR</v>
      </c>
      <c r="AJ136" s="1"/>
      <c r="AL136" s="1" t="s">
        <v>62</v>
      </c>
      <c r="AM136" s="1" t="e">
        <f>VLOOKUP(AM135,LISTPROD[],2,FALSE)</f>
        <v>#N/A</v>
      </c>
      <c r="AN136" s="1"/>
      <c r="AR136" s="1" t="s">
        <v>62</v>
      </c>
      <c r="AS136" s="1"/>
      <c r="AT136" s="1" t="str">
        <f>VLOOKUP(AT135,LISTPROD[],2,FALSE)</f>
        <v>MORINGA (Capsulas)</v>
      </c>
      <c r="AY136" s="1" t="s">
        <v>62</v>
      </c>
      <c r="AZ136" s="1"/>
      <c r="BA136" s="1" t="str">
        <f>VLOOKUP(BA135,LISTPROD[],2,FALSE)</f>
        <v>CITRATO DE POTASIO (Capsulas)</v>
      </c>
      <c r="BB136" s="37"/>
      <c r="BC136" s="37"/>
    </row>
    <row r="137" spans="1:55" x14ac:dyDescent="0.25">
      <c r="A137" s="1" t="s">
        <v>234</v>
      </c>
      <c r="B137" s="1" t="str">
        <f>VLOOKUP(B135,LISTPROD[],3,FALSE)</f>
        <v>PAP BRAZ JARABE LITRO</v>
      </c>
      <c r="C137" s="1"/>
      <c r="G137" s="1" t="s">
        <v>234</v>
      </c>
      <c r="H137" s="1" t="str">
        <f>VLOOKUP(H135,LISTPROD[],3,FALSE)</f>
        <v>FENOGRECO</v>
      </c>
      <c r="L137" s="1" t="s">
        <v>234</v>
      </c>
      <c r="M137" s="1" t="str">
        <f>VLOOKUP(M135,LISTPROD[],3,FALSE)</f>
        <v>COLA DE CABALLO-Esencia FLoral  500 ml</v>
      </c>
      <c r="N137" s="1"/>
      <c r="R137" s="1" t="s">
        <v>234</v>
      </c>
      <c r="S137" s="1" t="str">
        <f>VLOOKUP(S135,LISTPROD[],3,FALSE)</f>
        <v>CHANCA PIEDRA JARABE</v>
      </c>
      <c r="T137" s="1"/>
      <c r="V137" s="1" t="s">
        <v>234</v>
      </c>
      <c r="W137" s="1" t="str">
        <f>VLOOKUP(W135,LISTPROD[],3,FALSE)</f>
        <v>FLEXDOL</v>
      </c>
      <c r="X137" s="1"/>
      <c r="Z137" s="1" t="s">
        <v>239</v>
      </c>
      <c r="AA137" s="21"/>
      <c r="AB137" s="21"/>
      <c r="AD137" s="1" t="s">
        <v>234</v>
      </c>
      <c r="AE137" s="1" t="str">
        <f>VLOOKUP(AE135,LISTPROD[],3,FALSE)</f>
        <v>ROMPE CALCULOS</v>
      </c>
      <c r="AF137" s="1"/>
      <c r="AH137" s="1" t="s">
        <v>234</v>
      </c>
      <c r="AI137" s="1" t="str">
        <f>VLOOKUP(AI135,LISTPROD[],3,FALSE)</f>
        <v>ULTRA DOLOR</v>
      </c>
      <c r="AJ137" s="1"/>
      <c r="AL137" s="1" t="s">
        <v>234</v>
      </c>
      <c r="AM137" s="1" t="e">
        <f>VLOOKUP(AM135,LISTPROD[],3,FALSE)</f>
        <v>#N/A</v>
      </c>
      <c r="AN137" s="1"/>
      <c r="AR137" s="1" t="s">
        <v>234</v>
      </c>
      <c r="AS137" s="1"/>
      <c r="AT137" s="1" t="str">
        <f>VLOOKUP(AT135,LISTPROD[],3,FALSE)</f>
        <v>MORINGA</v>
      </c>
      <c r="AY137" s="1" t="s">
        <v>234</v>
      </c>
      <c r="AZ137" s="1"/>
      <c r="BA137" s="1" t="str">
        <f>VLOOKUP(BA135,LISTPROD[],3,FALSE)</f>
        <v>CITRATO DE POTASIO</v>
      </c>
      <c r="BB137" s="37"/>
      <c r="BC137" s="37"/>
    </row>
    <row r="138" spans="1:55" x14ac:dyDescent="0.25">
      <c r="A138" s="1" t="s">
        <v>239</v>
      </c>
      <c r="B138" s="21">
        <v>195</v>
      </c>
      <c r="C138" s="21"/>
      <c r="G138" s="1" t="s">
        <v>239</v>
      </c>
      <c r="H138" s="21"/>
      <c r="L138" s="1" t="s">
        <v>239</v>
      </c>
      <c r="M138" s="21"/>
      <c r="N138" s="21"/>
      <c r="R138" s="1" t="s">
        <v>239</v>
      </c>
      <c r="S138" s="21"/>
      <c r="T138" s="21"/>
      <c r="V138" s="1" t="s">
        <v>239</v>
      </c>
      <c r="W138" s="21"/>
      <c r="X138" s="21"/>
      <c r="Z138" s="1" t="s">
        <v>240</v>
      </c>
      <c r="AA138" s="21"/>
      <c r="AB138" s="21"/>
      <c r="AD138" s="1" t="s">
        <v>239</v>
      </c>
      <c r="AE138" s="21"/>
      <c r="AF138" s="21"/>
      <c r="AH138" s="1" t="s">
        <v>239</v>
      </c>
      <c r="AI138" s="21"/>
      <c r="AJ138" s="21"/>
      <c r="AL138" s="1" t="s">
        <v>239</v>
      </c>
      <c r="AM138" s="21"/>
      <c r="AN138" s="21"/>
      <c r="AR138" s="1" t="s">
        <v>239</v>
      </c>
      <c r="AS138" s="1"/>
      <c r="AT138" s="21"/>
      <c r="AY138" s="1" t="s">
        <v>239</v>
      </c>
      <c r="AZ138" s="1"/>
      <c r="BA138" s="21"/>
      <c r="BB138" s="37"/>
      <c r="BC138" s="37"/>
    </row>
    <row r="139" spans="1:55" x14ac:dyDescent="0.25">
      <c r="A139" s="1" t="s">
        <v>240</v>
      </c>
      <c r="B139" s="21"/>
      <c r="C139" s="21"/>
      <c r="G139" s="1" t="s">
        <v>240</v>
      </c>
      <c r="H139" s="21"/>
      <c r="L139" s="1" t="s">
        <v>240</v>
      </c>
      <c r="M139" s="21"/>
      <c r="N139" s="21"/>
      <c r="R139" s="1" t="s">
        <v>240</v>
      </c>
      <c r="S139" s="21"/>
      <c r="T139" s="21"/>
      <c r="V139" s="1" t="s">
        <v>240</v>
      </c>
      <c r="W139" s="21"/>
      <c r="X139" s="21"/>
      <c r="Z139" s="1" t="s">
        <v>238</v>
      </c>
      <c r="AA139" s="21"/>
      <c r="AB139" s="21"/>
      <c r="AD139" s="1" t="s">
        <v>240</v>
      </c>
      <c r="AE139" s="21"/>
      <c r="AF139" s="21"/>
      <c r="AH139" s="1" t="s">
        <v>240</v>
      </c>
      <c r="AI139" s="21"/>
      <c r="AJ139" s="21"/>
      <c r="AL139" s="1" t="s">
        <v>240</v>
      </c>
      <c r="AM139" s="21"/>
      <c r="AN139" s="21"/>
      <c r="AR139" s="1" t="s">
        <v>240</v>
      </c>
      <c r="AS139" s="1"/>
      <c r="AT139" s="21"/>
      <c r="AY139" s="1" t="s">
        <v>240</v>
      </c>
      <c r="AZ139" s="1"/>
      <c r="BA139" s="21"/>
      <c r="BB139" s="37"/>
      <c r="BC139" s="37"/>
    </row>
    <row r="140" spans="1:55" x14ac:dyDescent="0.25">
      <c r="A140" s="1" t="s">
        <v>238</v>
      </c>
      <c r="B140" s="31" t="s">
        <v>307</v>
      </c>
      <c r="C140" s="21"/>
      <c r="G140" s="1" t="s">
        <v>238</v>
      </c>
      <c r="H140" s="21"/>
      <c r="L140" s="1" t="s">
        <v>238</v>
      </c>
      <c r="M140" s="21"/>
      <c r="N140" s="21"/>
      <c r="R140" s="1" t="s">
        <v>238</v>
      </c>
      <c r="S140" s="21"/>
      <c r="T140" s="21"/>
      <c r="V140" s="1" t="s">
        <v>238</v>
      </c>
      <c r="W140" s="21"/>
      <c r="X140" s="21"/>
      <c r="Z140" s="23" t="s">
        <v>1</v>
      </c>
      <c r="AA140" s="23" t="s">
        <v>322</v>
      </c>
      <c r="AB140" s="38" t="s">
        <v>2</v>
      </c>
      <c r="AD140" s="1" t="s">
        <v>238</v>
      </c>
      <c r="AE140" s="21"/>
      <c r="AF140" s="21"/>
      <c r="AH140" s="1" t="s">
        <v>238</v>
      </c>
      <c r="AI140" s="21"/>
      <c r="AJ140" s="21"/>
      <c r="AL140" s="1" t="s">
        <v>238</v>
      </c>
      <c r="AM140" s="21"/>
      <c r="AN140" s="21"/>
      <c r="AR140" s="1" t="s">
        <v>238</v>
      </c>
      <c r="AS140" s="1"/>
      <c r="AT140" s="21"/>
      <c r="AY140" s="1" t="s">
        <v>238</v>
      </c>
      <c r="AZ140" s="1"/>
      <c r="BA140" s="21"/>
      <c r="BB140" s="37"/>
      <c r="BC140" s="37"/>
    </row>
    <row r="141" spans="1:55" x14ac:dyDescent="0.25">
      <c r="A141" s="25" t="s">
        <v>1</v>
      </c>
      <c r="B141" s="23" t="s">
        <v>322</v>
      </c>
      <c r="C141" s="38" t="s">
        <v>2</v>
      </c>
      <c r="G141" s="25" t="s">
        <v>1</v>
      </c>
      <c r="H141" s="23" t="s">
        <v>322</v>
      </c>
      <c r="I141" s="38" t="s">
        <v>2</v>
      </c>
      <c r="L141" s="25" t="s">
        <v>1</v>
      </c>
      <c r="M141" s="23" t="s">
        <v>322</v>
      </c>
      <c r="N141" s="38" t="s">
        <v>2</v>
      </c>
      <c r="R141" s="23" t="s">
        <v>1</v>
      </c>
      <c r="S141" s="23" t="s">
        <v>322</v>
      </c>
      <c r="T141" s="38" t="s">
        <v>2</v>
      </c>
      <c r="V141" s="23" t="s">
        <v>1</v>
      </c>
      <c r="W141" s="23" t="s">
        <v>322</v>
      </c>
      <c r="X141" s="38" t="s">
        <v>2</v>
      </c>
      <c r="Z141" s="24"/>
      <c r="AA141" s="24"/>
      <c r="AD141" s="23" t="s">
        <v>1</v>
      </c>
      <c r="AE141" s="23" t="s">
        <v>322</v>
      </c>
      <c r="AF141" s="38" t="s">
        <v>2</v>
      </c>
      <c r="AH141" s="23" t="s">
        <v>1</v>
      </c>
      <c r="AI141" s="23" t="s">
        <v>322</v>
      </c>
      <c r="AJ141" s="38" t="s">
        <v>2</v>
      </c>
      <c r="AL141" s="23" t="s">
        <v>1</v>
      </c>
      <c r="AM141" s="23" t="s">
        <v>2</v>
      </c>
      <c r="AN141" s="23"/>
      <c r="AR141" s="23" t="s">
        <v>1</v>
      </c>
      <c r="AS141" s="23"/>
      <c r="AT141" s="23" t="s">
        <v>322</v>
      </c>
      <c r="AU141" s="38" t="s">
        <v>2</v>
      </c>
      <c r="AV141" s="95"/>
      <c r="AW141" s="95"/>
      <c r="AY141" s="23" t="s">
        <v>1</v>
      </c>
      <c r="AZ141" s="23"/>
      <c r="BA141" s="23" t="s">
        <v>322</v>
      </c>
      <c r="BB141" s="73" t="s">
        <v>2</v>
      </c>
      <c r="BC141" s="95"/>
    </row>
    <row r="142" spans="1:55" x14ac:dyDescent="0.25">
      <c r="A142" s="24" t="s">
        <v>252</v>
      </c>
      <c r="B142" s="24">
        <v>600</v>
      </c>
      <c r="G142" s="24"/>
      <c r="H142" s="24"/>
      <c r="L142" s="24" t="s">
        <v>272</v>
      </c>
      <c r="M142" s="24">
        <v>7000</v>
      </c>
      <c r="R142" s="24" t="s">
        <v>246</v>
      </c>
      <c r="S142" s="24">
        <v>30</v>
      </c>
      <c r="V142" s="24"/>
      <c r="W142" s="24"/>
      <c r="Z142" s="24"/>
      <c r="AA142" s="24"/>
      <c r="AD142" s="24" t="s">
        <v>252</v>
      </c>
      <c r="AE142" s="24">
        <v>600</v>
      </c>
      <c r="AH142" s="24"/>
      <c r="AI142" s="24"/>
      <c r="AL142" s="24"/>
      <c r="AM142" s="24"/>
      <c r="AR142" s="24"/>
      <c r="AS142" s="24"/>
      <c r="AT142" s="74"/>
      <c r="AU142" s="39"/>
      <c r="AV142" s="97"/>
      <c r="AW142" s="97"/>
      <c r="AY142" s="36"/>
      <c r="AZ142" s="36"/>
      <c r="BA142" s="74"/>
      <c r="BB142" s="39"/>
      <c r="BC142" s="97"/>
    </row>
    <row r="143" spans="1:55" x14ac:dyDescent="0.25">
      <c r="A143" s="24" t="s">
        <v>243</v>
      </c>
      <c r="B143" s="24">
        <v>550</v>
      </c>
      <c r="G143" s="24"/>
      <c r="H143" s="24"/>
      <c r="L143" s="24" t="s">
        <v>244</v>
      </c>
      <c r="M143" s="24">
        <v>256</v>
      </c>
      <c r="R143" s="24" t="s">
        <v>252</v>
      </c>
      <c r="S143" s="24">
        <v>600</v>
      </c>
      <c r="V143" s="24"/>
      <c r="W143" s="24"/>
      <c r="Z143" s="24"/>
      <c r="AA143" s="24"/>
      <c r="AD143" s="24" t="s">
        <v>244</v>
      </c>
      <c r="AE143" s="24">
        <v>200</v>
      </c>
      <c r="AH143" s="24"/>
      <c r="AI143" s="24"/>
      <c r="AL143" s="24"/>
      <c r="AM143" s="24"/>
      <c r="AR143" s="24"/>
      <c r="AS143" s="24"/>
      <c r="AT143" s="74"/>
      <c r="AU143" s="39"/>
      <c r="AV143" s="97"/>
      <c r="AW143" s="97"/>
      <c r="AY143" s="36"/>
      <c r="AZ143" s="36"/>
      <c r="BA143" s="74"/>
      <c r="BB143" s="39"/>
      <c r="BC143" s="97"/>
    </row>
    <row r="144" spans="1:55" x14ac:dyDescent="0.25">
      <c r="A144" s="24" t="s">
        <v>244</v>
      </c>
      <c r="B144" s="24">
        <v>200</v>
      </c>
      <c r="G144" s="24"/>
      <c r="H144" s="24"/>
      <c r="L144" s="24" t="s">
        <v>252</v>
      </c>
      <c r="M144" s="24">
        <v>408</v>
      </c>
      <c r="R144" s="24" t="s">
        <v>248</v>
      </c>
      <c r="S144" s="24">
        <v>900</v>
      </c>
      <c r="V144" s="24"/>
      <c r="W144" s="24"/>
      <c r="Z144" s="24"/>
      <c r="AA144" s="24"/>
      <c r="AD144" s="24" t="s">
        <v>243</v>
      </c>
      <c r="AE144" s="24">
        <v>1000</v>
      </c>
      <c r="AH144" s="24"/>
      <c r="AI144" s="24"/>
      <c r="AL144" s="24"/>
      <c r="AM144" s="24"/>
      <c r="AR144" s="24"/>
      <c r="AS144" s="24"/>
      <c r="AT144" s="74"/>
      <c r="AU144" s="39"/>
      <c r="AV144" s="97"/>
      <c r="AW144" s="97"/>
      <c r="AY144" s="36"/>
      <c r="AZ144" s="36"/>
      <c r="BA144" s="74"/>
      <c r="BB144" s="39"/>
      <c r="BC144" s="97"/>
    </row>
    <row r="145" spans="1:55" x14ac:dyDescent="0.25">
      <c r="A145" s="24" t="s">
        <v>248</v>
      </c>
      <c r="B145" s="24">
        <v>900</v>
      </c>
      <c r="G145" s="24"/>
      <c r="H145" s="24"/>
      <c r="L145" s="24" t="s">
        <v>296</v>
      </c>
      <c r="M145" s="24">
        <v>116</v>
      </c>
      <c r="R145" s="24" t="s">
        <v>244</v>
      </c>
      <c r="S145" s="24">
        <v>200</v>
      </c>
      <c r="V145" s="24"/>
      <c r="W145" s="24"/>
      <c r="Z145" s="24"/>
      <c r="AA145" s="24"/>
      <c r="AD145" s="24" t="s">
        <v>251</v>
      </c>
      <c r="AE145" s="24">
        <v>180</v>
      </c>
      <c r="AH145" s="24"/>
      <c r="AI145" s="24"/>
      <c r="AL145" s="24"/>
      <c r="AM145" s="24"/>
      <c r="AR145" s="24"/>
      <c r="AS145" s="24"/>
      <c r="AT145" s="74"/>
      <c r="AU145" s="39"/>
      <c r="AV145" s="97"/>
      <c r="AW145" s="97"/>
      <c r="AY145" s="36"/>
      <c r="AZ145" s="36"/>
      <c r="BA145" s="24"/>
      <c r="BB145" s="39"/>
      <c r="BC145" s="97"/>
    </row>
    <row r="146" spans="1:55" x14ac:dyDescent="0.25">
      <c r="A146" s="24" t="s">
        <v>245</v>
      </c>
      <c r="B146" s="24">
        <v>100</v>
      </c>
      <c r="G146" s="24"/>
      <c r="H146" s="24"/>
      <c r="L146" s="24" t="s">
        <v>254</v>
      </c>
      <c r="M146" s="24">
        <v>708</v>
      </c>
      <c r="R146" s="24" t="s">
        <v>253</v>
      </c>
      <c r="S146" s="24">
        <v>1000</v>
      </c>
      <c r="V146" s="24"/>
      <c r="W146" s="24"/>
      <c r="Z146" s="24"/>
      <c r="AA146" s="24"/>
      <c r="AD146" s="24" t="s">
        <v>248</v>
      </c>
      <c r="AE146" s="24">
        <v>900</v>
      </c>
      <c r="AH146" s="24"/>
      <c r="AI146" s="24"/>
      <c r="AL146" s="24"/>
      <c r="AM146" s="24"/>
      <c r="AR146" s="24"/>
      <c r="AS146" s="24"/>
      <c r="AT146" s="74"/>
      <c r="AU146" s="39"/>
      <c r="AV146" s="97"/>
      <c r="AW146" s="97"/>
      <c r="AY146" s="36"/>
      <c r="AZ146" s="36"/>
      <c r="BA146" s="24"/>
      <c r="BB146" s="39"/>
      <c r="BC146" s="97"/>
    </row>
    <row r="147" spans="1:55" x14ac:dyDescent="0.25">
      <c r="A147" s="24" t="s">
        <v>246</v>
      </c>
      <c r="B147" s="24">
        <v>25</v>
      </c>
      <c r="G147" s="24"/>
      <c r="H147" s="24"/>
      <c r="L147" s="24" t="s">
        <v>297</v>
      </c>
      <c r="M147" s="24">
        <v>68</v>
      </c>
      <c r="R147" s="24" t="s">
        <v>255</v>
      </c>
      <c r="S147" s="24">
        <v>100</v>
      </c>
      <c r="V147" s="24"/>
      <c r="W147" s="24"/>
      <c r="Z147" s="24"/>
      <c r="AA147" s="24"/>
      <c r="AD147" s="24" t="s">
        <v>246</v>
      </c>
      <c r="AE147" s="24">
        <v>20</v>
      </c>
      <c r="AH147" s="24"/>
      <c r="AI147" s="24"/>
      <c r="AL147" s="24"/>
      <c r="AM147" s="24"/>
      <c r="AR147" s="24"/>
      <c r="AS147" s="24"/>
      <c r="AT147" s="74"/>
      <c r="AU147" s="39"/>
      <c r="AV147" s="97"/>
      <c r="AW147" s="97"/>
      <c r="AY147" s="36"/>
      <c r="AZ147" s="36"/>
      <c r="BA147" s="24"/>
      <c r="BB147" s="39"/>
      <c r="BC147" s="97"/>
    </row>
    <row r="148" spans="1:55" x14ac:dyDescent="0.25">
      <c r="A148" s="24" t="s">
        <v>247</v>
      </c>
      <c r="B148" s="24"/>
      <c r="G148" s="24"/>
      <c r="H148" s="24"/>
      <c r="L148" s="24" t="s">
        <v>247</v>
      </c>
      <c r="M148" s="24"/>
      <c r="R148" s="24" t="s">
        <v>256</v>
      </c>
      <c r="S148" s="24">
        <v>9</v>
      </c>
      <c r="V148" s="24"/>
      <c r="W148" s="24"/>
      <c r="Z148" s="24"/>
      <c r="AA148" s="24"/>
      <c r="AD148" s="24" t="s">
        <v>262</v>
      </c>
      <c r="AE148" s="24">
        <v>10</v>
      </c>
      <c r="AH148" s="24"/>
      <c r="AI148" s="24"/>
      <c r="AL148" s="24"/>
      <c r="AM148" s="24"/>
      <c r="AR148" s="24"/>
      <c r="AS148" s="92"/>
      <c r="AT148" s="75"/>
      <c r="AU148" s="39"/>
      <c r="AV148" s="97"/>
      <c r="AW148" s="97"/>
      <c r="AY148" s="36"/>
      <c r="AZ148" s="36"/>
      <c r="BA148" s="24"/>
      <c r="BB148" s="39"/>
      <c r="BC148" s="97"/>
    </row>
    <row r="149" spans="1:55" x14ac:dyDescent="0.25">
      <c r="A149" s="24"/>
      <c r="B149" s="24"/>
      <c r="G149" s="24"/>
      <c r="H149" s="24"/>
      <c r="L149" s="24"/>
      <c r="M149" s="24"/>
      <c r="R149" s="24" t="s">
        <v>247</v>
      </c>
      <c r="S149" s="24"/>
      <c r="V149" s="24"/>
      <c r="W149" s="24"/>
      <c r="AD149" s="24" t="s">
        <v>247</v>
      </c>
      <c r="AE149" s="24"/>
      <c r="AH149" s="24"/>
      <c r="AI149" s="24"/>
      <c r="AL149" s="24"/>
      <c r="AM149" s="24"/>
      <c r="AR149" s="24"/>
      <c r="AS149" s="28"/>
      <c r="AT149" s="28"/>
      <c r="AU149" s="40"/>
      <c r="AY149" s="36"/>
      <c r="AZ149" s="36"/>
      <c r="BA149" s="24"/>
      <c r="BB149" s="40"/>
      <c r="BC149" s="37"/>
    </row>
    <row r="151" spans="1:55" x14ac:dyDescent="0.25">
      <c r="Z151" s="1" t="s">
        <v>61</v>
      </c>
      <c r="AA151" s="1" t="s">
        <v>154</v>
      </c>
      <c r="AB151" s="1"/>
    </row>
    <row r="152" spans="1:55" x14ac:dyDescent="0.25">
      <c r="Z152" s="1"/>
      <c r="AA152" s="1"/>
      <c r="AB152" s="1"/>
    </row>
    <row r="153" spans="1:55" x14ac:dyDescent="0.25">
      <c r="Z153" s="1"/>
      <c r="AA153" s="1"/>
      <c r="AB153" s="1"/>
    </row>
    <row r="154" spans="1:55" x14ac:dyDescent="0.25">
      <c r="Z154" s="1"/>
      <c r="AA154" s="1"/>
      <c r="AB154" s="1"/>
    </row>
    <row r="155" spans="1:55" x14ac:dyDescent="0.25">
      <c r="Z155" s="1"/>
      <c r="AA155" s="1"/>
      <c r="AB155" s="1"/>
    </row>
    <row r="156" spans="1:55" x14ac:dyDescent="0.25">
      <c r="Z156" s="1"/>
      <c r="AA156" s="1"/>
      <c r="AB156" s="1"/>
    </row>
    <row r="157" spans="1:55" x14ac:dyDescent="0.25">
      <c r="Z157" s="1"/>
      <c r="AA157" s="1"/>
      <c r="AB157" s="1"/>
    </row>
    <row r="158" spans="1:55" x14ac:dyDescent="0.25">
      <c r="Z158" s="1"/>
      <c r="AA158" s="1"/>
      <c r="AB158" s="1"/>
    </row>
    <row r="159" spans="1:55" x14ac:dyDescent="0.25">
      <c r="Z159" s="1"/>
      <c r="AA159" s="1"/>
      <c r="AB159" s="1"/>
    </row>
    <row r="160" spans="1:55" x14ac:dyDescent="0.25">
      <c r="Z160" s="1"/>
      <c r="AA160" s="1"/>
      <c r="AB160" s="1"/>
    </row>
    <row r="161" spans="1:55" x14ac:dyDescent="0.25">
      <c r="Z161" s="1"/>
      <c r="AA161" s="1"/>
      <c r="AB161" s="1"/>
    </row>
    <row r="162" spans="1:55" x14ac:dyDescent="0.25">
      <c r="Z162" s="1"/>
      <c r="AA162" s="1"/>
      <c r="AB162" s="1"/>
    </row>
    <row r="163" spans="1:55" x14ac:dyDescent="0.25">
      <c r="A163" s="1" t="s">
        <v>61</v>
      </c>
      <c r="B163" s="1" t="s">
        <v>236</v>
      </c>
      <c r="C163" s="1"/>
      <c r="G163" s="1" t="s">
        <v>61</v>
      </c>
      <c r="H163" s="1" t="s">
        <v>122</v>
      </c>
      <c r="L163" s="1" t="s">
        <v>61</v>
      </c>
      <c r="M163" s="1" t="s">
        <v>195</v>
      </c>
      <c r="N163" s="1"/>
      <c r="R163" s="1" t="s">
        <v>61</v>
      </c>
      <c r="S163" s="1" t="s">
        <v>102</v>
      </c>
      <c r="T163" s="1"/>
      <c r="V163" s="1" t="s">
        <v>61</v>
      </c>
      <c r="W163" s="1" t="s">
        <v>128</v>
      </c>
      <c r="X163" s="1"/>
      <c r="Z163" s="1" t="s">
        <v>62</v>
      </c>
      <c r="AA163" s="1" t="str">
        <f>VLOOKUP(AA151,LISTPROD[],2,FALSE)</f>
        <v>MEMOREX</v>
      </c>
      <c r="AB163" s="1"/>
      <c r="AD163" s="1" t="s">
        <v>61</v>
      </c>
      <c r="AE163" s="1" t="s">
        <v>188</v>
      </c>
      <c r="AF163" s="1"/>
      <c r="AH163" s="1" t="s">
        <v>61</v>
      </c>
      <c r="AI163" s="1" t="s">
        <v>226</v>
      </c>
      <c r="AJ163" s="1"/>
      <c r="AL163" s="1" t="s">
        <v>61</v>
      </c>
      <c r="AM163" s="1"/>
      <c r="AN163" s="1"/>
      <c r="AR163" s="1" t="s">
        <v>61</v>
      </c>
      <c r="AS163" s="1"/>
      <c r="AT163" s="1" t="s">
        <v>367</v>
      </c>
      <c r="AY163" s="1" t="s">
        <v>61</v>
      </c>
      <c r="AZ163" s="1"/>
      <c r="BA163" s="1" t="s">
        <v>384</v>
      </c>
      <c r="BB163" s="37"/>
      <c r="BC163" s="37"/>
    </row>
    <row r="164" spans="1:55" x14ac:dyDescent="0.25">
      <c r="A164" s="1" t="s">
        <v>62</v>
      </c>
      <c r="B164" s="1" t="str">
        <f>VLOOKUP(B163,LISTPROD[],2,FALSE)</f>
        <v>MEMOTRON</v>
      </c>
      <c r="C164" s="1"/>
      <c r="G164" s="1" t="s">
        <v>62</v>
      </c>
      <c r="H164" s="1" t="str">
        <f>VLOOKUP(H163,LISTPROD[],2,FALSE)</f>
        <v>FERROVIT LT</v>
      </c>
      <c r="L164" s="1" t="s">
        <v>62</v>
      </c>
      <c r="M164" s="1" t="str">
        <f>VLOOKUP(M163,LISTPROD[],2,FALSE)</f>
        <v>TONICO CEREBRAL</v>
      </c>
      <c r="N164" s="1"/>
      <c r="R164" s="1" t="s">
        <v>62</v>
      </c>
      <c r="S164" s="1" t="str">
        <f>VLOOKUP(S163,LISTPROD[],2,FALSE)</f>
        <v>COLAGENO</v>
      </c>
      <c r="T164" s="1"/>
      <c r="V164" s="1" t="s">
        <v>62</v>
      </c>
      <c r="W164" s="1" t="str">
        <f>VLOOKUP(W163,LISTPROD[],2,FALSE)</f>
        <v>FLOR DE CENTELLA</v>
      </c>
      <c r="X164" s="1"/>
      <c r="Z164" s="1" t="s">
        <v>234</v>
      </c>
      <c r="AA164" s="1" t="str">
        <f>VLOOKUP(AA151,LISTPROD[],3,FALSE)</f>
        <v>MEMOREX</v>
      </c>
      <c r="AB164" s="1"/>
      <c r="AD164" s="1" t="s">
        <v>62</v>
      </c>
      <c r="AE164" s="1" t="str">
        <f>VLOOKUP(AE163,LISTPROD[],2,FALSE)</f>
        <v>ROMPE QUISTES</v>
      </c>
      <c r="AF164" s="1"/>
      <c r="AH164" s="1" t="s">
        <v>62</v>
      </c>
      <c r="AI164" s="1" t="str">
        <f>VLOOKUP(AI163,LISTPROD[],2,FALSE)</f>
        <v>EMPERADOR</v>
      </c>
      <c r="AJ164" s="1"/>
      <c r="AL164" s="1" t="s">
        <v>62</v>
      </c>
      <c r="AM164" s="1" t="e">
        <f>VLOOKUP(AM163,LISTPROD[],2,FALSE)</f>
        <v>#N/A</v>
      </c>
      <c r="AN164" s="1"/>
      <c r="AR164" s="1" t="s">
        <v>62</v>
      </c>
      <c r="AS164" s="1"/>
      <c r="AT164" s="1" t="str">
        <f>VLOOKUP(AT163,LISTPROD[],2,FALSE)</f>
        <v>QUIEBRA BARRIGA (Gotas)</v>
      </c>
      <c r="AY164" s="1" t="s">
        <v>62</v>
      </c>
      <c r="AZ164" s="1"/>
      <c r="BA164" s="1" t="str">
        <f>VLOOKUP(BA163,LISTPROD[],2,FALSE)</f>
        <v>VALERIANA (Gotas)</v>
      </c>
      <c r="BB164" s="37"/>
      <c r="BC164" s="37"/>
    </row>
    <row r="165" spans="1:55" x14ac:dyDescent="0.25">
      <c r="A165" s="1" t="s">
        <v>234</v>
      </c>
      <c r="B165" s="1" t="str">
        <f>VLOOKUP(B163,LISTPROD[],3,FALSE)</f>
        <v>MEMOTRON</v>
      </c>
      <c r="C165" s="1"/>
      <c r="G165" s="1" t="s">
        <v>234</v>
      </c>
      <c r="H165" s="1" t="str">
        <f>VLOOKUP(H163,LISTPROD[],3,FALSE)</f>
        <v>FERROVIT</v>
      </c>
      <c r="L165" s="1" t="s">
        <v>234</v>
      </c>
      <c r="M165" s="1" t="str">
        <f>VLOOKUP(M163,LISTPROD[],3,FALSE)</f>
        <v>GINSENG-Esencia FLoral  500 ml</v>
      </c>
      <c r="N165" s="1"/>
      <c r="R165" s="1" t="s">
        <v>234</v>
      </c>
      <c r="S165" s="1" t="str">
        <f>VLOOKUP(S163,LISTPROD[],3,FALSE)</f>
        <v>COLAGENO</v>
      </c>
      <c r="T165" s="1"/>
      <c r="V165" s="1" t="s">
        <v>234</v>
      </c>
      <c r="W165" s="1" t="str">
        <f>VLOOKUP(W163,LISTPROD[],3,FALSE)</f>
        <v>FLOR DE CENTELLA</v>
      </c>
      <c r="X165" s="1"/>
      <c r="Z165" s="1" t="s">
        <v>239</v>
      </c>
      <c r="AA165" s="21"/>
      <c r="AB165" s="21"/>
      <c r="AD165" s="1" t="s">
        <v>234</v>
      </c>
      <c r="AE165" s="1" t="str">
        <f>VLOOKUP(AE163,LISTPROD[],3,FALSE)</f>
        <v>ROMPE QUISTES</v>
      </c>
      <c r="AF165" s="1"/>
      <c r="AH165" s="1" t="s">
        <v>234</v>
      </c>
      <c r="AI165" s="1" t="str">
        <f>VLOOKUP(AI163,LISTPROD[],3,FALSE)</f>
        <v>EMPERADOR</v>
      </c>
      <c r="AJ165" s="1"/>
      <c r="AL165" s="1" t="s">
        <v>234</v>
      </c>
      <c r="AM165" s="1" t="e">
        <f>VLOOKUP(AM163,LISTPROD[],3,FALSE)</f>
        <v>#N/A</v>
      </c>
      <c r="AN165" s="1"/>
      <c r="AR165" s="1" t="s">
        <v>234</v>
      </c>
      <c r="AS165" s="1"/>
      <c r="AT165" s="1" t="str">
        <f>VLOOKUP(AT163,LISTPROD[],3,FALSE)</f>
        <v>QUIEBRA BARRIGA Gotas Orales</v>
      </c>
      <c r="AY165" s="1" t="s">
        <v>234</v>
      </c>
      <c r="AZ165" s="1"/>
      <c r="BA165" s="1" t="str">
        <f>VLOOKUP(BA163,LISTPROD[],3,FALSE)</f>
        <v>VALERIANA Gotas Orales</v>
      </c>
      <c r="BB165" s="37"/>
      <c r="BC165" s="37"/>
    </row>
    <row r="166" spans="1:55" x14ac:dyDescent="0.25">
      <c r="A166" s="1" t="s">
        <v>239</v>
      </c>
      <c r="B166" s="21"/>
      <c r="C166" s="21"/>
      <c r="G166" s="1" t="s">
        <v>239</v>
      </c>
      <c r="H166" s="21"/>
      <c r="L166" s="1" t="s">
        <v>239</v>
      </c>
      <c r="M166" s="21"/>
      <c r="N166" s="21"/>
      <c r="R166" s="1" t="s">
        <v>239</v>
      </c>
      <c r="S166" s="21"/>
      <c r="T166" s="21"/>
      <c r="V166" s="1" t="s">
        <v>239</v>
      </c>
      <c r="W166" s="21"/>
      <c r="X166" s="21"/>
      <c r="Z166" s="1" t="s">
        <v>240</v>
      </c>
      <c r="AA166" s="21"/>
      <c r="AB166" s="21"/>
      <c r="AD166" s="1" t="s">
        <v>239</v>
      </c>
      <c r="AE166" s="21"/>
      <c r="AF166" s="21"/>
      <c r="AH166" s="1" t="s">
        <v>239</v>
      </c>
      <c r="AI166" s="21"/>
      <c r="AJ166" s="21"/>
      <c r="AL166" s="1" t="s">
        <v>239</v>
      </c>
      <c r="AM166" s="21"/>
      <c r="AN166" s="21"/>
      <c r="AR166" s="1" t="s">
        <v>239</v>
      </c>
      <c r="AS166" s="1"/>
      <c r="AT166" s="21"/>
      <c r="AY166" s="1" t="s">
        <v>239</v>
      </c>
      <c r="AZ166" s="1"/>
      <c r="BA166" s="21"/>
      <c r="BB166" s="37"/>
      <c r="BC166" s="37"/>
    </row>
    <row r="167" spans="1:55" x14ac:dyDescent="0.25">
      <c r="A167" s="1" t="s">
        <v>240</v>
      </c>
      <c r="B167" s="21"/>
      <c r="C167" s="21"/>
      <c r="G167" s="1" t="s">
        <v>240</v>
      </c>
      <c r="H167" s="21"/>
      <c r="L167" s="1" t="s">
        <v>240</v>
      </c>
      <c r="M167" s="21"/>
      <c r="N167" s="21"/>
      <c r="R167" s="1" t="s">
        <v>240</v>
      </c>
      <c r="S167" s="21"/>
      <c r="T167" s="21"/>
      <c r="V167" s="1" t="s">
        <v>240</v>
      </c>
      <c r="W167" s="21"/>
      <c r="X167" s="21"/>
      <c r="Z167" s="1" t="s">
        <v>238</v>
      </c>
      <c r="AA167" s="21"/>
      <c r="AB167" s="21"/>
      <c r="AD167" s="1" t="s">
        <v>240</v>
      </c>
      <c r="AE167" s="21"/>
      <c r="AF167" s="21"/>
      <c r="AH167" s="1" t="s">
        <v>240</v>
      </c>
      <c r="AI167" s="21"/>
      <c r="AJ167" s="21"/>
      <c r="AL167" s="1" t="s">
        <v>240</v>
      </c>
      <c r="AM167" s="21"/>
      <c r="AN167" s="21"/>
      <c r="AR167" s="1" t="s">
        <v>240</v>
      </c>
      <c r="AS167" s="1"/>
      <c r="AT167" s="21"/>
      <c r="AY167" s="1" t="s">
        <v>240</v>
      </c>
      <c r="AZ167" s="1"/>
      <c r="BA167" s="21"/>
      <c r="BB167" s="37"/>
      <c r="BC167" s="37"/>
    </row>
    <row r="168" spans="1:55" x14ac:dyDescent="0.25">
      <c r="A168" s="1" t="s">
        <v>238</v>
      </c>
      <c r="B168" s="21"/>
      <c r="C168" s="21"/>
      <c r="G168" s="1" t="s">
        <v>238</v>
      </c>
      <c r="H168" s="21"/>
      <c r="L168" s="1" t="s">
        <v>238</v>
      </c>
      <c r="M168" s="21"/>
      <c r="N168" s="21"/>
      <c r="R168" s="1" t="s">
        <v>238</v>
      </c>
      <c r="S168" s="21"/>
      <c r="T168" s="21"/>
      <c r="V168" s="1" t="s">
        <v>238</v>
      </c>
      <c r="W168" s="21"/>
      <c r="X168" s="21"/>
      <c r="Z168" s="23" t="s">
        <v>1</v>
      </c>
      <c r="AA168" s="23" t="s">
        <v>322</v>
      </c>
      <c r="AB168" s="38" t="s">
        <v>2</v>
      </c>
      <c r="AD168" s="1" t="s">
        <v>238</v>
      </c>
      <c r="AE168" s="21"/>
      <c r="AF168" s="21"/>
      <c r="AH168" s="1" t="s">
        <v>238</v>
      </c>
      <c r="AI168" s="21"/>
      <c r="AJ168" s="21"/>
      <c r="AL168" s="1" t="s">
        <v>238</v>
      </c>
      <c r="AM168" s="21"/>
      <c r="AN168" s="21"/>
      <c r="AR168" s="1" t="s">
        <v>238</v>
      </c>
      <c r="AS168" s="1"/>
      <c r="AT168" s="21"/>
      <c r="AY168" s="1" t="s">
        <v>238</v>
      </c>
      <c r="AZ168" s="1"/>
      <c r="BA168" s="21"/>
      <c r="BB168" s="37"/>
      <c r="BC168" s="37"/>
    </row>
    <row r="169" spans="1:55" x14ac:dyDescent="0.25">
      <c r="A169" s="25" t="s">
        <v>1</v>
      </c>
      <c r="B169" s="23" t="s">
        <v>322</v>
      </c>
      <c r="C169" s="38" t="s">
        <v>2</v>
      </c>
      <c r="G169" s="25" t="s">
        <v>1</v>
      </c>
      <c r="H169" s="23" t="s">
        <v>322</v>
      </c>
      <c r="I169" s="38" t="s">
        <v>2</v>
      </c>
      <c r="L169" s="25" t="s">
        <v>1</v>
      </c>
      <c r="M169" s="23" t="s">
        <v>322</v>
      </c>
      <c r="N169" s="38" t="s">
        <v>2</v>
      </c>
      <c r="R169" s="23" t="s">
        <v>1</v>
      </c>
      <c r="S169" s="23" t="s">
        <v>322</v>
      </c>
      <c r="T169" s="38" t="s">
        <v>2</v>
      </c>
      <c r="V169" s="23" t="s">
        <v>1</v>
      </c>
      <c r="W169" s="23" t="s">
        <v>322</v>
      </c>
      <c r="X169" s="38" t="s">
        <v>2</v>
      </c>
      <c r="Z169" s="24" t="s">
        <v>242</v>
      </c>
      <c r="AA169" s="24">
        <v>600</v>
      </c>
      <c r="AD169" s="23" t="s">
        <v>1</v>
      </c>
      <c r="AE169" s="23" t="s">
        <v>322</v>
      </c>
      <c r="AF169" s="38" t="s">
        <v>2</v>
      </c>
      <c r="AH169" s="23" t="s">
        <v>1</v>
      </c>
      <c r="AI169" s="23" t="s">
        <v>322</v>
      </c>
      <c r="AJ169" s="38" t="s">
        <v>2</v>
      </c>
      <c r="AL169" s="23" t="s">
        <v>1</v>
      </c>
      <c r="AM169" s="23" t="s">
        <v>2</v>
      </c>
      <c r="AN169" s="23"/>
      <c r="AR169" s="23" t="s">
        <v>1</v>
      </c>
      <c r="AS169" s="23"/>
      <c r="AT169" s="23" t="s">
        <v>322</v>
      </c>
      <c r="AU169" s="38" t="s">
        <v>2</v>
      </c>
      <c r="AV169" s="95"/>
      <c r="AW169" s="95"/>
      <c r="AY169" s="23" t="s">
        <v>1</v>
      </c>
      <c r="AZ169" s="23"/>
      <c r="BA169" s="23" t="s">
        <v>322</v>
      </c>
      <c r="BB169" s="73" t="s">
        <v>2</v>
      </c>
      <c r="BC169" s="95"/>
    </row>
    <row r="170" spans="1:55" x14ac:dyDescent="0.25">
      <c r="A170" s="24" t="s">
        <v>252</v>
      </c>
      <c r="B170" s="24">
        <v>600</v>
      </c>
      <c r="G170" s="24" t="s">
        <v>252</v>
      </c>
      <c r="H170" s="24">
        <v>600</v>
      </c>
      <c r="L170" s="24" t="s">
        <v>242</v>
      </c>
      <c r="M170" s="24">
        <v>600</v>
      </c>
      <c r="R170" s="24" t="s">
        <v>283</v>
      </c>
      <c r="S170" s="24">
        <v>7000</v>
      </c>
      <c r="V170" s="24" t="s">
        <v>242</v>
      </c>
      <c r="W170" s="24">
        <v>600</v>
      </c>
      <c r="Z170" s="24" t="s">
        <v>244</v>
      </c>
      <c r="AA170" s="24">
        <v>200</v>
      </c>
      <c r="AD170" s="24" t="s">
        <v>242</v>
      </c>
      <c r="AE170" s="24">
        <v>600</v>
      </c>
      <c r="AH170" s="24" t="s">
        <v>248</v>
      </c>
      <c r="AI170" s="24">
        <v>700</v>
      </c>
      <c r="AL170" s="24"/>
      <c r="AM170" s="24"/>
      <c r="AR170" s="24"/>
      <c r="AS170" s="24"/>
      <c r="AT170" s="74"/>
      <c r="AU170" s="39"/>
      <c r="AV170" s="97"/>
      <c r="AW170" s="97"/>
      <c r="AY170" s="36"/>
      <c r="AZ170" s="36"/>
      <c r="BA170" s="74"/>
      <c r="BB170" s="39"/>
      <c r="BC170" s="97"/>
    </row>
    <row r="171" spans="1:55" x14ac:dyDescent="0.25">
      <c r="A171" s="24" t="s">
        <v>268</v>
      </c>
      <c r="B171" s="24">
        <v>600</v>
      </c>
      <c r="G171" s="24" t="s">
        <v>244</v>
      </c>
      <c r="H171" s="24">
        <v>200</v>
      </c>
      <c r="L171" s="24" t="s">
        <v>244</v>
      </c>
      <c r="M171" s="24">
        <v>200</v>
      </c>
      <c r="R171" s="24" t="s">
        <v>244</v>
      </c>
      <c r="S171" s="24">
        <v>256</v>
      </c>
      <c r="V171" s="24" t="s">
        <v>243</v>
      </c>
      <c r="W171" s="24">
        <v>550</v>
      </c>
      <c r="Z171" s="24" t="s">
        <v>262</v>
      </c>
      <c r="AA171" s="24">
        <v>100</v>
      </c>
      <c r="AD171" s="24" t="s">
        <v>244</v>
      </c>
      <c r="AE171" s="24">
        <v>200</v>
      </c>
      <c r="AH171" s="24" t="s">
        <v>242</v>
      </c>
      <c r="AI171" s="24">
        <v>600</v>
      </c>
      <c r="AL171" s="24"/>
      <c r="AM171" s="24"/>
      <c r="AR171" s="24"/>
      <c r="AS171" s="24"/>
      <c r="AT171" s="74"/>
      <c r="AU171" s="39"/>
      <c r="AV171" s="97"/>
      <c r="AW171" s="97"/>
      <c r="AY171" s="36"/>
      <c r="AZ171" s="36"/>
      <c r="BA171" s="74"/>
      <c r="BB171" s="39"/>
      <c r="BC171" s="97"/>
    </row>
    <row r="172" spans="1:55" x14ac:dyDescent="0.25">
      <c r="A172" s="24" t="s">
        <v>243</v>
      </c>
      <c r="B172" s="24">
        <v>1000</v>
      </c>
      <c r="G172" s="24" t="s">
        <v>289</v>
      </c>
      <c r="H172" s="24">
        <v>200</v>
      </c>
      <c r="L172" s="24" t="s">
        <v>262</v>
      </c>
      <c r="M172" s="24">
        <v>100</v>
      </c>
      <c r="R172" s="24" t="s">
        <v>242</v>
      </c>
      <c r="S172" s="24">
        <v>408</v>
      </c>
      <c r="V172" s="24" t="s">
        <v>244</v>
      </c>
      <c r="W172" s="24">
        <v>200</v>
      </c>
      <c r="Z172" s="24" t="s">
        <v>268</v>
      </c>
      <c r="AA172" s="24">
        <v>1000</v>
      </c>
      <c r="AD172" s="24" t="s">
        <v>243</v>
      </c>
      <c r="AE172" s="24">
        <v>1000</v>
      </c>
      <c r="AH172" s="24" t="s">
        <v>243</v>
      </c>
      <c r="AI172" s="24">
        <v>1000</v>
      </c>
      <c r="AL172" s="24"/>
      <c r="AM172" s="24"/>
      <c r="AR172" s="24"/>
      <c r="AS172" s="24"/>
      <c r="AT172" s="74"/>
      <c r="AU172" s="39"/>
      <c r="AV172" s="97"/>
      <c r="AW172" s="97"/>
      <c r="AY172" s="36"/>
      <c r="AZ172" s="36"/>
      <c r="BA172" s="74"/>
      <c r="BB172" s="39"/>
      <c r="BC172" s="97"/>
    </row>
    <row r="173" spans="1:55" x14ac:dyDescent="0.25">
      <c r="A173" s="24" t="s">
        <v>244</v>
      </c>
      <c r="B173" s="24">
        <v>200</v>
      </c>
      <c r="G173" s="24" t="s">
        <v>268</v>
      </c>
      <c r="H173" s="24">
        <v>1000</v>
      </c>
      <c r="L173" s="24" t="s">
        <v>268</v>
      </c>
      <c r="M173" s="24">
        <v>1000</v>
      </c>
      <c r="R173" s="24" t="s">
        <v>275</v>
      </c>
      <c r="S173" s="24">
        <v>116</v>
      </c>
      <c r="V173" s="24" t="s">
        <v>248</v>
      </c>
      <c r="W173" s="24">
        <v>900</v>
      </c>
      <c r="Z173" s="24" t="s">
        <v>248</v>
      </c>
      <c r="AA173" s="24">
        <v>800</v>
      </c>
      <c r="AD173" s="24" t="s">
        <v>251</v>
      </c>
      <c r="AE173" s="24">
        <v>150</v>
      </c>
      <c r="AH173" s="24" t="s">
        <v>251</v>
      </c>
      <c r="AI173" s="24">
        <v>250</v>
      </c>
      <c r="AL173" s="24"/>
      <c r="AM173" s="24"/>
      <c r="AR173" s="24"/>
      <c r="AS173" s="24"/>
      <c r="AT173" s="74"/>
      <c r="AU173" s="39"/>
      <c r="AV173" s="97"/>
      <c r="AW173" s="97"/>
      <c r="AY173" s="36"/>
      <c r="AZ173" s="36"/>
      <c r="BA173" s="24"/>
      <c r="BB173" s="39"/>
      <c r="BC173" s="97"/>
    </row>
    <row r="174" spans="1:55" x14ac:dyDescent="0.25">
      <c r="A174" s="24" t="s">
        <v>248</v>
      </c>
      <c r="B174" s="24">
        <v>700</v>
      </c>
      <c r="G174" s="24" t="s">
        <v>248</v>
      </c>
      <c r="H174" s="24">
        <v>800</v>
      </c>
      <c r="L174" s="24" t="s">
        <v>248</v>
      </c>
      <c r="M174" s="24">
        <v>800</v>
      </c>
      <c r="R174" s="24" t="s">
        <v>248</v>
      </c>
      <c r="S174" s="24">
        <v>708</v>
      </c>
      <c r="V174" s="24" t="s">
        <v>245</v>
      </c>
      <c r="W174" s="24">
        <v>100</v>
      </c>
      <c r="Z174" s="24" t="s">
        <v>251</v>
      </c>
      <c r="AA174" s="24">
        <v>100</v>
      </c>
      <c r="AD174" s="24" t="s">
        <v>254</v>
      </c>
      <c r="AE174" s="24">
        <v>900</v>
      </c>
      <c r="AH174" s="24" t="s">
        <v>249</v>
      </c>
      <c r="AI174" s="24">
        <v>300</v>
      </c>
      <c r="AL174" s="24"/>
      <c r="AM174" s="24"/>
      <c r="AR174" s="24"/>
      <c r="AS174" s="24"/>
      <c r="AT174" s="74"/>
      <c r="AU174" s="39"/>
      <c r="AV174" s="97"/>
      <c r="AW174" s="97"/>
      <c r="AY174" s="36"/>
      <c r="AZ174" s="36"/>
      <c r="BA174" s="24"/>
      <c r="BB174" s="39"/>
      <c r="BC174" s="97"/>
    </row>
    <row r="175" spans="1:55" x14ac:dyDescent="0.25">
      <c r="A175" s="24" t="s">
        <v>246</v>
      </c>
      <c r="B175" s="24">
        <v>10</v>
      </c>
      <c r="G175" s="24" t="s">
        <v>243</v>
      </c>
      <c r="H175" s="24">
        <v>300</v>
      </c>
      <c r="L175" s="24" t="s">
        <v>251</v>
      </c>
      <c r="M175" s="24">
        <v>100</v>
      </c>
      <c r="R175" s="24" t="s">
        <v>297</v>
      </c>
      <c r="S175" s="24">
        <v>68</v>
      </c>
      <c r="V175" s="24" t="s">
        <v>246</v>
      </c>
      <c r="W175" s="24">
        <v>20</v>
      </c>
      <c r="Z175" s="24" t="s">
        <v>243</v>
      </c>
      <c r="AA175" s="24">
        <v>300</v>
      </c>
      <c r="AD175" s="24" t="s">
        <v>259</v>
      </c>
      <c r="AE175" s="24">
        <v>20</v>
      </c>
      <c r="AH175" s="24" t="s">
        <v>302</v>
      </c>
      <c r="AI175" s="24">
        <v>150</v>
      </c>
      <c r="AL175" s="24"/>
      <c r="AM175" s="24"/>
      <c r="AR175" s="24"/>
      <c r="AS175" s="24"/>
      <c r="AT175" s="74"/>
      <c r="AU175" s="39"/>
      <c r="AV175" s="97"/>
      <c r="AW175" s="97"/>
      <c r="AY175" s="36"/>
      <c r="AZ175" s="36"/>
      <c r="BA175" s="24"/>
      <c r="BB175" s="39"/>
      <c r="BC175" s="97"/>
    </row>
    <row r="176" spans="1:55" x14ac:dyDescent="0.25">
      <c r="A176" s="24" t="s">
        <v>259</v>
      </c>
      <c r="B176" s="24">
        <v>1</v>
      </c>
      <c r="G176" s="24" t="s">
        <v>259</v>
      </c>
      <c r="H176" s="24">
        <v>60</v>
      </c>
      <c r="L176" s="24" t="s">
        <v>243</v>
      </c>
      <c r="M176" s="24">
        <v>300</v>
      </c>
      <c r="R176" s="24" t="s">
        <v>247</v>
      </c>
      <c r="S176" s="24"/>
      <c r="V176" s="24" t="s">
        <v>247</v>
      </c>
      <c r="W176" s="24"/>
      <c r="Z176" s="24" t="s">
        <v>246</v>
      </c>
      <c r="AA176" s="24">
        <v>60</v>
      </c>
      <c r="AD176" s="24" t="s">
        <v>269</v>
      </c>
      <c r="AE176" s="24">
        <v>100</v>
      </c>
      <c r="AH176" s="24" t="s">
        <v>300</v>
      </c>
      <c r="AI176" s="24">
        <v>500</v>
      </c>
      <c r="AL176" s="24"/>
      <c r="AM176" s="24"/>
      <c r="AR176" s="24"/>
      <c r="AS176" s="92"/>
      <c r="AT176" s="75"/>
      <c r="AU176" s="39"/>
      <c r="AV176" s="97"/>
      <c r="AW176" s="97"/>
      <c r="AY176" s="36"/>
      <c r="AZ176" s="36"/>
      <c r="BA176" s="24"/>
      <c r="BB176" s="39"/>
      <c r="BC176" s="97"/>
    </row>
    <row r="177" spans="1:55" x14ac:dyDescent="0.25">
      <c r="A177" s="24" t="s">
        <v>282</v>
      </c>
      <c r="B177" s="24">
        <v>100</v>
      </c>
      <c r="G177" s="24" t="s">
        <v>251</v>
      </c>
      <c r="H177" s="24">
        <v>100</v>
      </c>
      <c r="L177" s="24" t="s">
        <v>246</v>
      </c>
      <c r="M177" s="24">
        <v>60</v>
      </c>
      <c r="R177" s="24"/>
      <c r="S177" s="24"/>
      <c r="V177" s="24"/>
      <c r="W177" s="24"/>
      <c r="Z177" s="24" t="s">
        <v>247</v>
      </c>
      <c r="AA177" s="24"/>
      <c r="AD177" s="24" t="s">
        <v>247</v>
      </c>
      <c r="AE177" s="24"/>
      <c r="AH177" s="24" t="s">
        <v>301</v>
      </c>
      <c r="AI177" s="24">
        <v>500</v>
      </c>
      <c r="AL177" s="24"/>
      <c r="AM177" s="24"/>
      <c r="AR177" s="24"/>
      <c r="AS177" s="28"/>
      <c r="AT177" s="28"/>
      <c r="AU177" s="40"/>
      <c r="AY177" s="36"/>
      <c r="AZ177" s="36"/>
      <c r="BA177" s="24"/>
      <c r="BB177" s="40"/>
      <c r="BC177" s="37"/>
    </row>
    <row r="178" spans="1:55" x14ac:dyDescent="0.25">
      <c r="A178" s="24" t="s">
        <v>247</v>
      </c>
      <c r="B178" s="24"/>
      <c r="G178" s="24" t="s">
        <v>247</v>
      </c>
      <c r="H178" s="24"/>
      <c r="L178" s="24" t="s">
        <v>247</v>
      </c>
      <c r="M178" s="24"/>
      <c r="AH178" s="24" t="s">
        <v>247</v>
      </c>
      <c r="AI178" s="24"/>
    </row>
    <row r="180" spans="1:55" x14ac:dyDescent="0.25">
      <c r="Z180" s="1" t="s">
        <v>61</v>
      </c>
      <c r="AA180" s="1" t="s">
        <v>156</v>
      </c>
      <c r="AB180" s="1"/>
    </row>
    <row r="181" spans="1:55" x14ac:dyDescent="0.25">
      <c r="Z181" s="1"/>
      <c r="AA181" s="1"/>
      <c r="AB181" s="1"/>
    </row>
    <row r="182" spans="1:55" x14ac:dyDescent="0.25">
      <c r="Z182" s="1"/>
      <c r="AA182" s="1"/>
      <c r="AB182" s="1"/>
    </row>
    <row r="183" spans="1:55" x14ac:dyDescent="0.25">
      <c r="Z183" s="1"/>
      <c r="AA183" s="1"/>
      <c r="AB183" s="1"/>
    </row>
    <row r="184" spans="1:55" x14ac:dyDescent="0.25">
      <c r="Z184" s="1"/>
      <c r="AA184" s="1"/>
      <c r="AB184" s="1"/>
    </row>
    <row r="185" spans="1:55" x14ac:dyDescent="0.25">
      <c r="Z185" s="1"/>
      <c r="AA185" s="1"/>
      <c r="AB185" s="1"/>
    </row>
    <row r="186" spans="1:55" x14ac:dyDescent="0.25">
      <c r="Z186" s="1"/>
      <c r="AA186" s="1"/>
      <c r="AB186" s="1"/>
    </row>
    <row r="187" spans="1:55" x14ac:dyDescent="0.25">
      <c r="Z187" s="1"/>
      <c r="AA187" s="1"/>
      <c r="AB187" s="1"/>
    </row>
    <row r="188" spans="1:55" x14ac:dyDescent="0.25">
      <c r="Z188" s="1"/>
      <c r="AA188" s="1"/>
      <c r="AB188" s="1"/>
    </row>
    <row r="189" spans="1:55" x14ac:dyDescent="0.25">
      <c r="G189" s="1" t="s">
        <v>61</v>
      </c>
      <c r="H189" s="1" t="s">
        <v>124</v>
      </c>
      <c r="L189" s="1" t="s">
        <v>61</v>
      </c>
      <c r="M189" s="1" t="s">
        <v>205</v>
      </c>
      <c r="N189" s="1"/>
      <c r="R189" s="1" t="s">
        <v>61</v>
      </c>
      <c r="S189" s="1" t="s">
        <v>104</v>
      </c>
      <c r="T189" s="1"/>
      <c r="V189" s="1" t="s">
        <v>61</v>
      </c>
      <c r="W189" s="1" t="s">
        <v>130</v>
      </c>
      <c r="X189" s="1"/>
      <c r="Z189" s="1" t="s">
        <v>62</v>
      </c>
      <c r="AA189" s="1" t="str">
        <f>VLOOKUP(AA180,LISTPROD[],2,FALSE)</f>
        <v>MERO MACHO</v>
      </c>
      <c r="AB189" s="1"/>
      <c r="AD189" s="1" t="s">
        <v>61</v>
      </c>
      <c r="AE189" s="1" t="s">
        <v>190</v>
      </c>
      <c r="AF189" s="1"/>
      <c r="AH189" s="1" t="s">
        <v>61</v>
      </c>
      <c r="AI189" s="1" t="s">
        <v>228</v>
      </c>
      <c r="AJ189" s="1"/>
      <c r="AL189" s="1" t="s">
        <v>61</v>
      </c>
      <c r="AM189" s="1"/>
      <c r="AN189" s="1"/>
      <c r="AR189" s="1" t="s">
        <v>61</v>
      </c>
      <c r="AS189" s="1"/>
      <c r="AT189" s="1" t="s">
        <v>386</v>
      </c>
      <c r="AY189" s="1" t="s">
        <v>61</v>
      </c>
      <c r="AZ189" s="1"/>
      <c r="BA189" s="1" t="s">
        <v>388</v>
      </c>
      <c r="BB189" s="37"/>
      <c r="BC189" s="37"/>
    </row>
    <row r="190" spans="1:55" x14ac:dyDescent="0.25">
      <c r="G190" s="1" t="s">
        <v>62</v>
      </c>
      <c r="H190" s="1" t="str">
        <f>VLOOKUP(H189,LISTPROD[],2,FALSE)</f>
        <v>FERRUM LT</v>
      </c>
      <c r="L190" s="1" t="s">
        <v>62</v>
      </c>
      <c r="M190" s="1" t="str">
        <f>VLOOKUP(M189,LISTPROD[],2,FALSE)</f>
        <v>UNGÜENTO CUBANO</v>
      </c>
      <c r="N190" s="1"/>
      <c r="R190" s="1" t="s">
        <v>62</v>
      </c>
      <c r="S190" s="1" t="str">
        <f>VLOOKUP(S189,LISTPROD[],2,FALSE)</f>
        <v>COLIRIO CUBANO (Gotas)</v>
      </c>
      <c r="T190" s="1"/>
      <c r="V190" s="1" t="s">
        <v>62</v>
      </c>
      <c r="W190" s="1" t="str">
        <f>VLOOKUP(W189,LISTPROD[],2,FALSE)</f>
        <v>FLOR DE CENTELLA NUEVA</v>
      </c>
      <c r="X190" s="1"/>
      <c r="Z190" s="1" t="s">
        <v>234</v>
      </c>
      <c r="AA190" s="1" t="str">
        <f>VLOOKUP(AA180,LISTPROD[],3,FALSE)</f>
        <v>MERO MACHO</v>
      </c>
      <c r="AB190" s="1"/>
      <c r="AD190" s="1" t="s">
        <v>62</v>
      </c>
      <c r="AE190" s="1" t="str">
        <f>VLOOKUP(AE189,LISTPROD[],2,FALSE)</f>
        <v>SALTO DEL TIGRE</v>
      </c>
      <c r="AF190" s="1"/>
      <c r="AH190" s="1" t="s">
        <v>62</v>
      </c>
      <c r="AI190" s="1" t="str">
        <f>VLOOKUP(AI189,LISTPROD[],2,FALSE)</f>
        <v>FACTOR D7</v>
      </c>
      <c r="AJ190" s="1"/>
      <c r="AL190" s="1" t="s">
        <v>62</v>
      </c>
      <c r="AM190" s="1" t="e">
        <f>VLOOKUP(AM189,LISTPROD[],2,FALSE)</f>
        <v>#N/A</v>
      </c>
      <c r="AN190" s="1"/>
      <c r="AR190" s="1" t="s">
        <v>62</v>
      </c>
      <c r="AS190" s="1"/>
      <c r="AT190" s="1" t="str">
        <f>VLOOKUP(AT189,LISTPROD[],2,FALSE)</f>
        <v>CALENDULA (Capsulas)</v>
      </c>
      <c r="AY190" s="1" t="s">
        <v>62</v>
      </c>
      <c r="AZ190" s="1"/>
      <c r="BA190" s="1" t="str">
        <f>VLOOKUP(BA189,LISTPROD[],2,FALSE)</f>
        <v>COLAGENO(Capsulas)</v>
      </c>
      <c r="BB190" s="37"/>
      <c r="BC190" s="37"/>
    </row>
    <row r="191" spans="1:55" x14ac:dyDescent="0.25">
      <c r="G191" s="1" t="s">
        <v>234</v>
      </c>
      <c r="H191" s="1" t="str">
        <f>VLOOKUP(H189,LISTPROD[],3,FALSE)</f>
        <v>FERRUM PHOSPHORICUM</v>
      </c>
      <c r="L191" s="1" t="s">
        <v>234</v>
      </c>
      <c r="M191" s="1" t="str">
        <f>VLOOKUP(M189,LISTPROD[],3,FALSE)</f>
        <v>CUBANO UNGÜENTO UÑA DE GATO</v>
      </c>
      <c r="N191" s="1"/>
      <c r="R191" s="1" t="s">
        <v>234</v>
      </c>
      <c r="S191" s="1" t="str">
        <f>VLOOKUP(S189,LISTPROD[],3,FALSE)</f>
        <v>COLIRIO CUBANO (Gotas)</v>
      </c>
      <c r="T191" s="1"/>
      <c r="V191" s="1" t="s">
        <v>234</v>
      </c>
      <c r="W191" s="1" t="str">
        <f>VLOOKUP(W189,LISTPROD[],3,FALSE)</f>
        <v>FLOR DE CENTELLA NUEVA</v>
      </c>
      <c r="X191" s="1"/>
      <c r="Z191" s="1" t="s">
        <v>239</v>
      </c>
      <c r="AA191" s="21"/>
      <c r="AB191" s="21"/>
      <c r="AD191" s="1" t="s">
        <v>234</v>
      </c>
      <c r="AE191" s="1" t="str">
        <f>VLOOKUP(AE189,LISTPROD[],3,FALSE)</f>
        <v>SALTO DEL TIGRE</v>
      </c>
      <c r="AF191" s="1"/>
      <c r="AH191" s="1" t="s">
        <v>234</v>
      </c>
      <c r="AI191" s="1" t="str">
        <f>VLOOKUP(AI189,LISTPROD[],3,FALSE)</f>
        <v>FACTOR D7</v>
      </c>
      <c r="AJ191" s="1"/>
      <c r="AL191" s="1" t="s">
        <v>234</v>
      </c>
      <c r="AM191" s="1" t="e">
        <f>VLOOKUP(AM189,LISTPROD[],3,FALSE)</f>
        <v>#N/A</v>
      </c>
      <c r="AN191" s="1"/>
      <c r="AR191" s="1" t="s">
        <v>234</v>
      </c>
      <c r="AS191" s="1"/>
      <c r="AT191" s="1" t="str">
        <f>VLOOKUP(AT189,LISTPROD[],3,FALSE)</f>
        <v>CALENDULA</v>
      </c>
      <c r="AY191" s="1" t="s">
        <v>234</v>
      </c>
      <c r="AZ191" s="1"/>
      <c r="BA191" s="1" t="str">
        <f>VLOOKUP(BA189,LISTPROD[],3,FALSE)</f>
        <v>COLAGENO</v>
      </c>
      <c r="BB191" s="37"/>
      <c r="BC191" s="37"/>
    </row>
    <row r="192" spans="1:55" x14ac:dyDescent="0.25">
      <c r="G192" s="1" t="s">
        <v>239</v>
      </c>
      <c r="H192" s="21"/>
      <c r="L192" s="1" t="s">
        <v>239</v>
      </c>
      <c r="M192" s="21"/>
      <c r="N192" s="21"/>
      <c r="R192" s="1" t="s">
        <v>239</v>
      </c>
      <c r="S192" s="21"/>
      <c r="T192" s="21"/>
      <c r="V192" s="1" t="s">
        <v>239</v>
      </c>
      <c r="W192" s="21"/>
      <c r="X192" s="21"/>
      <c r="Z192" s="1" t="s">
        <v>240</v>
      </c>
      <c r="AA192" s="21"/>
      <c r="AB192" s="21"/>
      <c r="AD192" s="1" t="s">
        <v>239</v>
      </c>
      <c r="AE192" s="21"/>
      <c r="AF192" s="21"/>
      <c r="AH192" s="1" t="s">
        <v>239</v>
      </c>
      <c r="AI192" s="21"/>
      <c r="AJ192" s="21"/>
      <c r="AL192" s="1" t="s">
        <v>239</v>
      </c>
      <c r="AM192" s="21"/>
      <c r="AN192" s="21"/>
      <c r="AR192" s="1" t="s">
        <v>239</v>
      </c>
      <c r="AS192" s="1"/>
      <c r="AT192" s="21">
        <v>140</v>
      </c>
      <c r="AY192" s="1" t="s">
        <v>239</v>
      </c>
      <c r="AZ192" s="1"/>
      <c r="BA192" s="21"/>
      <c r="BB192" s="37"/>
      <c r="BC192" s="37"/>
    </row>
    <row r="193" spans="7:55" x14ac:dyDescent="0.25">
      <c r="G193" s="1" t="s">
        <v>240</v>
      </c>
      <c r="H193" s="21"/>
      <c r="L193" s="1" t="s">
        <v>240</v>
      </c>
      <c r="M193" s="21"/>
      <c r="N193" s="21"/>
      <c r="R193" s="1" t="s">
        <v>240</v>
      </c>
      <c r="S193" s="21"/>
      <c r="T193" s="21"/>
      <c r="V193" s="1" t="s">
        <v>240</v>
      </c>
      <c r="W193" s="21"/>
      <c r="X193" s="21"/>
      <c r="Z193" s="1" t="s">
        <v>238</v>
      </c>
      <c r="AA193" s="21"/>
      <c r="AB193" s="21"/>
      <c r="AD193" s="1" t="s">
        <v>240</v>
      </c>
      <c r="AE193" s="21"/>
      <c r="AF193" s="21"/>
      <c r="AH193" s="1" t="s">
        <v>240</v>
      </c>
      <c r="AI193" s="21"/>
      <c r="AJ193" s="21"/>
      <c r="AL193" s="1" t="s">
        <v>240</v>
      </c>
      <c r="AM193" s="21"/>
      <c r="AN193" s="21"/>
      <c r="AR193" s="1" t="s">
        <v>240</v>
      </c>
      <c r="AS193" s="1"/>
      <c r="AT193" s="21"/>
      <c r="AY193" s="1" t="s">
        <v>240</v>
      </c>
      <c r="AZ193" s="1"/>
      <c r="BA193" s="21"/>
      <c r="BB193" s="37"/>
      <c r="BC193" s="37"/>
    </row>
    <row r="194" spans="7:55" x14ac:dyDescent="0.25">
      <c r="G194" s="1" t="s">
        <v>238</v>
      </c>
      <c r="H194" s="21"/>
      <c r="L194" s="1" t="s">
        <v>238</v>
      </c>
      <c r="M194" s="21"/>
      <c r="N194" s="21"/>
      <c r="R194" s="1" t="s">
        <v>238</v>
      </c>
      <c r="S194" s="21"/>
      <c r="T194" s="21"/>
      <c r="V194" s="1" t="s">
        <v>238</v>
      </c>
      <c r="W194" s="21"/>
      <c r="X194" s="21"/>
      <c r="Z194" s="23" t="s">
        <v>1</v>
      </c>
      <c r="AA194" s="23" t="s">
        <v>322</v>
      </c>
      <c r="AB194" s="38" t="s">
        <v>2</v>
      </c>
      <c r="AD194" s="1" t="s">
        <v>238</v>
      </c>
      <c r="AE194" s="21"/>
      <c r="AF194" s="21"/>
      <c r="AH194" s="1" t="s">
        <v>238</v>
      </c>
      <c r="AI194" s="21"/>
      <c r="AJ194" s="21"/>
      <c r="AL194" s="1" t="s">
        <v>238</v>
      </c>
      <c r="AM194" s="21"/>
      <c r="AN194" s="21"/>
      <c r="AR194" s="1" t="s">
        <v>238</v>
      </c>
      <c r="AS194" s="1"/>
      <c r="AT194" s="21"/>
      <c r="AY194" s="1" t="s">
        <v>238</v>
      </c>
      <c r="AZ194" s="1"/>
      <c r="BA194" s="21"/>
      <c r="BB194" s="37"/>
      <c r="BC194" s="37"/>
    </row>
    <row r="195" spans="7:55" x14ac:dyDescent="0.25">
      <c r="G195" s="25" t="s">
        <v>1</v>
      </c>
      <c r="H195" s="23" t="s">
        <v>322</v>
      </c>
      <c r="I195" s="38" t="s">
        <v>2</v>
      </c>
      <c r="L195" s="25" t="s">
        <v>1</v>
      </c>
      <c r="M195" s="23" t="s">
        <v>322</v>
      </c>
      <c r="N195" s="38" t="s">
        <v>2</v>
      </c>
      <c r="R195" s="23" t="s">
        <v>1</v>
      </c>
      <c r="S195" s="23" t="s">
        <v>322</v>
      </c>
      <c r="T195" s="38" t="s">
        <v>2</v>
      </c>
      <c r="V195" s="23" t="s">
        <v>1</v>
      </c>
      <c r="W195" s="23" t="s">
        <v>322</v>
      </c>
      <c r="X195" s="38" t="s">
        <v>2</v>
      </c>
      <c r="Z195" s="24" t="s">
        <v>251</v>
      </c>
      <c r="AA195" s="24">
        <v>450</v>
      </c>
      <c r="AD195" s="23" t="s">
        <v>1</v>
      </c>
      <c r="AE195" s="23" t="s">
        <v>322</v>
      </c>
      <c r="AF195" s="38" t="s">
        <v>2</v>
      </c>
      <c r="AH195" s="23" t="s">
        <v>1</v>
      </c>
      <c r="AI195" s="23" t="s">
        <v>322</v>
      </c>
      <c r="AJ195" s="38" t="s">
        <v>2</v>
      </c>
      <c r="AL195" s="23" t="s">
        <v>1</v>
      </c>
      <c r="AM195" s="23" t="s">
        <v>2</v>
      </c>
      <c r="AN195" s="23"/>
      <c r="AR195" s="23" t="s">
        <v>1</v>
      </c>
      <c r="AS195" s="23" t="s">
        <v>391</v>
      </c>
      <c r="AT195" s="23" t="s">
        <v>322</v>
      </c>
      <c r="AU195" s="38" t="s">
        <v>2</v>
      </c>
      <c r="AV195" s="98" t="s">
        <v>394</v>
      </c>
      <c r="AW195" s="95"/>
      <c r="AY195" s="23" t="s">
        <v>1</v>
      </c>
      <c r="AZ195" s="23"/>
      <c r="BA195" s="23" t="s">
        <v>322</v>
      </c>
      <c r="BB195" s="73" t="s">
        <v>2</v>
      </c>
      <c r="BC195" s="95"/>
    </row>
    <row r="196" spans="7:55" x14ac:dyDescent="0.25">
      <c r="G196" s="24" t="s">
        <v>252</v>
      </c>
      <c r="H196" s="24">
        <v>600</v>
      </c>
      <c r="L196" s="24" t="s">
        <v>285</v>
      </c>
      <c r="M196" s="24">
        <v>5000</v>
      </c>
      <c r="R196" s="24" t="s">
        <v>267</v>
      </c>
      <c r="S196" s="27"/>
      <c r="T196" s="42"/>
      <c r="V196" s="24" t="s">
        <v>249</v>
      </c>
      <c r="W196" s="24">
        <v>500</v>
      </c>
      <c r="Z196" s="24" t="s">
        <v>252</v>
      </c>
      <c r="AA196" s="24">
        <v>600</v>
      </c>
      <c r="AD196" s="24" t="s">
        <v>248</v>
      </c>
      <c r="AE196" s="24">
        <v>700</v>
      </c>
      <c r="AH196" s="24" t="s">
        <v>252</v>
      </c>
      <c r="AI196" s="24">
        <v>600</v>
      </c>
      <c r="AL196" s="24"/>
      <c r="AM196" s="24"/>
      <c r="AR196" s="36" t="s">
        <v>395</v>
      </c>
      <c r="AS196" s="24" t="s">
        <v>368</v>
      </c>
      <c r="AT196" s="74" t="s">
        <v>393</v>
      </c>
      <c r="AU196" s="104">
        <v>140</v>
      </c>
      <c r="AV196" s="99">
        <f>AU196/$AT$192</f>
        <v>1</v>
      </c>
      <c r="AW196" s="97"/>
      <c r="AY196" s="36"/>
      <c r="AZ196" s="36"/>
      <c r="BA196" s="74"/>
      <c r="BB196" s="39"/>
      <c r="BC196" s="97"/>
    </row>
    <row r="197" spans="7:55" x14ac:dyDescent="0.25">
      <c r="G197" s="24" t="s">
        <v>244</v>
      </c>
      <c r="H197" s="24">
        <v>200</v>
      </c>
      <c r="L197" s="27" t="s">
        <v>286</v>
      </c>
      <c r="M197" s="24">
        <v>3000</v>
      </c>
      <c r="R197" s="24" t="s">
        <v>265</v>
      </c>
      <c r="S197" s="24">
        <v>150</v>
      </c>
      <c r="V197" s="24" t="s">
        <v>250</v>
      </c>
      <c r="W197" s="24">
        <v>500</v>
      </c>
      <c r="Z197" s="24" t="s">
        <v>243</v>
      </c>
      <c r="AA197" s="24">
        <v>1000</v>
      </c>
      <c r="AD197" s="24" t="s">
        <v>252</v>
      </c>
      <c r="AE197" s="24">
        <v>600</v>
      </c>
      <c r="AH197" s="24" t="s">
        <v>244</v>
      </c>
      <c r="AI197" s="24">
        <v>200</v>
      </c>
      <c r="AL197" s="24"/>
      <c r="AM197" s="24"/>
      <c r="AR197" s="36" t="s">
        <v>397</v>
      </c>
      <c r="AS197" s="24" t="s">
        <v>392</v>
      </c>
      <c r="AT197" s="74" t="s">
        <v>54</v>
      </c>
      <c r="AU197" s="104">
        <v>4200</v>
      </c>
      <c r="AV197" s="99">
        <f t="shared" ref="AV197:AV202" si="2">AU197/$AT$192</f>
        <v>30</v>
      </c>
      <c r="AW197" s="97"/>
      <c r="AY197" s="36"/>
      <c r="AZ197" s="36"/>
      <c r="BA197" s="74"/>
      <c r="BB197" s="39"/>
      <c r="BC197" s="97"/>
    </row>
    <row r="198" spans="7:55" x14ac:dyDescent="0.25">
      <c r="G198" s="24" t="s">
        <v>289</v>
      </c>
      <c r="H198" s="24">
        <v>200</v>
      </c>
      <c r="L198" s="24" t="s">
        <v>287</v>
      </c>
      <c r="M198" s="24">
        <v>300</v>
      </c>
      <c r="R198" s="24" t="s">
        <v>259</v>
      </c>
      <c r="S198" s="24">
        <v>1</v>
      </c>
      <c r="V198" s="24" t="s">
        <v>248</v>
      </c>
      <c r="W198" s="24">
        <v>700</v>
      </c>
      <c r="Z198" s="27" t="s">
        <v>278</v>
      </c>
      <c r="AA198" s="24">
        <v>500</v>
      </c>
      <c r="AD198" s="24" t="s">
        <v>243</v>
      </c>
      <c r="AE198" s="24">
        <v>1000</v>
      </c>
      <c r="AH198" s="24" t="s">
        <v>268</v>
      </c>
      <c r="AI198" s="24">
        <v>1000</v>
      </c>
      <c r="AL198" s="24"/>
      <c r="AM198" s="24"/>
      <c r="AR198" s="36" t="s">
        <v>396</v>
      </c>
      <c r="AS198" s="24" t="s">
        <v>392</v>
      </c>
      <c r="AT198" s="74" t="s">
        <v>393</v>
      </c>
      <c r="AU198" s="104">
        <v>8400</v>
      </c>
      <c r="AV198" s="99">
        <f t="shared" si="2"/>
        <v>60</v>
      </c>
      <c r="AW198" s="97"/>
      <c r="AY198" s="36"/>
      <c r="AZ198" s="36"/>
      <c r="BA198" s="74"/>
      <c r="BB198" s="39"/>
      <c r="BC198" s="97"/>
    </row>
    <row r="199" spans="7:55" ht="30" x14ac:dyDescent="0.25">
      <c r="G199" s="24" t="s">
        <v>268</v>
      </c>
      <c r="H199" s="24">
        <v>1000</v>
      </c>
      <c r="L199" s="24" t="s">
        <v>288</v>
      </c>
      <c r="M199" s="24">
        <v>6</v>
      </c>
      <c r="R199" s="24"/>
      <c r="S199" s="24"/>
      <c r="V199" s="24" t="s">
        <v>243</v>
      </c>
      <c r="W199" s="24">
        <v>1000</v>
      </c>
      <c r="Z199" s="27" t="s">
        <v>273</v>
      </c>
      <c r="AA199" s="24">
        <v>1</v>
      </c>
      <c r="AD199" s="24" t="s">
        <v>251</v>
      </c>
      <c r="AE199" s="24">
        <v>250</v>
      </c>
      <c r="AH199" s="24" t="s">
        <v>262</v>
      </c>
      <c r="AI199" s="24">
        <v>100</v>
      </c>
      <c r="AL199" s="24"/>
      <c r="AM199" s="24"/>
      <c r="AR199" s="36" t="s">
        <v>371</v>
      </c>
      <c r="AS199" s="24" t="s">
        <v>368</v>
      </c>
      <c r="AT199" s="74" t="s">
        <v>393</v>
      </c>
      <c r="AU199" s="104">
        <v>140</v>
      </c>
      <c r="AV199" s="99">
        <f t="shared" si="2"/>
        <v>1</v>
      </c>
      <c r="AW199" s="97"/>
      <c r="AY199" s="36"/>
      <c r="AZ199" s="36"/>
      <c r="BA199" s="24"/>
      <c r="BB199" s="39"/>
      <c r="BC199" s="97"/>
    </row>
    <row r="200" spans="7:55" x14ac:dyDescent="0.25">
      <c r="G200" s="24" t="s">
        <v>248</v>
      </c>
      <c r="H200" s="24">
        <v>800</v>
      </c>
      <c r="L200" s="24"/>
      <c r="M200" s="24"/>
      <c r="R200" s="24"/>
      <c r="S200" s="24"/>
      <c r="V200" s="24" t="s">
        <v>251</v>
      </c>
      <c r="W200" s="24">
        <v>250</v>
      </c>
      <c r="Z200" s="27" t="s">
        <v>274</v>
      </c>
      <c r="AA200" s="24">
        <v>120</v>
      </c>
      <c r="AD200" s="24" t="s">
        <v>301</v>
      </c>
      <c r="AE200" s="24">
        <v>600</v>
      </c>
      <c r="AH200" s="24" t="s">
        <v>248</v>
      </c>
      <c r="AI200" s="24">
        <v>800</v>
      </c>
      <c r="AL200" s="24"/>
      <c r="AM200" s="24"/>
      <c r="AR200" s="36" t="s">
        <v>372</v>
      </c>
      <c r="AS200" s="24" t="s">
        <v>368</v>
      </c>
      <c r="AT200" s="74" t="s">
        <v>393</v>
      </c>
      <c r="AU200" s="104">
        <v>140</v>
      </c>
      <c r="AV200" s="99">
        <f t="shared" si="2"/>
        <v>1</v>
      </c>
      <c r="AW200" s="97"/>
      <c r="AY200" s="36"/>
      <c r="AZ200" s="36"/>
      <c r="BA200" s="24"/>
      <c r="BB200" s="39"/>
      <c r="BC200" s="97"/>
    </row>
    <row r="201" spans="7:55" x14ac:dyDescent="0.25">
      <c r="G201" s="24" t="s">
        <v>243</v>
      </c>
      <c r="H201" s="24">
        <v>300</v>
      </c>
      <c r="L201" s="24"/>
      <c r="M201" s="24"/>
      <c r="R201" s="24"/>
      <c r="S201" s="24"/>
      <c r="V201" s="24" t="s">
        <v>252</v>
      </c>
      <c r="W201" s="24">
        <v>600</v>
      </c>
      <c r="Z201" s="27" t="s">
        <v>274</v>
      </c>
      <c r="AA201" s="24">
        <v>1000</v>
      </c>
      <c r="AD201" s="24" t="s">
        <v>300</v>
      </c>
      <c r="AE201" s="24">
        <v>600</v>
      </c>
      <c r="AH201" s="24" t="s">
        <v>251</v>
      </c>
      <c r="AI201" s="24">
        <v>100</v>
      </c>
      <c r="AL201" s="24"/>
      <c r="AM201" s="24"/>
      <c r="AR201" s="36" t="s">
        <v>373</v>
      </c>
      <c r="AS201" s="24" t="s">
        <v>368</v>
      </c>
      <c r="AT201" s="74" t="s">
        <v>393</v>
      </c>
      <c r="AU201" s="104">
        <v>140</v>
      </c>
      <c r="AV201" s="99">
        <f t="shared" si="2"/>
        <v>1</v>
      </c>
      <c r="AW201" s="97"/>
      <c r="AY201" s="36"/>
      <c r="AZ201" s="36"/>
      <c r="BA201" s="24"/>
      <c r="BB201" s="39"/>
      <c r="BC201" s="97"/>
    </row>
    <row r="202" spans="7:55" x14ac:dyDescent="0.25">
      <c r="G202" s="24" t="s">
        <v>246</v>
      </c>
      <c r="H202" s="24">
        <v>60</v>
      </c>
      <c r="L202" s="24"/>
      <c r="M202" s="24"/>
      <c r="R202" s="24"/>
      <c r="S202" s="24"/>
      <c r="V202" s="24" t="s">
        <v>247</v>
      </c>
      <c r="W202" s="24"/>
      <c r="Z202" s="24" t="s">
        <v>275</v>
      </c>
      <c r="AA202" s="24">
        <v>200</v>
      </c>
      <c r="AD202" s="24" t="s">
        <v>302</v>
      </c>
      <c r="AE202" s="24">
        <v>150</v>
      </c>
      <c r="AH202" s="24" t="s">
        <v>243</v>
      </c>
      <c r="AI202" s="24">
        <v>300</v>
      </c>
      <c r="AL202" s="24"/>
      <c r="AM202" s="24"/>
      <c r="AR202" s="36" t="s">
        <v>374</v>
      </c>
      <c r="AS202" s="92" t="s">
        <v>368</v>
      </c>
      <c r="AT202" s="75" t="s">
        <v>393</v>
      </c>
      <c r="AU202" s="104">
        <v>140</v>
      </c>
      <c r="AV202" s="99">
        <f t="shared" si="2"/>
        <v>1</v>
      </c>
      <c r="AW202" s="97"/>
      <c r="AY202" s="36"/>
      <c r="AZ202" s="36"/>
      <c r="BA202" s="24"/>
      <c r="BB202" s="39"/>
      <c r="BC202" s="97"/>
    </row>
    <row r="203" spans="7:55" x14ac:dyDescent="0.25">
      <c r="G203" s="24" t="s">
        <v>251</v>
      </c>
      <c r="H203" s="24">
        <v>100</v>
      </c>
      <c r="L203" s="24"/>
      <c r="M203" s="24"/>
      <c r="R203" s="24"/>
      <c r="S203" s="24"/>
      <c r="V203" s="24"/>
      <c r="W203" s="24"/>
      <c r="Z203" s="24" t="s">
        <v>276</v>
      </c>
      <c r="AA203" s="24">
        <v>300</v>
      </c>
      <c r="AD203" s="24" t="s">
        <v>247</v>
      </c>
      <c r="AE203" s="24"/>
      <c r="AH203" s="24" t="s">
        <v>246</v>
      </c>
      <c r="AI203" s="24">
        <v>60</v>
      </c>
      <c r="AL203" s="24"/>
      <c r="AM203" s="24"/>
      <c r="AR203" s="24"/>
      <c r="AS203" s="24"/>
      <c r="AT203" s="24"/>
      <c r="AU203" s="40"/>
      <c r="AV203" s="24"/>
      <c r="AY203" s="36"/>
      <c r="AZ203" s="36"/>
      <c r="BA203" s="24"/>
      <c r="BB203" s="40"/>
      <c r="BC203" s="37"/>
    </row>
    <row r="204" spans="7:55" x14ac:dyDescent="0.25">
      <c r="G204" s="24" t="s">
        <v>247</v>
      </c>
      <c r="H204" s="24"/>
      <c r="L204" s="24"/>
      <c r="M204" s="24"/>
      <c r="R204" s="24"/>
      <c r="S204" s="24"/>
      <c r="V204" s="24"/>
      <c r="W204" s="24"/>
      <c r="Z204" s="24" t="s">
        <v>246</v>
      </c>
      <c r="AA204" s="24">
        <v>4</v>
      </c>
      <c r="AD204" s="24"/>
      <c r="AE204" s="24"/>
      <c r="AH204" s="24" t="s">
        <v>247</v>
      </c>
      <c r="AI204" s="24"/>
      <c r="AL204" s="24"/>
      <c r="AM204" s="24"/>
      <c r="AV204"/>
    </row>
    <row r="205" spans="7:55" x14ac:dyDescent="0.25">
      <c r="G205" s="24"/>
      <c r="H205" s="24"/>
      <c r="L205" s="24"/>
      <c r="M205" s="24"/>
      <c r="R205" s="24"/>
      <c r="S205" s="24"/>
      <c r="V205" s="24"/>
      <c r="W205" s="24"/>
      <c r="Z205" s="24" t="s">
        <v>259</v>
      </c>
      <c r="AA205" s="24">
        <v>1</v>
      </c>
      <c r="AD205" s="24"/>
      <c r="AE205" s="24"/>
      <c r="AH205" s="24"/>
      <c r="AI205" s="24"/>
      <c r="AL205" s="24"/>
      <c r="AM205" s="24"/>
      <c r="AV205"/>
    </row>
    <row r="206" spans="7:55" x14ac:dyDescent="0.25">
      <c r="G206" s="24"/>
      <c r="H206" s="24"/>
      <c r="L206" s="24"/>
      <c r="M206" s="24"/>
      <c r="R206" s="24"/>
      <c r="S206" s="24"/>
      <c r="V206" s="24"/>
      <c r="W206" s="24"/>
      <c r="Z206" s="27" t="s">
        <v>277</v>
      </c>
      <c r="AA206" s="24">
        <v>150</v>
      </c>
      <c r="AD206" s="24"/>
      <c r="AE206" s="24"/>
      <c r="AH206" s="24"/>
      <c r="AI206" s="24"/>
      <c r="AL206" s="24"/>
      <c r="AM206" s="24"/>
      <c r="AV206"/>
    </row>
    <row r="207" spans="7:55" x14ac:dyDescent="0.25">
      <c r="Z207" s="24" t="s">
        <v>247</v>
      </c>
      <c r="AA207" s="24"/>
      <c r="AH207" s="24"/>
      <c r="AI207" s="24"/>
      <c r="AV207"/>
    </row>
    <row r="210" spans="7:46" x14ac:dyDescent="0.25">
      <c r="Z210" s="1" t="s">
        <v>61</v>
      </c>
      <c r="AA210" s="1" t="s">
        <v>158</v>
      </c>
      <c r="AB210" s="1"/>
    </row>
    <row r="211" spans="7:46" x14ac:dyDescent="0.25">
      <c r="Z211" s="1"/>
      <c r="AA211" s="1"/>
      <c r="AB211" s="1"/>
    </row>
    <row r="212" spans="7:46" x14ac:dyDescent="0.25">
      <c r="Z212" s="1"/>
      <c r="AA212" s="1"/>
      <c r="AB212" s="1"/>
    </row>
    <row r="213" spans="7:46" x14ac:dyDescent="0.25">
      <c r="Z213" s="1"/>
      <c r="AA213" s="1"/>
      <c r="AB213" s="1"/>
    </row>
    <row r="214" spans="7:46" x14ac:dyDescent="0.25">
      <c r="Z214" s="1"/>
      <c r="AA214" s="1"/>
      <c r="AB214" s="1"/>
    </row>
    <row r="215" spans="7:46" x14ac:dyDescent="0.25">
      <c r="Z215" s="1"/>
      <c r="AA215" s="1"/>
      <c r="AB215" s="1"/>
    </row>
    <row r="216" spans="7:46" x14ac:dyDescent="0.25">
      <c r="Z216" s="1"/>
      <c r="AA216" s="1"/>
      <c r="AB216" s="1"/>
    </row>
    <row r="217" spans="7:46" x14ac:dyDescent="0.25">
      <c r="Z217" s="1"/>
      <c r="AA217" s="1"/>
      <c r="AB217" s="1"/>
    </row>
    <row r="218" spans="7:46" x14ac:dyDescent="0.25">
      <c r="Z218" s="1"/>
      <c r="AA218" s="1"/>
      <c r="AB218" s="1"/>
    </row>
    <row r="219" spans="7:46" x14ac:dyDescent="0.25">
      <c r="G219" s="1" t="s">
        <v>61</v>
      </c>
      <c r="H219" s="1" t="s">
        <v>134</v>
      </c>
      <c r="L219" s="1" t="s">
        <v>61</v>
      </c>
      <c r="M219" s="1" t="s">
        <v>207</v>
      </c>
      <c r="N219" s="1"/>
      <c r="R219" s="1" t="s">
        <v>61</v>
      </c>
      <c r="S219" s="1" t="s">
        <v>105</v>
      </c>
      <c r="T219" s="1"/>
      <c r="V219" s="1" t="s">
        <v>61</v>
      </c>
      <c r="W219" s="1" t="s">
        <v>132</v>
      </c>
      <c r="X219" s="1"/>
      <c r="Z219" s="1" t="s">
        <v>62</v>
      </c>
      <c r="AA219" s="1" t="str">
        <f>VLOOKUP(AA210,LISTPROD[],2,FALSE)</f>
        <v>MORINGA OLIFERA</v>
      </c>
      <c r="AB219" s="1"/>
      <c r="AD219" s="1" t="s">
        <v>61</v>
      </c>
      <c r="AE219" s="1" t="s">
        <v>197</v>
      </c>
      <c r="AF219" s="1"/>
      <c r="AH219" s="1" t="s">
        <v>61</v>
      </c>
      <c r="AI219" s="1" t="s">
        <v>230</v>
      </c>
      <c r="AJ219" s="1"/>
      <c r="AL219" s="1" t="s">
        <v>61</v>
      </c>
      <c r="AM219" s="1"/>
      <c r="AN219" s="1"/>
      <c r="AR219" s="1" t="s">
        <v>61</v>
      </c>
      <c r="AS219" s="1"/>
      <c r="AT219" s="1"/>
    </row>
    <row r="220" spans="7:46" x14ac:dyDescent="0.25">
      <c r="G220" s="1" t="s">
        <v>62</v>
      </c>
      <c r="H220" s="1" t="str">
        <f>VLOOKUP(H219,LISTPROD[],2,FALSE)</f>
        <v>GASTROBELL</v>
      </c>
      <c r="L220" s="1" t="s">
        <v>62</v>
      </c>
      <c r="M220" s="1" t="str">
        <f>VLOOKUP(M219,LISTPROD[],2,FALSE)</f>
        <v>URODATIVO LT</v>
      </c>
      <c r="N220" s="1"/>
      <c r="R220" s="1" t="s">
        <v>62</v>
      </c>
      <c r="S220" s="1" t="str">
        <f>VLOOKUP(S219,LISTPROD[],2,FALSE)</f>
        <v>COLIRIO SABILA Y ZANAHORIA (Gotas)</v>
      </c>
      <c r="T220" s="1"/>
      <c r="V220" s="1" t="s">
        <v>62</v>
      </c>
      <c r="W220" s="1" t="str">
        <f>VLOOKUP(W219,LISTPROD[],2,FALSE)</f>
        <v>GASTRIUL</v>
      </c>
      <c r="X220" s="1"/>
      <c r="Z220" s="1" t="s">
        <v>234</v>
      </c>
      <c r="AA220" s="1" t="str">
        <f>VLOOKUP(AA210,LISTPROD[],3,FALSE)</f>
        <v>MORINGA OLIFERA</v>
      </c>
      <c r="AB220" s="1"/>
      <c r="AD220" s="1" t="s">
        <v>62</v>
      </c>
      <c r="AE220" s="1" t="str">
        <f>VLOOKUP(AE219,LISTPROD[],2,FALSE)</f>
        <v>TORO VITAL</v>
      </c>
      <c r="AF220" s="1"/>
      <c r="AH220" s="1" t="s">
        <v>62</v>
      </c>
      <c r="AI220" s="1" t="str">
        <f>VLOOKUP(AI219,LISTPROD[],2,FALSE)</f>
        <v xml:space="preserve">ORTIGA PHARMA </v>
      </c>
      <c r="AJ220" s="1"/>
      <c r="AL220" s="1" t="s">
        <v>62</v>
      </c>
      <c r="AM220" s="1" t="e">
        <f>VLOOKUP(AM219,LISTPROD[],2,FALSE)</f>
        <v>#N/A</v>
      </c>
      <c r="AN220" s="1"/>
      <c r="AR220" s="1" t="s">
        <v>62</v>
      </c>
      <c r="AS220" s="1"/>
      <c r="AT220" s="1" t="e">
        <f>VLOOKUP(AT219,'DETALLE PRODUCTOSxPrecio'!$A$7:$AK$99,2,FALSE)</f>
        <v>#N/A</v>
      </c>
    </row>
    <row r="221" spans="7:46" x14ac:dyDescent="0.25">
      <c r="G221" s="1" t="s">
        <v>234</v>
      </c>
      <c r="H221" s="1" t="str">
        <f>VLOOKUP(H219,LISTPROD[],3,FALSE)</f>
        <v>MANZANILLA-Esencia FLoral  500 ml</v>
      </c>
      <c r="L221" s="1" t="s">
        <v>234</v>
      </c>
      <c r="M221" s="1" t="str">
        <f>VLOOKUP(M219,LISTPROD[],3,FALSE)</f>
        <v>URODATIVO</v>
      </c>
      <c r="N221" s="1"/>
      <c r="R221" s="1" t="s">
        <v>234</v>
      </c>
      <c r="S221" s="1" t="str">
        <f>VLOOKUP(S219,LISTPROD[],3,FALSE)</f>
        <v>COLIRIO SABILA Y ZANAHORIA (Gotas)</v>
      </c>
      <c r="T221" s="1"/>
      <c r="V221" s="1" t="s">
        <v>234</v>
      </c>
      <c r="W221" s="1" t="str">
        <f>VLOOKUP(W219,LISTPROD[],3,FALSE)</f>
        <v>GASTRIUL</v>
      </c>
      <c r="X221" s="1"/>
      <c r="Z221" s="1" t="s">
        <v>239</v>
      </c>
      <c r="AA221" s="21"/>
      <c r="AB221" s="21"/>
      <c r="AD221" s="1" t="s">
        <v>234</v>
      </c>
      <c r="AE221" s="1" t="str">
        <f>VLOOKUP(AE219,LISTPROD[],3,FALSE)</f>
        <v>TORO VITAL</v>
      </c>
      <c r="AF221" s="1"/>
      <c r="AH221" s="1" t="s">
        <v>234</v>
      </c>
      <c r="AI221" s="1" t="str">
        <f>VLOOKUP(AI219,LISTPROD[],3,FALSE)</f>
        <v xml:space="preserve">ORTIGA PHARMA </v>
      </c>
      <c r="AJ221" s="1"/>
      <c r="AL221" s="1" t="s">
        <v>234</v>
      </c>
      <c r="AM221" s="1" t="e">
        <f>VLOOKUP(AM219,LISTPROD[],3,FALSE)</f>
        <v>#N/A</v>
      </c>
      <c r="AN221" s="1"/>
      <c r="AR221" s="1" t="s">
        <v>234</v>
      </c>
      <c r="AS221" s="1"/>
      <c r="AT221" s="1" t="e">
        <f>VLOOKUP(AT219,'DETALLE PRODUCTOSxPrecio'!$A$8:$AK$100,3,FALSE)</f>
        <v>#N/A</v>
      </c>
    </row>
    <row r="222" spans="7:46" x14ac:dyDescent="0.25">
      <c r="G222" s="1" t="s">
        <v>239</v>
      </c>
      <c r="H222" s="21"/>
      <c r="L222" s="1" t="s">
        <v>239</v>
      </c>
      <c r="M222" s="21"/>
      <c r="N222" s="21"/>
      <c r="R222" s="1" t="s">
        <v>239</v>
      </c>
      <c r="S222" s="21"/>
      <c r="T222" s="21"/>
      <c r="V222" s="1" t="s">
        <v>239</v>
      </c>
      <c r="W222" s="21"/>
      <c r="X222" s="21"/>
      <c r="Z222" s="1" t="s">
        <v>240</v>
      </c>
      <c r="AA222" s="21"/>
      <c r="AB222" s="21"/>
      <c r="AD222" s="1" t="s">
        <v>239</v>
      </c>
      <c r="AE222" s="21"/>
      <c r="AF222" s="21"/>
      <c r="AH222" s="1" t="s">
        <v>239</v>
      </c>
      <c r="AI222" s="21"/>
      <c r="AJ222" s="21"/>
      <c r="AL222" s="1" t="s">
        <v>239</v>
      </c>
      <c r="AM222" s="21"/>
      <c r="AN222" s="21"/>
      <c r="AR222" s="1" t="s">
        <v>239</v>
      </c>
      <c r="AS222" s="1"/>
      <c r="AT222" s="21"/>
    </row>
    <row r="223" spans="7:46" x14ac:dyDescent="0.25">
      <c r="G223" s="1" t="s">
        <v>240</v>
      </c>
      <c r="H223" s="21"/>
      <c r="L223" s="1" t="s">
        <v>240</v>
      </c>
      <c r="M223" s="21"/>
      <c r="N223" s="21"/>
      <c r="R223" s="1" t="s">
        <v>240</v>
      </c>
      <c r="S223" s="21"/>
      <c r="T223" s="21"/>
      <c r="V223" s="1" t="s">
        <v>240</v>
      </c>
      <c r="W223" s="21"/>
      <c r="X223" s="21"/>
      <c r="Z223" s="1" t="s">
        <v>238</v>
      </c>
      <c r="AA223" s="21"/>
      <c r="AB223" s="21"/>
      <c r="AD223" s="1" t="s">
        <v>240</v>
      </c>
      <c r="AE223" s="21"/>
      <c r="AF223" s="21"/>
      <c r="AH223" s="1" t="s">
        <v>240</v>
      </c>
      <c r="AI223" s="21"/>
      <c r="AJ223" s="21"/>
      <c r="AL223" s="1" t="s">
        <v>240</v>
      </c>
      <c r="AM223" s="21"/>
      <c r="AN223" s="21"/>
      <c r="AR223" s="1" t="s">
        <v>240</v>
      </c>
      <c r="AS223" s="1"/>
      <c r="AT223" s="21"/>
    </row>
    <row r="224" spans="7:46" x14ac:dyDescent="0.25">
      <c r="G224" s="1" t="s">
        <v>238</v>
      </c>
      <c r="H224" s="21"/>
      <c r="L224" s="1" t="s">
        <v>238</v>
      </c>
      <c r="M224" s="21"/>
      <c r="N224" s="21"/>
      <c r="R224" s="1" t="s">
        <v>238</v>
      </c>
      <c r="S224" s="21"/>
      <c r="T224" s="21"/>
      <c r="V224" s="1" t="s">
        <v>238</v>
      </c>
      <c r="W224" s="21"/>
      <c r="X224" s="21"/>
      <c r="Z224" s="23" t="s">
        <v>1</v>
      </c>
      <c r="AA224" s="23" t="s">
        <v>322</v>
      </c>
      <c r="AB224" s="38" t="s">
        <v>2</v>
      </c>
      <c r="AD224" s="1" t="s">
        <v>238</v>
      </c>
      <c r="AE224" s="21"/>
      <c r="AF224" s="21"/>
      <c r="AH224" s="1" t="s">
        <v>238</v>
      </c>
      <c r="AI224" s="21"/>
      <c r="AJ224" s="21"/>
      <c r="AL224" s="1" t="s">
        <v>238</v>
      </c>
      <c r="AM224" s="21"/>
      <c r="AN224" s="21"/>
      <c r="AR224" s="1" t="s">
        <v>238</v>
      </c>
      <c r="AS224" s="1"/>
      <c r="AT224" s="21"/>
    </row>
    <row r="225" spans="7:46" x14ac:dyDescent="0.25">
      <c r="G225" s="25" t="s">
        <v>1</v>
      </c>
      <c r="H225" s="23" t="s">
        <v>322</v>
      </c>
      <c r="I225" s="38" t="s">
        <v>2</v>
      </c>
      <c r="L225" s="25" t="s">
        <v>1</v>
      </c>
      <c r="M225" s="23" t="s">
        <v>322</v>
      </c>
      <c r="N225" s="38" t="s">
        <v>2</v>
      </c>
      <c r="R225" s="23" t="s">
        <v>1</v>
      </c>
      <c r="S225" s="23" t="s">
        <v>322</v>
      </c>
      <c r="T225" s="38" t="s">
        <v>2</v>
      </c>
      <c r="V225" s="23" t="s">
        <v>1</v>
      </c>
      <c r="W225" s="23" t="s">
        <v>322</v>
      </c>
      <c r="X225" s="38" t="s">
        <v>2</v>
      </c>
      <c r="Z225" s="24" t="s">
        <v>252</v>
      </c>
      <c r="AA225" s="24">
        <v>600</v>
      </c>
      <c r="AD225" s="23" t="s">
        <v>1</v>
      </c>
      <c r="AE225" s="23" t="s">
        <v>322</v>
      </c>
      <c r="AF225" s="38" t="s">
        <v>2</v>
      </c>
      <c r="AH225" s="23" t="s">
        <v>1</v>
      </c>
      <c r="AI225" s="23" t="s">
        <v>322</v>
      </c>
      <c r="AJ225" s="38" t="s">
        <v>2</v>
      </c>
      <c r="AL225" s="23" t="s">
        <v>1</v>
      </c>
      <c r="AM225" s="23" t="s">
        <v>2</v>
      </c>
      <c r="AN225" s="23"/>
      <c r="AR225" s="23" t="s">
        <v>1</v>
      </c>
      <c r="AS225" s="23"/>
      <c r="AT225" s="23" t="s">
        <v>2</v>
      </c>
    </row>
    <row r="226" spans="7:46" x14ac:dyDescent="0.25">
      <c r="G226" s="24" t="s">
        <v>252</v>
      </c>
      <c r="H226" s="24">
        <v>600</v>
      </c>
      <c r="L226" s="24" t="s">
        <v>252</v>
      </c>
      <c r="M226" s="24">
        <v>600</v>
      </c>
      <c r="R226" s="24"/>
      <c r="S226" s="24"/>
      <c r="V226" s="24" t="s">
        <v>252</v>
      </c>
      <c r="W226" s="24">
        <v>600</v>
      </c>
      <c r="Z226" s="24" t="s">
        <v>243</v>
      </c>
      <c r="AA226" s="24">
        <v>500</v>
      </c>
      <c r="AD226" s="24" t="s">
        <v>252</v>
      </c>
      <c r="AE226" s="24">
        <v>600</v>
      </c>
      <c r="AH226" s="24" t="s">
        <v>252</v>
      </c>
      <c r="AI226" s="24">
        <v>600</v>
      </c>
      <c r="AL226" s="24"/>
      <c r="AM226" s="24"/>
      <c r="AR226" s="24"/>
      <c r="AS226" s="24"/>
      <c r="AT226" s="24"/>
    </row>
    <row r="227" spans="7:46" x14ac:dyDescent="0.25">
      <c r="G227" s="24" t="s">
        <v>244</v>
      </c>
      <c r="H227" s="24">
        <v>200</v>
      </c>
      <c r="L227" s="24" t="s">
        <v>244</v>
      </c>
      <c r="M227" s="24">
        <v>200</v>
      </c>
      <c r="R227" s="24"/>
      <c r="S227" s="24"/>
      <c r="V227" s="24" t="s">
        <v>244</v>
      </c>
      <c r="W227" s="24">
        <v>200</v>
      </c>
      <c r="Z227" s="24" t="s">
        <v>244</v>
      </c>
      <c r="AA227" s="24">
        <v>200</v>
      </c>
      <c r="AD227" s="24" t="s">
        <v>244</v>
      </c>
      <c r="AE227" s="24">
        <v>200</v>
      </c>
      <c r="AH227" s="24" t="s">
        <v>243</v>
      </c>
      <c r="AI227" s="24">
        <v>500</v>
      </c>
      <c r="AL227" s="24"/>
      <c r="AM227" s="24"/>
      <c r="AR227" s="24"/>
      <c r="AS227" s="24"/>
      <c r="AT227" s="24"/>
    </row>
    <row r="228" spans="7:46" x14ac:dyDescent="0.25">
      <c r="G228" s="24" t="s">
        <v>243</v>
      </c>
      <c r="H228" s="24">
        <v>1000</v>
      </c>
      <c r="L228" s="24" t="s">
        <v>243</v>
      </c>
      <c r="M228" s="24">
        <v>1000</v>
      </c>
      <c r="R228" s="24"/>
      <c r="S228" s="24"/>
      <c r="V228" s="24" t="s">
        <v>243</v>
      </c>
      <c r="W228" s="24">
        <v>500</v>
      </c>
      <c r="Z228" s="24" t="s">
        <v>248</v>
      </c>
      <c r="AA228" s="24">
        <v>900</v>
      </c>
      <c r="AD228" s="24" t="s">
        <v>262</v>
      </c>
      <c r="AE228" s="24">
        <v>100</v>
      </c>
      <c r="AH228" s="24" t="s">
        <v>244</v>
      </c>
      <c r="AI228" s="24">
        <v>200</v>
      </c>
      <c r="AL228" s="24"/>
      <c r="AM228" s="24"/>
      <c r="AR228" s="24"/>
      <c r="AS228" s="24"/>
      <c r="AT228" s="24"/>
    </row>
    <row r="229" spans="7:46" x14ac:dyDescent="0.25">
      <c r="G229" s="24" t="s">
        <v>251</v>
      </c>
      <c r="H229" s="24">
        <v>150</v>
      </c>
      <c r="L229" s="24" t="s">
        <v>251</v>
      </c>
      <c r="M229" s="24">
        <v>150</v>
      </c>
      <c r="R229" s="24"/>
      <c r="S229" s="24"/>
      <c r="V229" s="24" t="s">
        <v>251</v>
      </c>
      <c r="W229" s="24">
        <v>150</v>
      </c>
      <c r="Z229" s="24" t="s">
        <v>245</v>
      </c>
      <c r="AA229" s="24">
        <v>100</v>
      </c>
      <c r="AD229" s="24" t="s">
        <v>269</v>
      </c>
      <c r="AE229" s="24">
        <v>50</v>
      </c>
      <c r="AH229" s="24" t="s">
        <v>248</v>
      </c>
      <c r="AI229" s="24">
        <v>900</v>
      </c>
      <c r="AL229" s="24"/>
      <c r="AM229" s="24"/>
      <c r="AR229" s="24"/>
      <c r="AS229" s="24"/>
      <c r="AT229" s="24"/>
    </row>
    <row r="230" spans="7:46" x14ac:dyDescent="0.25">
      <c r="G230" s="24" t="s">
        <v>248</v>
      </c>
      <c r="H230" s="24">
        <v>900</v>
      </c>
      <c r="L230" s="24" t="s">
        <v>248</v>
      </c>
      <c r="M230" s="24">
        <v>900</v>
      </c>
      <c r="R230" s="24"/>
      <c r="S230" s="24"/>
      <c r="V230" s="24" t="s">
        <v>248</v>
      </c>
      <c r="W230" s="24">
        <v>700</v>
      </c>
      <c r="Z230" s="24" t="s">
        <v>246</v>
      </c>
      <c r="AA230" s="24">
        <v>20</v>
      </c>
      <c r="AD230" s="24" t="s">
        <v>268</v>
      </c>
      <c r="AE230" s="24">
        <v>1000</v>
      </c>
      <c r="AH230" s="24" t="s">
        <v>245</v>
      </c>
      <c r="AI230" s="24">
        <v>100</v>
      </c>
      <c r="AL230" s="24"/>
      <c r="AM230" s="24"/>
      <c r="AR230" s="24"/>
      <c r="AS230" s="24"/>
      <c r="AT230" s="24"/>
    </row>
    <row r="231" spans="7:46" x14ac:dyDescent="0.25">
      <c r="G231" s="24" t="s">
        <v>246</v>
      </c>
      <c r="H231" s="24">
        <v>20</v>
      </c>
      <c r="L231" s="24" t="s">
        <v>246</v>
      </c>
      <c r="M231" s="24">
        <v>20</v>
      </c>
      <c r="R231" s="24"/>
      <c r="S231" s="24"/>
      <c r="V231" s="24" t="s">
        <v>246</v>
      </c>
      <c r="W231" s="24">
        <v>20</v>
      </c>
      <c r="Z231" s="24" t="s">
        <v>247</v>
      </c>
      <c r="AA231" s="24"/>
      <c r="AD231" s="24" t="s">
        <v>248</v>
      </c>
      <c r="AE231" s="24">
        <v>800</v>
      </c>
      <c r="AH231" s="24" t="s">
        <v>246</v>
      </c>
      <c r="AI231" s="24">
        <v>20</v>
      </c>
      <c r="AL231" s="24"/>
      <c r="AM231" s="24"/>
      <c r="AR231" s="24"/>
      <c r="AS231" s="24"/>
      <c r="AT231" s="24"/>
    </row>
    <row r="232" spans="7:46" x14ac:dyDescent="0.25">
      <c r="G232" s="24" t="s">
        <v>257</v>
      </c>
      <c r="H232" s="24">
        <v>100</v>
      </c>
      <c r="L232" s="24" t="s">
        <v>262</v>
      </c>
      <c r="M232" s="24">
        <v>100</v>
      </c>
      <c r="R232" s="24"/>
      <c r="S232" s="24"/>
      <c r="V232" s="24" t="s">
        <v>257</v>
      </c>
      <c r="W232" s="24">
        <v>100</v>
      </c>
      <c r="Z232" s="24"/>
      <c r="AA232" s="24"/>
      <c r="AD232" s="24" t="s">
        <v>246</v>
      </c>
      <c r="AE232" s="24">
        <v>60</v>
      </c>
      <c r="AH232" s="24" t="s">
        <v>247</v>
      </c>
      <c r="AI232" s="24"/>
      <c r="AL232" s="24"/>
      <c r="AM232" s="24"/>
      <c r="AR232" s="24"/>
      <c r="AS232" s="24"/>
      <c r="AT232" s="24"/>
    </row>
    <row r="233" spans="7:46" x14ac:dyDescent="0.25">
      <c r="G233" s="24" t="s">
        <v>247</v>
      </c>
      <c r="H233" s="24"/>
      <c r="L233" s="24" t="s">
        <v>247</v>
      </c>
      <c r="M233" s="24"/>
      <c r="R233" s="24"/>
      <c r="S233" s="24"/>
      <c r="V233" s="24" t="s">
        <v>256</v>
      </c>
      <c r="W233" s="24">
        <v>10</v>
      </c>
      <c r="AD233" s="24" t="s">
        <v>251</v>
      </c>
      <c r="AE233" s="24">
        <v>100</v>
      </c>
      <c r="AH233" s="24"/>
      <c r="AI233" s="24"/>
      <c r="AL233" s="24"/>
      <c r="AM233" s="24"/>
      <c r="AR233" s="24"/>
      <c r="AS233" s="24"/>
      <c r="AT233" s="24"/>
    </row>
    <row r="234" spans="7:46" x14ac:dyDescent="0.25">
      <c r="V234" s="24" t="s">
        <v>247</v>
      </c>
      <c r="W234" s="24"/>
      <c r="AD234" s="24" t="s">
        <v>259</v>
      </c>
      <c r="AE234" s="24">
        <v>10</v>
      </c>
    </row>
    <row r="235" spans="7:46" x14ac:dyDescent="0.25">
      <c r="AD235" s="24" t="s">
        <v>247</v>
      </c>
      <c r="AE235" s="24"/>
    </row>
    <row r="240" spans="7:46" x14ac:dyDescent="0.25">
      <c r="Z240" s="1" t="s">
        <v>61</v>
      </c>
      <c r="AA240" s="1" t="s">
        <v>160</v>
      </c>
      <c r="AB240" s="1"/>
    </row>
    <row r="241" spans="7:46" x14ac:dyDescent="0.25">
      <c r="Z241" s="1"/>
      <c r="AA241" s="1"/>
      <c r="AB241" s="1"/>
    </row>
    <row r="242" spans="7:46" x14ac:dyDescent="0.25">
      <c r="Z242" s="1"/>
      <c r="AA242" s="1"/>
      <c r="AB242" s="1"/>
    </row>
    <row r="243" spans="7:46" x14ac:dyDescent="0.25">
      <c r="Z243" s="1"/>
      <c r="AA243" s="1"/>
      <c r="AB243" s="1"/>
    </row>
    <row r="244" spans="7:46" x14ac:dyDescent="0.25">
      <c r="Z244" s="1"/>
      <c r="AA244" s="1"/>
      <c r="AB244" s="1"/>
    </row>
    <row r="245" spans="7:46" x14ac:dyDescent="0.25">
      <c r="G245" s="1" t="s">
        <v>61</v>
      </c>
      <c r="H245" s="1" t="s">
        <v>143</v>
      </c>
      <c r="L245" s="1" t="s">
        <v>61</v>
      </c>
      <c r="M245" s="1" t="s">
        <v>209</v>
      </c>
      <c r="N245" s="1"/>
      <c r="R245" s="1" t="s">
        <v>61</v>
      </c>
      <c r="S245" s="1" t="s">
        <v>106</v>
      </c>
      <c r="T245" s="1"/>
      <c r="V245" s="1" t="s">
        <v>61</v>
      </c>
      <c r="W245" s="1" t="s">
        <v>136</v>
      </c>
      <c r="X245" s="1"/>
      <c r="Z245" s="1" t="s">
        <v>62</v>
      </c>
      <c r="AA245" s="1" t="str">
        <f>VLOOKUP(AA240,LISTPROD[],2,FALSE)</f>
        <v>NERVIO Y SUSTO</v>
      </c>
      <c r="AB245" s="1"/>
      <c r="AD245" s="1" t="s">
        <v>61</v>
      </c>
      <c r="AE245" s="1" t="s">
        <v>199</v>
      </c>
      <c r="AF245" s="1"/>
      <c r="AH245" s="1" t="s">
        <v>61</v>
      </c>
      <c r="AI245" s="1"/>
      <c r="AJ245" s="1"/>
      <c r="AL245" s="1" t="s">
        <v>61</v>
      </c>
      <c r="AM245" s="1"/>
      <c r="AN245" s="1"/>
      <c r="AR245" s="1" t="s">
        <v>61</v>
      </c>
      <c r="AS245" s="1"/>
      <c r="AT245" s="1"/>
    </row>
    <row r="246" spans="7:46" x14ac:dyDescent="0.25">
      <c r="G246" s="1" t="s">
        <v>62</v>
      </c>
      <c r="H246" s="1" t="str">
        <f>VLOOKUP(H245,LISTPROD[],2,FALSE)</f>
        <v>HEPATOX LT</v>
      </c>
      <c r="L246" s="1" t="s">
        <v>62</v>
      </c>
      <c r="M246" s="1" t="str">
        <f>VLOOKUP(M245,LISTPROD[],2,FALSE)</f>
        <v>VENOFLEX LT</v>
      </c>
      <c r="N246" s="1"/>
      <c r="R246" s="1" t="s">
        <v>62</v>
      </c>
      <c r="S246" s="1" t="str">
        <f>VLOOKUP(S245,LISTPROD[],2,FALSE)</f>
        <v>COLON CLEARSEN</v>
      </c>
      <c r="T246" s="1"/>
      <c r="V246" s="1" t="s">
        <v>62</v>
      </c>
      <c r="W246" s="1" t="str">
        <f>VLOOKUP(W245,LISTPROD[],2,FALSE)</f>
        <v>GOLDEN PLUS</v>
      </c>
      <c r="X246" s="1"/>
      <c r="Z246" s="1" t="s">
        <v>234</v>
      </c>
      <c r="AA246" s="1" t="str">
        <f>VLOOKUP(AA240,LISTPROD[],3,FALSE)</f>
        <v>NERVIO Y SUSTO</v>
      </c>
      <c r="AB246" s="1"/>
      <c r="AD246" s="1" t="s">
        <v>62</v>
      </c>
      <c r="AE246" s="1" t="str">
        <f>VLOOKUP(AE245,LISTPROD[],2,FALSE)</f>
        <v>TOS BRONQUIOS</v>
      </c>
      <c r="AF246" s="1"/>
      <c r="AH246" s="1" t="s">
        <v>62</v>
      </c>
      <c r="AI246" s="1" t="e">
        <f>VLOOKUP(AI245,LISTPROD[],2,FALSE)</f>
        <v>#N/A</v>
      </c>
      <c r="AJ246" s="1"/>
      <c r="AL246" s="1" t="s">
        <v>62</v>
      </c>
      <c r="AM246" s="1" t="e">
        <f>VLOOKUP(AM245,LISTPROD[],2,FALSE)</f>
        <v>#N/A</v>
      </c>
      <c r="AN246" s="1"/>
      <c r="AR246" s="1" t="s">
        <v>62</v>
      </c>
      <c r="AS246" s="1"/>
      <c r="AT246" s="1" t="e">
        <f>VLOOKUP(AT245,'DETALLE PRODUCTOSxPrecio'!$A$7:$AK$99,2,FALSE)</f>
        <v>#N/A</v>
      </c>
    </row>
    <row r="247" spans="7:46" x14ac:dyDescent="0.25">
      <c r="G247" s="1" t="s">
        <v>234</v>
      </c>
      <c r="H247" s="1" t="str">
        <f>VLOOKUP(H245,LISTPROD[],3,FALSE)</f>
        <v>HEPATOX DREN</v>
      </c>
      <c r="L247" s="1" t="s">
        <v>234</v>
      </c>
      <c r="M247" s="1" t="str">
        <f>VLOOKUP(M245,LISTPROD[],3,FALSE)</f>
        <v>VENO FLEX</v>
      </c>
      <c r="N247" s="1"/>
      <c r="R247" s="1" t="s">
        <v>234</v>
      </c>
      <c r="S247" s="1" t="str">
        <f>VLOOKUP(S245,LISTPROD[],3,FALSE)</f>
        <v>COLON CLEARSEN</v>
      </c>
      <c r="T247" s="1"/>
      <c r="V247" s="1" t="s">
        <v>234</v>
      </c>
      <c r="W247" s="1" t="str">
        <f>VLOOKUP(W245,LISTPROD[],3,FALSE)</f>
        <v>GOLDEN PLUS</v>
      </c>
      <c r="X247" s="1"/>
      <c r="Z247" s="1" t="s">
        <v>239</v>
      </c>
      <c r="AA247" s="21"/>
      <c r="AB247" s="21"/>
      <c r="AD247" s="1" t="s">
        <v>234</v>
      </c>
      <c r="AE247" s="1" t="str">
        <f>VLOOKUP(AE245,LISTPROD[],3,FALSE)</f>
        <v>TOS BRONQUIOS</v>
      </c>
      <c r="AF247" s="1"/>
      <c r="AH247" s="1" t="s">
        <v>234</v>
      </c>
      <c r="AI247" s="1" t="e">
        <f>VLOOKUP(AI245,LISTPROD[],3,FALSE)</f>
        <v>#N/A</v>
      </c>
      <c r="AJ247" s="1"/>
      <c r="AL247" s="1" t="s">
        <v>234</v>
      </c>
      <c r="AM247" s="1" t="e">
        <f>VLOOKUP(AM245,LISTPROD[],3,FALSE)</f>
        <v>#N/A</v>
      </c>
      <c r="AN247" s="1"/>
      <c r="AR247" s="1" t="s">
        <v>234</v>
      </c>
      <c r="AS247" s="1"/>
      <c r="AT247" s="1" t="e">
        <f>VLOOKUP(AT245,'DETALLE PRODUCTOSxPrecio'!$A$8:$AK$100,3,FALSE)</f>
        <v>#N/A</v>
      </c>
    </row>
    <row r="248" spans="7:46" x14ac:dyDescent="0.25">
      <c r="G248" s="1" t="s">
        <v>239</v>
      </c>
      <c r="H248" s="21"/>
      <c r="L248" s="1" t="s">
        <v>239</v>
      </c>
      <c r="M248" s="21"/>
      <c r="N248" s="21"/>
      <c r="R248" s="1" t="s">
        <v>239</v>
      </c>
      <c r="S248" s="21"/>
      <c r="T248" s="21"/>
      <c r="V248" s="1" t="s">
        <v>239</v>
      </c>
      <c r="W248" s="21"/>
      <c r="X248" s="21"/>
      <c r="Z248" s="1" t="s">
        <v>240</v>
      </c>
      <c r="AA248" s="21"/>
      <c r="AB248" s="21"/>
      <c r="AD248" s="1" t="s">
        <v>239</v>
      </c>
      <c r="AE248" s="21"/>
      <c r="AF248" s="21"/>
      <c r="AH248" s="1" t="s">
        <v>239</v>
      </c>
      <c r="AI248" s="21"/>
      <c r="AJ248" s="21"/>
      <c r="AL248" s="1" t="s">
        <v>239</v>
      </c>
      <c r="AM248" s="21"/>
      <c r="AN248" s="21"/>
      <c r="AR248" s="1" t="s">
        <v>239</v>
      </c>
      <c r="AS248" s="1"/>
      <c r="AT248" s="21"/>
    </row>
    <row r="249" spans="7:46" x14ac:dyDescent="0.25">
      <c r="G249" s="1" t="s">
        <v>240</v>
      </c>
      <c r="H249" s="21"/>
      <c r="L249" s="1" t="s">
        <v>240</v>
      </c>
      <c r="M249" s="21"/>
      <c r="N249" s="21"/>
      <c r="R249" s="1" t="s">
        <v>240</v>
      </c>
      <c r="S249" s="21"/>
      <c r="T249" s="21"/>
      <c r="V249" s="1" t="s">
        <v>240</v>
      </c>
      <c r="W249" s="21"/>
      <c r="X249" s="21"/>
      <c r="Z249" s="1" t="s">
        <v>238</v>
      </c>
      <c r="AA249" s="21"/>
      <c r="AB249" s="21"/>
      <c r="AD249" s="1" t="s">
        <v>240</v>
      </c>
      <c r="AE249" s="21"/>
      <c r="AF249" s="21"/>
      <c r="AH249" s="1" t="s">
        <v>240</v>
      </c>
      <c r="AI249" s="21"/>
      <c r="AJ249" s="21"/>
      <c r="AL249" s="1" t="s">
        <v>240</v>
      </c>
      <c r="AM249" s="21"/>
      <c r="AN249" s="21"/>
      <c r="AR249" s="1" t="s">
        <v>240</v>
      </c>
      <c r="AS249" s="1"/>
      <c r="AT249" s="21"/>
    </row>
    <row r="250" spans="7:46" x14ac:dyDescent="0.25">
      <c r="G250" s="1" t="s">
        <v>238</v>
      </c>
      <c r="H250" s="21"/>
      <c r="L250" s="1" t="s">
        <v>238</v>
      </c>
      <c r="M250" s="21"/>
      <c r="N250" s="21"/>
      <c r="R250" s="1" t="s">
        <v>238</v>
      </c>
      <c r="S250" s="21"/>
      <c r="T250" s="21"/>
      <c r="V250" s="1" t="s">
        <v>238</v>
      </c>
      <c r="W250" s="21"/>
      <c r="X250" s="21"/>
      <c r="Z250" s="23" t="s">
        <v>1</v>
      </c>
      <c r="AA250" s="23" t="s">
        <v>322</v>
      </c>
      <c r="AB250" s="38" t="s">
        <v>2</v>
      </c>
      <c r="AD250" s="1" t="s">
        <v>238</v>
      </c>
      <c r="AE250" s="21"/>
      <c r="AF250" s="21"/>
      <c r="AH250" s="1" t="s">
        <v>238</v>
      </c>
      <c r="AI250" s="21"/>
      <c r="AJ250" s="21"/>
      <c r="AL250" s="1" t="s">
        <v>238</v>
      </c>
      <c r="AM250" s="21"/>
      <c r="AN250" s="21"/>
      <c r="AR250" s="1" t="s">
        <v>238</v>
      </c>
      <c r="AS250" s="1"/>
      <c r="AT250" s="21"/>
    </row>
    <row r="251" spans="7:46" x14ac:dyDescent="0.25">
      <c r="G251" s="25" t="s">
        <v>1</v>
      </c>
      <c r="H251" s="23" t="s">
        <v>322</v>
      </c>
      <c r="I251" s="38" t="s">
        <v>2</v>
      </c>
      <c r="L251" s="25" t="s">
        <v>1</v>
      </c>
      <c r="M251" s="23" t="s">
        <v>322</v>
      </c>
      <c r="N251" s="38" t="s">
        <v>2</v>
      </c>
      <c r="R251" s="23" t="s">
        <v>1</v>
      </c>
      <c r="S251" s="23" t="s">
        <v>322</v>
      </c>
      <c r="T251" s="38" t="s">
        <v>2</v>
      </c>
      <c r="V251" s="23" t="s">
        <v>1</v>
      </c>
      <c r="W251" s="23" t="s">
        <v>322</v>
      </c>
      <c r="X251" s="38" t="s">
        <v>2</v>
      </c>
      <c r="Z251" s="24" t="s">
        <v>252</v>
      </c>
      <c r="AA251" s="24">
        <v>600</v>
      </c>
      <c r="AD251" s="23" t="s">
        <v>1</v>
      </c>
      <c r="AE251" s="23" t="s">
        <v>322</v>
      </c>
      <c r="AF251" s="38" t="s">
        <v>2</v>
      </c>
      <c r="AH251" s="23" t="s">
        <v>1</v>
      </c>
      <c r="AI251" s="23" t="s">
        <v>322</v>
      </c>
      <c r="AJ251" s="38" t="s">
        <v>2</v>
      </c>
      <c r="AL251" s="23" t="s">
        <v>1</v>
      </c>
      <c r="AM251" s="23" t="s">
        <v>2</v>
      </c>
      <c r="AN251" s="23"/>
      <c r="AR251" s="23" t="s">
        <v>1</v>
      </c>
      <c r="AS251" s="23"/>
      <c r="AT251" s="23" t="s">
        <v>2</v>
      </c>
    </row>
    <row r="252" spans="7:46" x14ac:dyDescent="0.25">
      <c r="G252" s="24" t="s">
        <v>242</v>
      </c>
      <c r="H252" s="24">
        <v>600</v>
      </c>
      <c r="L252" s="24" t="s">
        <v>252</v>
      </c>
      <c r="M252" s="24">
        <v>600</v>
      </c>
      <c r="R252" s="24" t="s">
        <v>246</v>
      </c>
      <c r="S252" s="24">
        <v>30</v>
      </c>
      <c r="V252" s="24"/>
      <c r="W252" s="24"/>
      <c r="Z252" s="24" t="s">
        <v>244</v>
      </c>
      <c r="AA252" s="24">
        <v>200</v>
      </c>
      <c r="AD252" s="24" t="s">
        <v>248</v>
      </c>
      <c r="AE252" s="24">
        <v>600</v>
      </c>
      <c r="AH252" s="24"/>
      <c r="AI252" s="24"/>
      <c r="AL252" s="24"/>
      <c r="AM252" s="24"/>
      <c r="AR252" s="24"/>
      <c r="AS252" s="24"/>
      <c r="AT252" s="24"/>
    </row>
    <row r="253" spans="7:46" x14ac:dyDescent="0.25">
      <c r="G253" s="24" t="s">
        <v>243</v>
      </c>
      <c r="H253" s="24">
        <v>500</v>
      </c>
      <c r="L253" s="24" t="s">
        <v>253</v>
      </c>
      <c r="M253" s="24">
        <v>500</v>
      </c>
      <c r="R253" s="24" t="s">
        <v>252</v>
      </c>
      <c r="S253" s="24">
        <v>600</v>
      </c>
      <c r="V253" s="24"/>
      <c r="W253" s="24"/>
      <c r="Z253" s="24" t="s">
        <v>243</v>
      </c>
      <c r="AA253" s="24">
        <v>1000</v>
      </c>
      <c r="AD253" s="24" t="s">
        <v>252</v>
      </c>
      <c r="AE253" s="24">
        <v>550</v>
      </c>
      <c r="AH253" s="24"/>
      <c r="AI253" s="24"/>
      <c r="AL253" s="24"/>
      <c r="AM253" s="24"/>
      <c r="AR253" s="24"/>
      <c r="AS253" s="24"/>
      <c r="AT253" s="24"/>
    </row>
    <row r="254" spans="7:46" x14ac:dyDescent="0.25">
      <c r="G254" s="24" t="s">
        <v>244</v>
      </c>
      <c r="H254" s="24">
        <v>200</v>
      </c>
      <c r="L254" s="24" t="s">
        <v>261</v>
      </c>
      <c r="M254" s="24">
        <v>200</v>
      </c>
      <c r="R254" s="24" t="s">
        <v>248</v>
      </c>
      <c r="S254" s="24">
        <v>900</v>
      </c>
      <c r="V254" s="24"/>
      <c r="W254" s="24"/>
      <c r="Z254" s="24" t="s">
        <v>251</v>
      </c>
      <c r="AA254" s="24">
        <v>150</v>
      </c>
      <c r="AD254" s="24" t="s">
        <v>253</v>
      </c>
      <c r="AE254" s="24">
        <v>200</v>
      </c>
      <c r="AH254" s="24"/>
      <c r="AI254" s="24"/>
      <c r="AL254" s="24"/>
      <c r="AM254" s="24"/>
      <c r="AR254" s="24"/>
      <c r="AS254" s="24"/>
      <c r="AT254" s="24"/>
    </row>
    <row r="255" spans="7:46" x14ac:dyDescent="0.25">
      <c r="G255" s="24" t="s">
        <v>248</v>
      </c>
      <c r="H255" s="24">
        <v>900</v>
      </c>
      <c r="L255" s="24" t="s">
        <v>248</v>
      </c>
      <c r="M255" s="24">
        <v>900</v>
      </c>
      <c r="R255" s="24" t="s">
        <v>244</v>
      </c>
      <c r="S255" s="24">
        <v>200</v>
      </c>
      <c r="V255" s="24"/>
      <c r="W255" s="24"/>
      <c r="Z255" s="24" t="s">
        <v>248</v>
      </c>
      <c r="AA255" s="24">
        <v>900</v>
      </c>
      <c r="AD255" s="24" t="s">
        <v>261</v>
      </c>
      <c r="AE255" s="24">
        <v>100</v>
      </c>
      <c r="AH255" s="24"/>
      <c r="AI255" s="24"/>
      <c r="AL255" s="24"/>
      <c r="AM255" s="24"/>
      <c r="AR255" s="24"/>
      <c r="AS255" s="24"/>
      <c r="AT255" s="24"/>
    </row>
    <row r="256" spans="7:46" x14ac:dyDescent="0.25">
      <c r="G256" s="24" t="s">
        <v>262</v>
      </c>
      <c r="H256" s="24">
        <v>100</v>
      </c>
      <c r="L256" s="24" t="s">
        <v>262</v>
      </c>
      <c r="M256" s="24">
        <v>100</v>
      </c>
      <c r="R256" s="24" t="s">
        <v>243</v>
      </c>
      <c r="S256" s="24">
        <v>1000</v>
      </c>
      <c r="V256" s="24"/>
      <c r="W256" s="24"/>
      <c r="Z256" s="24" t="s">
        <v>246</v>
      </c>
      <c r="AA256" s="24">
        <v>20</v>
      </c>
      <c r="AD256" s="24" t="s">
        <v>251</v>
      </c>
      <c r="AE256" s="24">
        <v>50</v>
      </c>
      <c r="AH256" s="24"/>
      <c r="AI256" s="24"/>
      <c r="AL256" s="24"/>
      <c r="AM256" s="24"/>
      <c r="AR256" s="24"/>
      <c r="AS256" s="24"/>
      <c r="AT256" s="24"/>
    </row>
    <row r="257" spans="7:46" x14ac:dyDescent="0.25">
      <c r="G257" s="24" t="s">
        <v>246</v>
      </c>
      <c r="H257" s="24">
        <v>20</v>
      </c>
      <c r="L257" s="24" t="s">
        <v>246</v>
      </c>
      <c r="M257" s="24">
        <v>20</v>
      </c>
      <c r="R257" s="24" t="s">
        <v>251</v>
      </c>
      <c r="S257" s="24">
        <v>300</v>
      </c>
      <c r="V257" s="24"/>
      <c r="W257" s="24"/>
      <c r="Z257" s="24" t="s">
        <v>299</v>
      </c>
      <c r="AA257" s="24">
        <v>100</v>
      </c>
      <c r="AD257" s="24" t="s">
        <v>263</v>
      </c>
      <c r="AE257" s="24">
        <v>6</v>
      </c>
      <c r="AH257" s="24"/>
      <c r="AI257" s="24"/>
      <c r="AL257" s="24"/>
      <c r="AM257" s="24"/>
      <c r="AR257" s="24"/>
      <c r="AS257" s="24"/>
      <c r="AT257" s="24"/>
    </row>
    <row r="258" spans="7:46" x14ac:dyDescent="0.25">
      <c r="G258" s="24" t="s">
        <v>247</v>
      </c>
      <c r="H258" s="24"/>
      <c r="L258" s="24" t="s">
        <v>247</v>
      </c>
      <c r="M258" s="24"/>
      <c r="R258" s="24" t="s">
        <v>257</v>
      </c>
      <c r="S258" s="24">
        <v>106</v>
      </c>
      <c r="V258" s="24"/>
      <c r="W258" s="24"/>
      <c r="Z258" s="24" t="s">
        <v>247</v>
      </c>
      <c r="AA258" s="24"/>
      <c r="AD258" s="24" t="s">
        <v>264</v>
      </c>
      <c r="AE258" s="24">
        <v>70</v>
      </c>
      <c r="AH258" s="24"/>
      <c r="AI258" s="24"/>
      <c r="AL258" s="24"/>
      <c r="AM258" s="24"/>
      <c r="AR258" s="24"/>
      <c r="AS258" s="24"/>
      <c r="AT258" s="24"/>
    </row>
    <row r="259" spans="7:46" x14ac:dyDescent="0.25">
      <c r="G259" s="24"/>
      <c r="H259" s="24"/>
      <c r="L259" s="24"/>
      <c r="M259" s="24"/>
      <c r="R259" s="24"/>
      <c r="S259" s="24"/>
      <c r="V259" s="24"/>
      <c r="W259" s="24"/>
      <c r="AD259" s="24" t="s">
        <v>262</v>
      </c>
      <c r="AE259" s="24">
        <v>80</v>
      </c>
      <c r="AH259" s="24"/>
      <c r="AI259" s="24"/>
      <c r="AL259" s="24"/>
      <c r="AM259" s="24"/>
      <c r="AR259" s="24"/>
      <c r="AS259" s="24"/>
      <c r="AT259" s="24"/>
    </row>
    <row r="260" spans="7:46" x14ac:dyDescent="0.25">
      <c r="AD260" s="24" t="s">
        <v>247</v>
      </c>
      <c r="AE260" s="24"/>
    </row>
    <row r="261" spans="7:46" x14ac:dyDescent="0.25">
      <c r="Z261" s="1"/>
      <c r="AA261" s="1"/>
      <c r="AB261" s="1"/>
    </row>
    <row r="262" spans="7:46" x14ac:dyDescent="0.25">
      <c r="Z262" s="1" t="s">
        <v>61</v>
      </c>
      <c r="AA262" s="1" t="s">
        <v>164</v>
      </c>
      <c r="AB262" s="1"/>
    </row>
    <row r="263" spans="7:46" x14ac:dyDescent="0.25">
      <c r="Z263" s="1"/>
      <c r="AA263" s="1"/>
      <c r="AB263" s="1"/>
    </row>
    <row r="264" spans="7:46" x14ac:dyDescent="0.25">
      <c r="Z264" s="1"/>
      <c r="AA264" s="1"/>
      <c r="AB264" s="1"/>
    </row>
    <row r="265" spans="7:46" x14ac:dyDescent="0.25">
      <c r="Z265" s="1"/>
      <c r="AA265" s="1"/>
      <c r="AB265" s="1"/>
    </row>
    <row r="266" spans="7:46" x14ac:dyDescent="0.25">
      <c r="Z266" s="1"/>
      <c r="AA266" s="1"/>
      <c r="AB266" s="1"/>
    </row>
    <row r="267" spans="7:46" x14ac:dyDescent="0.25">
      <c r="Z267" s="1"/>
      <c r="AA267" s="1"/>
      <c r="AB267" s="1"/>
    </row>
    <row r="268" spans="7:46" x14ac:dyDescent="0.25">
      <c r="Z268" s="1"/>
      <c r="AA268" s="1"/>
      <c r="AB268" s="1"/>
    </row>
    <row r="269" spans="7:46" x14ac:dyDescent="0.25">
      <c r="Z269" s="1"/>
      <c r="AA269" s="1"/>
      <c r="AB269" s="1"/>
    </row>
    <row r="270" spans="7:46" x14ac:dyDescent="0.25">
      <c r="G270" s="1" t="s">
        <v>61</v>
      </c>
      <c r="H270" s="1" t="s">
        <v>162</v>
      </c>
      <c r="L270" s="1" t="s">
        <v>61</v>
      </c>
      <c r="M270" s="1" t="s">
        <v>220</v>
      </c>
      <c r="N270" s="1"/>
      <c r="R270" s="1" t="s">
        <v>61</v>
      </c>
      <c r="S270" s="1" t="s">
        <v>108</v>
      </c>
      <c r="T270" s="1"/>
      <c r="V270" s="1" t="s">
        <v>61</v>
      </c>
      <c r="W270" s="1" t="s">
        <v>138</v>
      </c>
      <c r="X270" s="1"/>
      <c r="Z270" s="1" t="s">
        <v>62</v>
      </c>
      <c r="AA270" s="1" t="str">
        <f>VLOOKUP(AA262,LISTPROD[],2,FALSE)</f>
        <v>NUTRI OCULAR GOTAS Y PASTAS</v>
      </c>
      <c r="AB270" s="1"/>
      <c r="AD270" s="1" t="s">
        <v>61</v>
      </c>
      <c r="AE270" s="1" t="s">
        <v>201</v>
      </c>
      <c r="AF270" s="1"/>
      <c r="AH270" s="1" t="s">
        <v>61</v>
      </c>
      <c r="AI270" s="1"/>
      <c r="AJ270" s="1"/>
      <c r="AL270" s="1" t="s">
        <v>61</v>
      </c>
      <c r="AM270" s="1"/>
      <c r="AN270" s="1"/>
      <c r="AR270" s="1" t="s">
        <v>61</v>
      </c>
      <c r="AS270" s="1"/>
      <c r="AT270" s="1"/>
    </row>
    <row r="271" spans="7:46" x14ac:dyDescent="0.25">
      <c r="G271" s="1" t="s">
        <v>62</v>
      </c>
      <c r="H271" s="1" t="str">
        <f>VLOOKUP(H270,LISTPROD[],2,FALSE)</f>
        <v>NEURO PLUS LT</v>
      </c>
      <c r="L271" s="1" t="s">
        <v>62</v>
      </c>
      <c r="M271" s="1" t="str">
        <f>VLOOKUP(M270,LISTPROD[],2,FALSE)</f>
        <v>CITRATO DE MAGNESIO (Capsulas)</v>
      </c>
      <c r="N271" s="1"/>
      <c r="R271" s="1" t="s">
        <v>62</v>
      </c>
      <c r="S271" s="1" t="str">
        <f>VLOOKUP(S270,LISTPROD[],2,FALSE)</f>
        <v>COMPLEJO B</v>
      </c>
      <c r="T271" s="1"/>
      <c r="V271" s="1" t="s">
        <v>62</v>
      </c>
      <c r="W271" s="1" t="str">
        <f>VLOOKUP(W270,LISTPROD[],2,FALSE)</f>
        <v>GOTAS MILAGROSAS</v>
      </c>
      <c r="X271" s="1"/>
      <c r="Z271" s="1" t="s">
        <v>234</v>
      </c>
      <c r="AA271" s="1" t="str">
        <f>VLOOKUP(AA262,LISTPROD[],3,FALSE)</f>
        <v>NUTRI OCULAR GOTAS Y PASTAS</v>
      </c>
      <c r="AB271" s="1"/>
      <c r="AD271" s="1" t="s">
        <v>62</v>
      </c>
      <c r="AE271" s="1" t="str">
        <f>VLOOKUP(AE270,LISTPROD[],2,FALSE)</f>
        <v>TOTUMO PULMONARIA</v>
      </c>
      <c r="AF271" s="1"/>
      <c r="AH271" s="1" t="s">
        <v>62</v>
      </c>
      <c r="AI271" s="1" t="e">
        <f>VLOOKUP(AI270,LISTPROD[],2,FALSE)</f>
        <v>#N/A</v>
      </c>
      <c r="AJ271" s="1"/>
      <c r="AL271" s="1" t="s">
        <v>62</v>
      </c>
      <c r="AM271" s="1" t="e">
        <f>VLOOKUP(AM270,LISTPROD[],2,FALSE)</f>
        <v>#N/A</v>
      </c>
      <c r="AN271" s="1"/>
      <c r="AR271" s="1" t="s">
        <v>62</v>
      </c>
      <c r="AS271" s="1"/>
      <c r="AT271" s="1" t="e">
        <f>VLOOKUP(AT270,'DETALLE PRODUCTOSxPrecio'!$A$7:$AK$99,2,FALSE)</f>
        <v>#N/A</v>
      </c>
    </row>
    <row r="272" spans="7:46" x14ac:dyDescent="0.25">
      <c r="G272" s="1" t="s">
        <v>234</v>
      </c>
      <c r="H272" s="1" t="str">
        <f>VLOOKUP(H270,LISTPROD[],3,FALSE)</f>
        <v>NEUROPLUS</v>
      </c>
      <c r="L272" s="1" t="s">
        <v>234</v>
      </c>
      <c r="M272" s="1" t="str">
        <f>VLOOKUP(M270,LISTPROD[],3,FALSE)</f>
        <v>CITRATO DE MAGNESIO</v>
      </c>
      <c r="N272" s="1"/>
      <c r="R272" s="1" t="s">
        <v>234</v>
      </c>
      <c r="S272" s="1" t="str">
        <f>VLOOKUP(S270,LISTPROD[],3,FALSE)</f>
        <v>COMPLEJO B</v>
      </c>
      <c r="T272" s="1"/>
      <c r="V272" s="1" t="s">
        <v>234</v>
      </c>
      <c r="W272" s="1" t="str">
        <f>VLOOKUP(W270,LISTPROD[],3,FALSE)</f>
        <v>GOTAS MILAGROSAS</v>
      </c>
      <c r="X272" s="1"/>
      <c r="Z272" s="1" t="s">
        <v>239</v>
      </c>
      <c r="AA272" s="21"/>
      <c r="AB272" s="21"/>
      <c r="AD272" s="1" t="s">
        <v>234</v>
      </c>
      <c r="AE272" s="1" t="str">
        <f>VLOOKUP(AE270,LISTPROD[],3,FALSE)</f>
        <v>TOTUMO PULMONARIA</v>
      </c>
      <c r="AF272" s="1"/>
      <c r="AH272" s="1" t="s">
        <v>234</v>
      </c>
      <c r="AI272" s="1" t="e">
        <f>VLOOKUP(AI270,LISTPROD[],3,FALSE)</f>
        <v>#N/A</v>
      </c>
      <c r="AJ272" s="1"/>
      <c r="AL272" s="1" t="s">
        <v>234</v>
      </c>
      <c r="AM272" s="1" t="e">
        <f>VLOOKUP(AM270,LISTPROD[],3,FALSE)</f>
        <v>#N/A</v>
      </c>
      <c r="AN272" s="1"/>
      <c r="AR272" s="1" t="s">
        <v>234</v>
      </c>
      <c r="AS272" s="1"/>
      <c r="AT272" s="1" t="e">
        <f>VLOOKUP(AT270,'DETALLE PRODUCTOSxPrecio'!$A$8:$AK$100,3,FALSE)</f>
        <v>#N/A</v>
      </c>
    </row>
    <row r="273" spans="7:46" x14ac:dyDescent="0.25">
      <c r="G273" s="1" t="s">
        <v>239</v>
      </c>
      <c r="H273" s="21"/>
      <c r="L273" s="1" t="s">
        <v>239</v>
      </c>
      <c r="M273" s="21"/>
      <c r="N273" s="21"/>
      <c r="R273" s="1" t="s">
        <v>239</v>
      </c>
      <c r="S273" s="21"/>
      <c r="T273" s="21"/>
      <c r="V273" s="1" t="s">
        <v>239</v>
      </c>
      <c r="W273" s="21"/>
      <c r="X273" s="21"/>
      <c r="Z273" s="1" t="s">
        <v>240</v>
      </c>
      <c r="AA273" s="21"/>
      <c r="AB273" s="21"/>
      <c r="AD273" s="1" t="s">
        <v>239</v>
      </c>
      <c r="AE273" s="21"/>
      <c r="AF273" s="21"/>
      <c r="AH273" s="1" t="s">
        <v>239</v>
      </c>
      <c r="AI273" s="21"/>
      <c r="AJ273" s="21"/>
      <c r="AL273" s="1" t="s">
        <v>239</v>
      </c>
      <c r="AM273" s="21"/>
      <c r="AN273" s="21"/>
      <c r="AR273" s="1" t="s">
        <v>239</v>
      </c>
      <c r="AS273" s="1"/>
      <c r="AT273" s="21"/>
    </row>
    <row r="274" spans="7:46" x14ac:dyDescent="0.25">
      <c r="G274" s="1" t="s">
        <v>240</v>
      </c>
      <c r="H274" s="21"/>
      <c r="L274" s="1" t="s">
        <v>240</v>
      </c>
      <c r="M274" s="21"/>
      <c r="N274" s="21"/>
      <c r="R274" s="1" t="s">
        <v>240</v>
      </c>
      <c r="S274" s="21"/>
      <c r="T274" s="21"/>
      <c r="V274" s="1" t="s">
        <v>240</v>
      </c>
      <c r="W274" s="21"/>
      <c r="X274" s="21"/>
      <c r="Z274" s="1" t="s">
        <v>238</v>
      </c>
      <c r="AA274" s="21"/>
      <c r="AB274" s="21"/>
      <c r="AD274" s="1" t="s">
        <v>240</v>
      </c>
      <c r="AE274" s="21"/>
      <c r="AF274" s="21"/>
      <c r="AH274" s="1" t="s">
        <v>240</v>
      </c>
      <c r="AI274" s="21"/>
      <c r="AJ274" s="21"/>
      <c r="AL274" s="1" t="s">
        <v>240</v>
      </c>
      <c r="AM274" s="21"/>
      <c r="AN274" s="21"/>
      <c r="AR274" s="1" t="s">
        <v>240</v>
      </c>
      <c r="AS274" s="1"/>
      <c r="AT274" s="21"/>
    </row>
    <row r="275" spans="7:46" x14ac:dyDescent="0.25">
      <c r="G275" s="1" t="s">
        <v>238</v>
      </c>
      <c r="H275" s="21"/>
      <c r="L275" s="1" t="s">
        <v>238</v>
      </c>
      <c r="M275" s="21"/>
      <c r="N275" s="21"/>
      <c r="R275" s="1" t="s">
        <v>238</v>
      </c>
      <c r="S275" s="21"/>
      <c r="T275" s="21"/>
      <c r="V275" s="1" t="s">
        <v>238</v>
      </c>
      <c r="W275" s="21"/>
      <c r="X275" s="21"/>
      <c r="Z275" s="23" t="s">
        <v>1</v>
      </c>
      <c r="AA275" s="23" t="s">
        <v>322</v>
      </c>
      <c r="AB275" s="38" t="s">
        <v>2</v>
      </c>
      <c r="AD275" s="1" t="s">
        <v>238</v>
      </c>
      <c r="AE275" s="21"/>
      <c r="AF275" s="21"/>
      <c r="AH275" s="1" t="s">
        <v>238</v>
      </c>
      <c r="AI275" s="21"/>
      <c r="AJ275" s="21"/>
      <c r="AL275" s="1" t="s">
        <v>238</v>
      </c>
      <c r="AM275" s="21"/>
      <c r="AN275" s="21"/>
      <c r="AR275" s="1" t="s">
        <v>238</v>
      </c>
      <c r="AS275" s="1"/>
      <c r="AT275" s="21"/>
    </row>
    <row r="276" spans="7:46" x14ac:dyDescent="0.25">
      <c r="G276" s="25" t="s">
        <v>1</v>
      </c>
      <c r="H276" s="23" t="s">
        <v>322</v>
      </c>
      <c r="I276" s="38" t="s">
        <v>2</v>
      </c>
      <c r="L276" s="25" t="s">
        <v>1</v>
      </c>
      <c r="M276" s="23" t="s">
        <v>322</v>
      </c>
      <c r="N276" s="38" t="s">
        <v>2</v>
      </c>
      <c r="R276" s="23" t="s">
        <v>1</v>
      </c>
      <c r="S276" s="23" t="s">
        <v>322</v>
      </c>
      <c r="T276" s="38" t="s">
        <v>2</v>
      </c>
      <c r="V276" s="23" t="s">
        <v>1</v>
      </c>
      <c r="W276" s="23" t="s">
        <v>322</v>
      </c>
      <c r="X276" s="38" t="s">
        <v>2</v>
      </c>
      <c r="Z276" s="24"/>
      <c r="AA276" s="24"/>
      <c r="AD276" s="23" t="s">
        <v>1</v>
      </c>
      <c r="AE276" s="23" t="s">
        <v>322</v>
      </c>
      <c r="AF276" s="38" t="s">
        <v>2</v>
      </c>
      <c r="AH276" s="23" t="s">
        <v>1</v>
      </c>
      <c r="AI276" s="23" t="s">
        <v>322</v>
      </c>
      <c r="AJ276" s="38" t="s">
        <v>2</v>
      </c>
      <c r="AL276" s="23" t="s">
        <v>1</v>
      </c>
      <c r="AM276" s="23" t="s">
        <v>2</v>
      </c>
      <c r="AN276" s="23"/>
      <c r="AR276" s="23" t="s">
        <v>1</v>
      </c>
      <c r="AS276" s="23"/>
      <c r="AT276" s="23" t="s">
        <v>2</v>
      </c>
    </row>
    <row r="277" spans="7:46" x14ac:dyDescent="0.25">
      <c r="G277" s="24" t="s">
        <v>242</v>
      </c>
      <c r="H277" s="24">
        <v>600</v>
      </c>
      <c r="L277" s="24"/>
      <c r="M277" s="24"/>
      <c r="R277" s="24" t="s">
        <v>242</v>
      </c>
      <c r="S277" s="24">
        <v>600</v>
      </c>
      <c r="V277" s="24"/>
      <c r="W277" s="24"/>
      <c r="Z277" s="24"/>
      <c r="AA277" s="24"/>
      <c r="AD277" s="24" t="s">
        <v>248</v>
      </c>
      <c r="AE277" s="24">
        <v>600</v>
      </c>
      <c r="AH277" s="24"/>
      <c r="AI277" s="24"/>
      <c r="AL277" s="24"/>
      <c r="AM277" s="24"/>
      <c r="AR277" s="24"/>
      <c r="AS277" s="24"/>
      <c r="AT277" s="24"/>
    </row>
    <row r="278" spans="7:46" x14ac:dyDescent="0.25">
      <c r="G278" s="24" t="s">
        <v>244</v>
      </c>
      <c r="H278" s="24">
        <v>250</v>
      </c>
      <c r="L278" s="24"/>
      <c r="M278" s="24"/>
      <c r="R278" s="24" t="s">
        <v>244</v>
      </c>
      <c r="S278" s="24">
        <v>250</v>
      </c>
      <c r="V278" s="24"/>
      <c r="W278" s="24"/>
      <c r="Z278" s="24"/>
      <c r="AA278" s="24"/>
      <c r="AD278" s="24" t="s">
        <v>252</v>
      </c>
      <c r="AE278" s="24">
        <v>550</v>
      </c>
      <c r="AH278" s="24"/>
      <c r="AI278" s="24"/>
      <c r="AL278" s="24"/>
      <c r="AM278" s="24"/>
      <c r="AR278" s="24"/>
      <c r="AS278" s="24"/>
      <c r="AT278" s="24"/>
    </row>
    <row r="279" spans="7:46" x14ac:dyDescent="0.25">
      <c r="G279" s="24" t="s">
        <v>262</v>
      </c>
      <c r="H279" s="24">
        <v>200</v>
      </c>
      <c r="L279" s="24"/>
      <c r="M279" s="24"/>
      <c r="R279" s="24" t="s">
        <v>262</v>
      </c>
      <c r="S279" s="24">
        <v>200</v>
      </c>
      <c r="V279" s="24"/>
      <c r="W279" s="24"/>
      <c r="Z279" s="24"/>
      <c r="AA279" s="24"/>
      <c r="AD279" s="24" t="s">
        <v>243</v>
      </c>
      <c r="AE279" s="24">
        <v>200</v>
      </c>
      <c r="AH279" s="24"/>
      <c r="AI279" s="24"/>
      <c r="AL279" s="24"/>
      <c r="AM279" s="24"/>
      <c r="AR279" s="24"/>
      <c r="AS279" s="24"/>
      <c r="AT279" s="24"/>
    </row>
    <row r="280" spans="7:46" x14ac:dyDescent="0.25">
      <c r="G280" s="24" t="s">
        <v>295</v>
      </c>
      <c r="H280" s="24">
        <v>1000</v>
      </c>
      <c r="L280" s="24"/>
      <c r="M280" s="24"/>
      <c r="R280" s="24" t="s">
        <v>268</v>
      </c>
      <c r="S280" s="24">
        <v>1000</v>
      </c>
      <c r="V280" s="24"/>
      <c r="W280" s="24"/>
      <c r="Z280" s="24"/>
      <c r="AA280" s="24"/>
      <c r="AD280" s="24" t="s">
        <v>244</v>
      </c>
      <c r="AE280" s="24">
        <v>100</v>
      </c>
      <c r="AH280" s="24"/>
      <c r="AI280" s="24"/>
      <c r="AL280" s="24"/>
      <c r="AM280" s="24"/>
      <c r="AR280" s="24"/>
      <c r="AS280" s="24"/>
      <c r="AT280" s="24"/>
    </row>
    <row r="281" spans="7:46" x14ac:dyDescent="0.25">
      <c r="G281" s="24" t="s">
        <v>248</v>
      </c>
      <c r="H281" s="24">
        <v>800</v>
      </c>
      <c r="L281" s="24"/>
      <c r="M281" s="24"/>
      <c r="R281" s="24" t="s">
        <v>248</v>
      </c>
      <c r="S281" s="24">
        <v>800</v>
      </c>
      <c r="V281" s="24"/>
      <c r="W281" s="24"/>
      <c r="Z281" s="24"/>
      <c r="AA281" s="24"/>
      <c r="AD281" s="24" t="s">
        <v>251</v>
      </c>
      <c r="AE281" s="24">
        <v>50</v>
      </c>
      <c r="AH281" s="24"/>
      <c r="AI281" s="24"/>
      <c r="AL281" s="24"/>
      <c r="AM281" s="24"/>
      <c r="AR281" s="24"/>
      <c r="AS281" s="24"/>
      <c r="AT281" s="24"/>
    </row>
    <row r="282" spans="7:46" x14ac:dyDescent="0.25">
      <c r="G282" s="24" t="s">
        <v>251</v>
      </c>
      <c r="H282" s="24">
        <v>100</v>
      </c>
      <c r="L282" s="24"/>
      <c r="M282" s="24"/>
      <c r="R282" s="24" t="s">
        <v>251</v>
      </c>
      <c r="S282" s="24">
        <v>100</v>
      </c>
      <c r="V282" s="24"/>
      <c r="W282" s="24"/>
      <c r="Z282" s="24"/>
      <c r="AA282" s="24"/>
      <c r="AD282" s="24" t="s">
        <v>256</v>
      </c>
      <c r="AE282" s="24">
        <v>6</v>
      </c>
      <c r="AH282" s="24"/>
      <c r="AI282" s="24"/>
      <c r="AL282" s="24"/>
      <c r="AM282" s="24"/>
      <c r="AR282" s="24"/>
      <c r="AS282" s="24"/>
      <c r="AT282" s="24"/>
    </row>
    <row r="283" spans="7:46" x14ac:dyDescent="0.25">
      <c r="G283" s="24" t="s">
        <v>243</v>
      </c>
      <c r="H283" s="24">
        <v>300</v>
      </c>
      <c r="L283" s="24"/>
      <c r="M283" s="24"/>
      <c r="R283" s="24" t="s">
        <v>243</v>
      </c>
      <c r="S283" s="24">
        <v>300</v>
      </c>
      <c r="V283" s="24"/>
      <c r="W283" s="24"/>
      <c r="Z283" s="24"/>
      <c r="AA283" s="24"/>
      <c r="AD283" s="24" t="s">
        <v>264</v>
      </c>
      <c r="AE283" s="24">
        <v>70</v>
      </c>
      <c r="AH283" s="24"/>
      <c r="AI283" s="24"/>
      <c r="AL283" s="24"/>
      <c r="AM283" s="24"/>
      <c r="AR283" s="24"/>
      <c r="AS283" s="24"/>
      <c r="AT283" s="24"/>
    </row>
    <row r="284" spans="7:46" x14ac:dyDescent="0.25">
      <c r="G284" s="24" t="s">
        <v>246</v>
      </c>
      <c r="H284" s="24">
        <v>60</v>
      </c>
      <c r="L284" s="24"/>
      <c r="M284" s="24"/>
      <c r="R284" s="24" t="s">
        <v>246</v>
      </c>
      <c r="S284" s="24">
        <v>60</v>
      </c>
      <c r="V284" s="24"/>
      <c r="W284" s="24"/>
      <c r="AD284" s="24" t="s">
        <v>262</v>
      </c>
      <c r="AE284" s="29">
        <v>80</v>
      </c>
      <c r="AH284" s="24"/>
      <c r="AI284" s="24"/>
      <c r="AL284" s="24"/>
      <c r="AM284" s="24"/>
      <c r="AR284" s="24"/>
      <c r="AS284" s="24"/>
      <c r="AT284" s="24"/>
    </row>
    <row r="285" spans="7:46" x14ac:dyDescent="0.25">
      <c r="G285" s="24" t="s">
        <v>247</v>
      </c>
      <c r="H285" s="24"/>
      <c r="R285" s="24" t="s">
        <v>247</v>
      </c>
      <c r="S285" s="24"/>
      <c r="AD285" s="28" t="s">
        <v>247</v>
      </c>
      <c r="AE285" s="24"/>
    </row>
    <row r="287" spans="7:46" x14ac:dyDescent="0.25">
      <c r="Z287" s="1" t="s">
        <v>61</v>
      </c>
      <c r="AA287" s="1" t="s">
        <v>166</v>
      </c>
      <c r="AB287" s="1"/>
    </row>
    <row r="288" spans="7:46" x14ac:dyDescent="0.25">
      <c r="G288" s="1" t="s">
        <v>61</v>
      </c>
      <c r="H288" s="1" t="s">
        <v>221</v>
      </c>
      <c r="L288" s="1" t="s">
        <v>61</v>
      </c>
      <c r="M288" s="1" t="s">
        <v>222</v>
      </c>
      <c r="N288" s="1"/>
      <c r="R288" s="1" t="s">
        <v>61</v>
      </c>
      <c r="S288" s="1" t="s">
        <v>112</v>
      </c>
      <c r="T288" s="1"/>
      <c r="V288" s="1" t="s">
        <v>61</v>
      </c>
      <c r="W288" s="1" t="s">
        <v>140</v>
      </c>
      <c r="X288" s="1"/>
      <c r="Z288" s="1" t="s">
        <v>62</v>
      </c>
      <c r="AA288" s="1" t="str">
        <f>VLOOKUP(AA287,LISTPROD[],2,FALSE)</f>
        <v>OXTEOMAX</v>
      </c>
      <c r="AB288" s="1"/>
      <c r="AD288" s="1" t="s">
        <v>61</v>
      </c>
      <c r="AE288" s="1" t="s">
        <v>203</v>
      </c>
      <c r="AF288" s="1"/>
      <c r="AH288" s="1" t="s">
        <v>61</v>
      </c>
      <c r="AI288" s="1"/>
      <c r="AJ288" s="1"/>
      <c r="AL288" s="1" t="s">
        <v>61</v>
      </c>
      <c r="AM288" s="1"/>
      <c r="AN288" s="1"/>
      <c r="AR288" s="1" t="s">
        <v>61</v>
      </c>
      <c r="AS288" s="1"/>
      <c r="AT288" s="1"/>
    </row>
    <row r="289" spans="7:46" x14ac:dyDescent="0.25">
      <c r="G289" s="1" t="s">
        <v>62</v>
      </c>
      <c r="H289" s="1" t="str">
        <f>VLOOKUP(H288,LISTPROD[],2,FALSE)</f>
        <v>AGUAJE (Capsulas)</v>
      </c>
      <c r="L289" s="1" t="s">
        <v>62</v>
      </c>
      <c r="M289" s="1" t="str">
        <f>VLOOKUP(M288,LISTPROD[],2,FALSE)</f>
        <v>GLUCOSAMINA (Capsulas)</v>
      </c>
      <c r="N289" s="1"/>
      <c r="R289" s="1" t="s">
        <v>62</v>
      </c>
      <c r="S289" s="1" t="str">
        <f>VLOOKUP(S288,LISTPROD[],2,FALSE)</f>
        <v>COPA DE INDIO</v>
      </c>
      <c r="T289" s="1"/>
      <c r="V289" s="1" t="s">
        <v>62</v>
      </c>
      <c r="W289" s="1" t="str">
        <f>VLOOKUP(W288,LISTPROD[],2,FALSE)</f>
        <v>GRAN TAMAKURA</v>
      </c>
      <c r="X289" s="1"/>
      <c r="Z289" s="1" t="s">
        <v>234</v>
      </c>
      <c r="AA289" s="1" t="str">
        <f>VLOOKUP(AA287,LISTPROD[],3,FALSE)</f>
        <v>OXTEOMAX</v>
      </c>
      <c r="AB289" s="1"/>
      <c r="AD289" s="1" t="s">
        <v>62</v>
      </c>
      <c r="AE289" s="1" t="str">
        <f>VLOOKUP(AE288,LISTPROD[],2,FALSE)</f>
        <v>ULTRADOLL</v>
      </c>
      <c r="AF289" s="1"/>
      <c r="AH289" s="1" t="s">
        <v>62</v>
      </c>
      <c r="AI289" s="1" t="e">
        <f>VLOOKUP(AI288,LISTPROD[],2,FALSE)</f>
        <v>#N/A</v>
      </c>
      <c r="AJ289" s="1"/>
      <c r="AL289" s="1" t="s">
        <v>62</v>
      </c>
      <c r="AM289" s="1" t="e">
        <f>VLOOKUP(AM288,LISTPROD[],2,FALSE)</f>
        <v>#N/A</v>
      </c>
      <c r="AN289" s="1"/>
      <c r="AR289" s="1" t="s">
        <v>62</v>
      </c>
      <c r="AS289" s="1"/>
      <c r="AT289" s="1" t="e">
        <f>VLOOKUP(AT288,'DETALLE PRODUCTOSxPrecio'!$A$7:$AK$99,2,FALSE)</f>
        <v>#N/A</v>
      </c>
    </row>
    <row r="290" spans="7:46" x14ac:dyDescent="0.25">
      <c r="G290" s="1" t="s">
        <v>234</v>
      </c>
      <c r="H290" s="1" t="str">
        <f>VLOOKUP(H288,LISTPROD[],3,FALSE)</f>
        <v>AGUAJE</v>
      </c>
      <c r="L290" s="1" t="s">
        <v>234</v>
      </c>
      <c r="M290" s="1" t="str">
        <f>VLOOKUP(M288,LISTPROD[],3,FALSE)</f>
        <v>GLUCOSAMINA</v>
      </c>
      <c r="N290" s="1"/>
      <c r="R290" s="1" t="s">
        <v>234</v>
      </c>
      <c r="S290" s="1" t="str">
        <f>VLOOKUP(S288,LISTPROD[],3,FALSE)</f>
        <v>COPA DE INDIO</v>
      </c>
      <c r="T290" s="1"/>
      <c r="V290" s="1" t="s">
        <v>234</v>
      </c>
      <c r="W290" s="1" t="str">
        <f>VLOOKUP(W288,LISTPROD[],3,FALSE)</f>
        <v>GRAN TAMAKURA</v>
      </c>
      <c r="X290" s="1"/>
      <c r="Z290" s="1" t="s">
        <v>239</v>
      </c>
      <c r="AA290" s="21"/>
      <c r="AB290" s="21"/>
      <c r="AD290" s="1" t="s">
        <v>234</v>
      </c>
      <c r="AE290" s="1" t="str">
        <f>VLOOKUP(AE288,LISTPROD[],3,FALSE)</f>
        <v>ULTRADOLL</v>
      </c>
      <c r="AF290" s="1"/>
      <c r="AH290" s="1" t="s">
        <v>234</v>
      </c>
      <c r="AI290" s="1" t="e">
        <f>VLOOKUP(AI288,LISTPROD[],3,FALSE)</f>
        <v>#N/A</v>
      </c>
      <c r="AJ290" s="1"/>
      <c r="AL290" s="1" t="s">
        <v>234</v>
      </c>
      <c r="AM290" s="1" t="e">
        <f>VLOOKUP(AM288,LISTPROD[],3,FALSE)</f>
        <v>#N/A</v>
      </c>
      <c r="AN290" s="1"/>
      <c r="AR290" s="1" t="s">
        <v>234</v>
      </c>
      <c r="AS290" s="1"/>
      <c r="AT290" s="1" t="e">
        <f>VLOOKUP(AT288,'DETALLE PRODUCTOSxPrecio'!$A$8:$AK$100,3,FALSE)</f>
        <v>#N/A</v>
      </c>
    </row>
    <row r="291" spans="7:46" x14ac:dyDescent="0.25">
      <c r="G291" s="1" t="s">
        <v>239</v>
      </c>
      <c r="H291" s="21"/>
      <c r="L291" s="1" t="s">
        <v>239</v>
      </c>
      <c r="M291" s="21"/>
      <c r="N291" s="21"/>
      <c r="R291" s="1" t="s">
        <v>239</v>
      </c>
      <c r="S291" s="21"/>
      <c r="T291" s="21"/>
      <c r="V291" s="1" t="s">
        <v>239</v>
      </c>
      <c r="W291" s="21"/>
      <c r="X291" s="21"/>
      <c r="Z291" s="1" t="s">
        <v>240</v>
      </c>
      <c r="AA291" s="21"/>
      <c r="AB291" s="21"/>
      <c r="AD291" s="1" t="s">
        <v>239</v>
      </c>
      <c r="AE291" s="21"/>
      <c r="AF291" s="21"/>
      <c r="AH291" s="1" t="s">
        <v>239</v>
      </c>
      <c r="AI291" s="21"/>
      <c r="AJ291" s="21"/>
      <c r="AL291" s="1" t="s">
        <v>239</v>
      </c>
      <c r="AM291" s="21"/>
      <c r="AN291" s="21"/>
      <c r="AR291" s="1" t="s">
        <v>239</v>
      </c>
      <c r="AS291" s="1"/>
      <c r="AT291" s="21"/>
    </row>
    <row r="292" spans="7:46" x14ac:dyDescent="0.25">
      <c r="G292" s="1" t="s">
        <v>240</v>
      </c>
      <c r="H292" s="21"/>
      <c r="L292" s="1" t="s">
        <v>240</v>
      </c>
      <c r="M292" s="21"/>
      <c r="N292" s="21"/>
      <c r="R292" s="1" t="s">
        <v>240</v>
      </c>
      <c r="S292" s="21"/>
      <c r="T292" s="21"/>
      <c r="V292" s="1" t="s">
        <v>240</v>
      </c>
      <c r="W292" s="21"/>
      <c r="X292" s="21"/>
      <c r="Z292" s="1" t="s">
        <v>238</v>
      </c>
      <c r="AA292" s="21"/>
      <c r="AB292" s="21"/>
      <c r="AD292" s="1" t="s">
        <v>240</v>
      </c>
      <c r="AE292" s="21"/>
      <c r="AF292" s="21"/>
      <c r="AH292" s="1" t="s">
        <v>240</v>
      </c>
      <c r="AI292" s="21"/>
      <c r="AJ292" s="21"/>
      <c r="AL292" s="1" t="s">
        <v>240</v>
      </c>
      <c r="AM292" s="21"/>
      <c r="AN292" s="21"/>
      <c r="AR292" s="1" t="s">
        <v>240</v>
      </c>
      <c r="AS292" s="1"/>
      <c r="AT292" s="21"/>
    </row>
    <row r="293" spans="7:46" x14ac:dyDescent="0.25">
      <c r="G293" s="1" t="s">
        <v>238</v>
      </c>
      <c r="H293" s="21"/>
      <c r="L293" s="1" t="s">
        <v>238</v>
      </c>
      <c r="M293" s="21"/>
      <c r="N293" s="21"/>
      <c r="R293" s="1" t="s">
        <v>238</v>
      </c>
      <c r="S293" s="21"/>
      <c r="T293" s="21"/>
      <c r="V293" s="1" t="s">
        <v>238</v>
      </c>
      <c r="W293" s="21"/>
      <c r="X293" s="21"/>
      <c r="Z293" s="23" t="s">
        <v>1</v>
      </c>
      <c r="AA293" s="23" t="s">
        <v>322</v>
      </c>
      <c r="AB293" s="38" t="s">
        <v>2</v>
      </c>
      <c r="AD293" s="1" t="s">
        <v>238</v>
      </c>
      <c r="AE293" s="21"/>
      <c r="AF293" s="21"/>
      <c r="AH293" s="1" t="s">
        <v>238</v>
      </c>
      <c r="AI293" s="21"/>
      <c r="AJ293" s="21"/>
      <c r="AL293" s="1" t="s">
        <v>238</v>
      </c>
      <c r="AM293" s="21"/>
      <c r="AN293" s="21"/>
      <c r="AR293" s="1" t="s">
        <v>238</v>
      </c>
      <c r="AS293" s="1"/>
      <c r="AT293" s="21"/>
    </row>
    <row r="294" spans="7:46" x14ac:dyDescent="0.25">
      <c r="G294" s="25" t="s">
        <v>1</v>
      </c>
      <c r="H294" s="23" t="s">
        <v>322</v>
      </c>
      <c r="I294" s="38" t="s">
        <v>2</v>
      </c>
      <c r="L294" s="25" t="s">
        <v>1</v>
      </c>
      <c r="M294" s="23" t="s">
        <v>322</v>
      </c>
      <c r="N294" s="38" t="s">
        <v>2</v>
      </c>
      <c r="R294" s="23" t="s">
        <v>1</v>
      </c>
      <c r="S294" s="23" t="s">
        <v>322</v>
      </c>
      <c r="T294" s="38" t="s">
        <v>2</v>
      </c>
      <c r="V294" s="23" t="s">
        <v>1</v>
      </c>
      <c r="W294" s="23" t="s">
        <v>322</v>
      </c>
      <c r="X294" s="38" t="s">
        <v>2</v>
      </c>
      <c r="Z294" s="24" t="s">
        <v>252</v>
      </c>
      <c r="AA294" s="24">
        <v>600</v>
      </c>
      <c r="AD294" s="23" t="s">
        <v>1</v>
      </c>
      <c r="AE294" s="23" t="s">
        <v>322</v>
      </c>
      <c r="AF294" s="38" t="s">
        <v>2</v>
      </c>
      <c r="AH294" s="23" t="s">
        <v>1</v>
      </c>
      <c r="AI294" s="23" t="s">
        <v>322</v>
      </c>
      <c r="AJ294" s="38" t="s">
        <v>2</v>
      </c>
      <c r="AL294" s="23" t="s">
        <v>1</v>
      </c>
      <c r="AM294" s="23" t="s">
        <v>2</v>
      </c>
      <c r="AN294" s="23"/>
      <c r="AR294" s="23" t="s">
        <v>1</v>
      </c>
      <c r="AS294" s="23"/>
      <c r="AT294" s="23" t="s">
        <v>2</v>
      </c>
    </row>
    <row r="295" spans="7:46" x14ac:dyDescent="0.25">
      <c r="G295" s="24"/>
      <c r="H295" s="24"/>
      <c r="L295" s="24"/>
      <c r="M295" s="24"/>
      <c r="R295" s="24" t="s">
        <v>242</v>
      </c>
      <c r="S295" s="24">
        <v>600</v>
      </c>
      <c r="V295" s="24" t="s">
        <v>249</v>
      </c>
      <c r="W295" s="24">
        <v>500</v>
      </c>
      <c r="Z295" s="24" t="s">
        <v>244</v>
      </c>
      <c r="AA295" s="24">
        <v>200</v>
      </c>
      <c r="AD295" s="24"/>
      <c r="AE295" s="24"/>
      <c r="AH295" s="24"/>
      <c r="AI295" s="24"/>
      <c r="AL295" s="24"/>
      <c r="AM295" s="24"/>
      <c r="AR295" s="24"/>
      <c r="AS295" s="24"/>
      <c r="AT295" s="24"/>
    </row>
    <row r="296" spans="7:46" x14ac:dyDescent="0.25">
      <c r="G296" s="24"/>
      <c r="H296" s="24"/>
      <c r="L296" s="24"/>
      <c r="M296" s="24"/>
      <c r="R296" s="24" t="s">
        <v>253</v>
      </c>
      <c r="S296" s="24">
        <v>500</v>
      </c>
      <c r="V296" s="24" t="s">
        <v>300</v>
      </c>
      <c r="W296" s="24">
        <v>500</v>
      </c>
      <c r="Z296" s="24" t="s">
        <v>272</v>
      </c>
      <c r="AA296" s="24">
        <v>5000</v>
      </c>
      <c r="AD296" s="24"/>
      <c r="AE296" s="24"/>
      <c r="AH296" s="24"/>
      <c r="AI296" s="24"/>
      <c r="AL296" s="24"/>
      <c r="AM296" s="24"/>
      <c r="AR296" s="24"/>
      <c r="AS296" s="24"/>
      <c r="AT296" s="24"/>
    </row>
    <row r="297" spans="7:46" x14ac:dyDescent="0.25">
      <c r="G297" s="24"/>
      <c r="H297" s="24"/>
      <c r="L297" s="24"/>
      <c r="M297" s="24"/>
      <c r="R297" s="24" t="s">
        <v>244</v>
      </c>
      <c r="S297" s="24">
        <v>200</v>
      </c>
      <c r="V297" s="24" t="s">
        <v>242</v>
      </c>
      <c r="W297" s="24">
        <v>600</v>
      </c>
      <c r="Z297" s="24" t="s">
        <v>246</v>
      </c>
      <c r="AA297" s="24">
        <v>20</v>
      </c>
      <c r="AD297" s="24"/>
      <c r="AE297" s="24"/>
      <c r="AH297" s="24"/>
      <c r="AI297" s="24"/>
      <c r="AL297" s="24"/>
      <c r="AM297" s="24"/>
      <c r="AR297" s="24"/>
      <c r="AS297" s="24"/>
      <c r="AT297" s="24"/>
    </row>
    <row r="298" spans="7:46" x14ac:dyDescent="0.25">
      <c r="G298" s="24"/>
      <c r="H298" s="24"/>
      <c r="L298" s="24"/>
      <c r="M298" s="24"/>
      <c r="R298" s="24" t="s">
        <v>248</v>
      </c>
      <c r="S298" s="24">
        <v>900</v>
      </c>
      <c r="V298" s="24" t="s">
        <v>243</v>
      </c>
      <c r="W298" s="24">
        <v>1000</v>
      </c>
      <c r="Z298" s="24" t="s">
        <v>248</v>
      </c>
      <c r="AA298" s="24">
        <v>700</v>
      </c>
      <c r="AD298" s="24"/>
      <c r="AE298" s="24"/>
      <c r="AH298" s="24"/>
      <c r="AI298" s="24"/>
      <c r="AL298" s="24"/>
      <c r="AM298" s="24"/>
      <c r="AR298" s="24"/>
      <c r="AS298" s="24"/>
      <c r="AT298" s="24"/>
    </row>
    <row r="299" spans="7:46" x14ac:dyDescent="0.25">
      <c r="G299" s="24"/>
      <c r="H299" s="24"/>
      <c r="L299" s="24"/>
      <c r="M299" s="24"/>
      <c r="R299" s="24" t="s">
        <v>245</v>
      </c>
      <c r="S299" s="24">
        <v>100</v>
      </c>
      <c r="V299" s="24" t="s">
        <v>248</v>
      </c>
      <c r="W299" s="24">
        <v>800</v>
      </c>
      <c r="Z299" s="24" t="s">
        <v>251</v>
      </c>
      <c r="AA299" s="24">
        <v>50</v>
      </c>
      <c r="AD299" s="24"/>
      <c r="AE299" s="24"/>
      <c r="AH299" s="24"/>
      <c r="AI299" s="24"/>
      <c r="AL299" s="24"/>
      <c r="AM299" s="24"/>
      <c r="AR299" s="24"/>
      <c r="AS299" s="24"/>
      <c r="AT299" s="24"/>
    </row>
    <row r="300" spans="7:46" x14ac:dyDescent="0.25">
      <c r="G300" s="24"/>
      <c r="H300" s="24"/>
      <c r="L300" s="24"/>
      <c r="M300" s="24"/>
      <c r="R300" s="24" t="s">
        <v>246</v>
      </c>
      <c r="S300" s="24">
        <v>20</v>
      </c>
      <c r="V300" s="24" t="s">
        <v>251</v>
      </c>
      <c r="W300" s="24">
        <v>250</v>
      </c>
      <c r="Z300" s="24" t="s">
        <v>247</v>
      </c>
      <c r="AA300" s="24"/>
      <c r="AD300" s="24"/>
      <c r="AE300" s="24"/>
      <c r="AH300" s="24"/>
      <c r="AI300" s="24"/>
      <c r="AL300" s="24"/>
      <c r="AM300" s="24"/>
      <c r="AR300" s="24"/>
      <c r="AS300" s="24"/>
      <c r="AT300" s="24"/>
    </row>
    <row r="301" spans="7:46" x14ac:dyDescent="0.25">
      <c r="G301" s="24"/>
      <c r="H301" s="24"/>
      <c r="L301" s="24"/>
      <c r="M301" s="24"/>
      <c r="R301" s="24" t="s">
        <v>247</v>
      </c>
      <c r="S301" s="24"/>
      <c r="V301" s="24" t="s">
        <v>247</v>
      </c>
      <c r="W301" s="24"/>
      <c r="Z301" s="24"/>
      <c r="AA301" s="24"/>
      <c r="AD301" s="24"/>
      <c r="AE301" s="24"/>
      <c r="AH301" s="24"/>
      <c r="AI301" s="24"/>
      <c r="AL301" s="24"/>
      <c r="AM301" s="24"/>
      <c r="AR301" s="24"/>
      <c r="AS301" s="24"/>
      <c r="AT301" s="24"/>
    </row>
    <row r="302" spans="7:46" x14ac:dyDescent="0.25">
      <c r="G302" s="24"/>
      <c r="H302" s="24"/>
      <c r="L302" s="24"/>
      <c r="M302" s="24"/>
      <c r="R302" s="24"/>
      <c r="S302" s="24"/>
      <c r="V302" s="24"/>
      <c r="W302" s="24"/>
      <c r="AD302" s="24"/>
      <c r="AE302" s="24"/>
      <c r="AH302" s="24"/>
      <c r="AI302" s="24"/>
      <c r="AL302" s="24"/>
      <c r="AM302" s="24"/>
      <c r="AR302" s="24"/>
      <c r="AS302" s="24"/>
      <c r="AT302" s="24"/>
    </row>
    <row r="304" spans="7:46" x14ac:dyDescent="0.25">
      <c r="Z304" s="1" t="s">
        <v>61</v>
      </c>
      <c r="AA304" s="1" t="s">
        <v>169</v>
      </c>
      <c r="AB304" s="1"/>
    </row>
    <row r="305" spans="26:28" x14ac:dyDescent="0.25">
      <c r="Z305" s="1" t="s">
        <v>62</v>
      </c>
      <c r="AA305" s="1" t="str">
        <f>VLOOKUP(AA304,LISTPROD[],2,FALSE)</f>
        <v>PAPA SILVESTRE JARABE 240ML</v>
      </c>
      <c r="AB305" s="1"/>
    </row>
    <row r="306" spans="26:28" x14ac:dyDescent="0.25">
      <c r="Z306" s="1" t="s">
        <v>234</v>
      </c>
      <c r="AA306" s="1" t="str">
        <f>VLOOKUP(AA304,LISTPROD[],3,FALSE)</f>
        <v>PAPA SILVESTRE JARABE 240ML</v>
      </c>
      <c r="AB306" s="1"/>
    </row>
    <row r="307" spans="26:28" x14ac:dyDescent="0.25">
      <c r="Z307" s="1" t="s">
        <v>239</v>
      </c>
      <c r="AA307" s="21"/>
      <c r="AB307" s="21"/>
    </row>
    <row r="308" spans="26:28" x14ac:dyDescent="0.25">
      <c r="Z308" s="1" t="s">
        <v>240</v>
      </c>
      <c r="AA308" s="21"/>
      <c r="AB308" s="21"/>
    </row>
    <row r="309" spans="26:28" x14ac:dyDescent="0.25">
      <c r="Z309" s="1" t="s">
        <v>238</v>
      </c>
      <c r="AA309" s="21"/>
      <c r="AB309" s="21"/>
    </row>
    <row r="310" spans="26:28" x14ac:dyDescent="0.25">
      <c r="Z310" s="23" t="s">
        <v>1</v>
      </c>
      <c r="AA310" s="23" t="s">
        <v>322</v>
      </c>
      <c r="AB310" s="38" t="s">
        <v>2</v>
      </c>
    </row>
    <row r="311" spans="26:28" x14ac:dyDescent="0.25">
      <c r="Z311" s="24" t="s">
        <v>252</v>
      </c>
      <c r="AA311" s="24">
        <v>600</v>
      </c>
    </row>
    <row r="312" spans="26:28" x14ac:dyDescent="0.25">
      <c r="Z312" s="24" t="s">
        <v>243</v>
      </c>
      <c r="AA312" s="24">
        <v>200</v>
      </c>
    </row>
    <row r="313" spans="26:28" x14ac:dyDescent="0.25">
      <c r="Z313" s="24" t="s">
        <v>244</v>
      </c>
      <c r="AA313" s="24">
        <v>200</v>
      </c>
    </row>
    <row r="314" spans="26:28" x14ac:dyDescent="0.25">
      <c r="Z314" s="24" t="s">
        <v>248</v>
      </c>
      <c r="AA314" s="24">
        <v>600</v>
      </c>
    </row>
    <row r="315" spans="26:28" x14ac:dyDescent="0.25">
      <c r="Z315" s="24" t="s">
        <v>246</v>
      </c>
      <c r="AA315" s="24">
        <v>3</v>
      </c>
    </row>
    <row r="316" spans="26:28" x14ac:dyDescent="0.25">
      <c r="Z316" s="24" t="s">
        <v>294</v>
      </c>
      <c r="AA316" s="24">
        <v>100</v>
      </c>
    </row>
    <row r="317" spans="26:28" x14ac:dyDescent="0.25">
      <c r="Z317" s="24" t="s">
        <v>251</v>
      </c>
      <c r="AA317" s="24">
        <v>200</v>
      </c>
    </row>
    <row r="318" spans="26:28" x14ac:dyDescent="0.25">
      <c r="Z318" s="24" t="s">
        <v>247</v>
      </c>
      <c r="AA318" s="24"/>
    </row>
  </sheetData>
  <mergeCells count="1">
    <mergeCell ref="R32:S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FFFB-0E9B-4838-BBB0-D9436B18AB19}">
  <sheetPr>
    <tabColor rgb="FFFF0000"/>
  </sheetPr>
  <dimension ref="A1:N91"/>
  <sheetViews>
    <sheetView zoomScale="85" zoomScaleNormal="85" workbookViewId="0">
      <selection activeCell="N22" sqref="N22"/>
    </sheetView>
  </sheetViews>
  <sheetFormatPr baseColWidth="10" defaultRowHeight="15" x14ac:dyDescent="0.25"/>
  <cols>
    <col min="1" max="1" width="21" customWidth="1"/>
    <col min="2" max="2" width="16.5703125" customWidth="1"/>
    <col min="4" max="4" width="17.140625" bestFit="1" customWidth="1"/>
    <col min="7" max="7" width="17.140625" bestFit="1" customWidth="1"/>
    <col min="10" max="10" width="17.140625" bestFit="1" customWidth="1"/>
    <col min="13" max="13" width="17.140625" bestFit="1" customWidth="1"/>
  </cols>
  <sheetData>
    <row r="1" spans="1:14" x14ac:dyDescent="0.25">
      <c r="A1" t="s">
        <v>53</v>
      </c>
      <c r="B1" t="s">
        <v>54</v>
      </c>
      <c r="C1" t="s">
        <v>55</v>
      </c>
    </row>
    <row r="2" spans="1:14" x14ac:dyDescent="0.25">
      <c r="A2" t="s">
        <v>53</v>
      </c>
      <c r="B2" t="s">
        <v>56</v>
      </c>
      <c r="C2" t="s">
        <v>57</v>
      </c>
    </row>
    <row r="4" spans="1:14" x14ac:dyDescent="0.25">
      <c r="B4" s="12" t="s">
        <v>233</v>
      </c>
    </row>
    <row r="6" spans="1:14" x14ac:dyDescent="0.25">
      <c r="B6" s="11"/>
    </row>
    <row r="7" spans="1:14" x14ac:dyDescent="0.25">
      <c r="B7" s="11"/>
    </row>
    <row r="9" spans="1:14" x14ac:dyDescent="0.25">
      <c r="A9" s="1" t="s">
        <v>0</v>
      </c>
      <c r="B9" t="s">
        <v>232</v>
      </c>
      <c r="D9" s="1" t="s">
        <v>0</v>
      </c>
      <c r="E9" t="s">
        <v>10</v>
      </c>
      <c r="G9" s="1" t="s">
        <v>0</v>
      </c>
      <c r="H9" t="s">
        <v>12</v>
      </c>
      <c r="J9" s="1" t="s">
        <v>0</v>
      </c>
      <c r="K9" t="s">
        <v>16</v>
      </c>
      <c r="M9" s="1" t="s">
        <v>0</v>
      </c>
      <c r="N9" t="s">
        <v>27</v>
      </c>
    </row>
    <row r="10" spans="1:14" s="3" customFormat="1" x14ac:dyDescent="0.25">
      <c r="A10" s="2" t="s">
        <v>1</v>
      </c>
      <c r="B10" s="2" t="s">
        <v>2</v>
      </c>
      <c r="D10" s="2" t="s">
        <v>1</v>
      </c>
      <c r="E10" s="2" t="s">
        <v>2</v>
      </c>
      <c r="G10" s="2" t="s">
        <v>1</v>
      </c>
      <c r="H10" s="2" t="s">
        <v>2</v>
      </c>
      <c r="J10" s="2" t="s">
        <v>1</v>
      </c>
      <c r="K10" s="2" t="s">
        <v>2</v>
      </c>
      <c r="M10" s="2" t="s">
        <v>1</v>
      </c>
      <c r="N10" s="2" t="s">
        <v>2</v>
      </c>
    </row>
    <row r="11" spans="1:14" x14ac:dyDescent="0.25">
      <c r="A11" t="s">
        <v>3</v>
      </c>
      <c r="B11">
        <v>700</v>
      </c>
      <c r="D11" t="s">
        <v>3</v>
      </c>
      <c r="E11">
        <v>700</v>
      </c>
      <c r="G11" t="s">
        <v>3</v>
      </c>
      <c r="H11">
        <v>700</v>
      </c>
      <c r="J11" t="s">
        <v>3</v>
      </c>
      <c r="K11">
        <v>700</v>
      </c>
      <c r="M11" t="s">
        <v>3</v>
      </c>
      <c r="N11">
        <v>900</v>
      </c>
    </row>
    <row r="12" spans="1:14" x14ac:dyDescent="0.25">
      <c r="A12" t="s">
        <v>4</v>
      </c>
      <c r="B12">
        <v>600</v>
      </c>
      <c r="D12" t="s">
        <v>4</v>
      </c>
      <c r="E12">
        <v>600</v>
      </c>
      <c r="G12" t="s">
        <v>4</v>
      </c>
      <c r="H12">
        <v>600</v>
      </c>
      <c r="J12" t="s">
        <v>4</v>
      </c>
      <c r="K12">
        <v>600</v>
      </c>
      <c r="M12" t="s">
        <v>4</v>
      </c>
      <c r="N12">
        <v>600</v>
      </c>
    </row>
    <row r="13" spans="1:14" x14ac:dyDescent="0.25">
      <c r="A13" t="s">
        <v>5</v>
      </c>
      <c r="B13">
        <v>1000</v>
      </c>
      <c r="D13" t="s">
        <v>5</v>
      </c>
      <c r="E13">
        <v>1000</v>
      </c>
      <c r="G13" t="s">
        <v>5</v>
      </c>
      <c r="H13">
        <v>200</v>
      </c>
      <c r="J13" t="s">
        <v>5</v>
      </c>
      <c r="K13">
        <v>1000</v>
      </c>
      <c r="M13" t="s">
        <v>5</v>
      </c>
      <c r="N13">
        <v>300</v>
      </c>
    </row>
    <row r="14" spans="1:14" x14ac:dyDescent="0.25">
      <c r="A14" t="s">
        <v>6</v>
      </c>
      <c r="B14">
        <v>250</v>
      </c>
      <c r="D14" t="s">
        <v>6</v>
      </c>
      <c r="E14">
        <v>250</v>
      </c>
      <c r="G14" t="s">
        <v>6</v>
      </c>
      <c r="H14">
        <v>200</v>
      </c>
      <c r="J14" t="s">
        <v>19</v>
      </c>
      <c r="K14">
        <v>300</v>
      </c>
      <c r="M14" t="s">
        <v>6</v>
      </c>
      <c r="N14">
        <v>150</v>
      </c>
    </row>
    <row r="15" spans="1:14" x14ac:dyDescent="0.25">
      <c r="A15" t="s">
        <v>7</v>
      </c>
      <c r="B15">
        <v>500</v>
      </c>
      <c r="D15" t="s">
        <v>7</v>
      </c>
      <c r="E15">
        <v>500</v>
      </c>
      <c r="G15" t="s">
        <v>7</v>
      </c>
      <c r="H15">
        <v>500</v>
      </c>
      <c r="J15" t="s">
        <v>7</v>
      </c>
      <c r="K15">
        <v>500</v>
      </c>
      <c r="M15" t="s">
        <v>7</v>
      </c>
      <c r="N15">
        <v>300</v>
      </c>
    </row>
    <row r="16" spans="1:14" x14ac:dyDescent="0.25">
      <c r="A16" t="s">
        <v>8</v>
      </c>
      <c r="B16">
        <v>500</v>
      </c>
      <c r="D16" t="s">
        <v>8</v>
      </c>
      <c r="E16">
        <v>500</v>
      </c>
      <c r="G16" t="s">
        <v>13</v>
      </c>
      <c r="H16">
        <v>100</v>
      </c>
      <c r="J16" t="s">
        <v>17</v>
      </c>
      <c r="K16">
        <v>100</v>
      </c>
      <c r="M16" t="s">
        <v>24</v>
      </c>
      <c r="N16">
        <v>100</v>
      </c>
    </row>
    <row r="17" spans="1:14" x14ac:dyDescent="0.25">
      <c r="A17" t="s">
        <v>9</v>
      </c>
      <c r="B17">
        <v>500</v>
      </c>
      <c r="D17" t="s">
        <v>9</v>
      </c>
      <c r="E17">
        <v>500</v>
      </c>
      <c r="G17" t="s">
        <v>14</v>
      </c>
      <c r="H17">
        <v>200</v>
      </c>
      <c r="J17" t="s">
        <v>14</v>
      </c>
      <c r="K17">
        <v>200</v>
      </c>
      <c r="M17" t="s">
        <v>14</v>
      </c>
      <c r="N17">
        <v>200</v>
      </c>
    </row>
    <row r="18" spans="1:14" x14ac:dyDescent="0.25">
      <c r="A18" t="s">
        <v>448</v>
      </c>
      <c r="B18">
        <v>150</v>
      </c>
      <c r="D18" t="s">
        <v>448</v>
      </c>
      <c r="E18">
        <v>150</v>
      </c>
      <c r="G18" t="s">
        <v>15</v>
      </c>
      <c r="H18">
        <v>1000</v>
      </c>
      <c r="J18" t="s">
        <v>15</v>
      </c>
      <c r="K18">
        <v>1000</v>
      </c>
      <c r="M18" t="s">
        <v>15</v>
      </c>
      <c r="N18">
        <v>1000</v>
      </c>
    </row>
    <row r="19" spans="1:14" x14ac:dyDescent="0.25">
      <c r="G19" t="s">
        <v>18</v>
      </c>
      <c r="H19">
        <v>30</v>
      </c>
      <c r="J19" t="s">
        <v>18</v>
      </c>
      <c r="K19">
        <v>60</v>
      </c>
      <c r="M19" t="s">
        <v>18</v>
      </c>
      <c r="N19">
        <v>40</v>
      </c>
    </row>
    <row r="20" spans="1:14" x14ac:dyDescent="0.25">
      <c r="J20" t="s">
        <v>20</v>
      </c>
      <c r="K20">
        <v>1000</v>
      </c>
      <c r="M20" t="s">
        <v>26</v>
      </c>
      <c r="N20">
        <v>20</v>
      </c>
    </row>
    <row r="21" spans="1:14" x14ac:dyDescent="0.25">
      <c r="A21" s="1" t="s">
        <v>0</v>
      </c>
      <c r="B21" t="s">
        <v>21</v>
      </c>
      <c r="D21" s="1" t="s">
        <v>0</v>
      </c>
      <c r="E21" t="s">
        <v>22</v>
      </c>
      <c r="G21" s="1" t="s">
        <v>0</v>
      </c>
      <c r="H21" t="s">
        <v>23</v>
      </c>
      <c r="J21" s="1" t="s">
        <v>0</v>
      </c>
      <c r="K21" t="s">
        <v>23</v>
      </c>
    </row>
    <row r="22" spans="1:14" x14ac:dyDescent="0.25">
      <c r="A22" s="2" t="s">
        <v>1</v>
      </c>
      <c r="B22" s="2" t="s">
        <v>2</v>
      </c>
      <c r="D22" s="2" t="s">
        <v>1</v>
      </c>
      <c r="E22" s="2" t="s">
        <v>2</v>
      </c>
      <c r="G22" s="2" t="s">
        <v>1</v>
      </c>
      <c r="H22" s="2" t="s">
        <v>2</v>
      </c>
      <c r="J22" s="2" t="s">
        <v>1</v>
      </c>
      <c r="K22" s="2" t="s">
        <v>2</v>
      </c>
      <c r="M22" s="1" t="s">
        <v>0</v>
      </c>
      <c r="N22" t="s">
        <v>28</v>
      </c>
    </row>
    <row r="23" spans="1:14" x14ac:dyDescent="0.25">
      <c r="A23" t="s">
        <v>3</v>
      </c>
      <c r="B23">
        <v>800</v>
      </c>
      <c r="D23" t="s">
        <v>3</v>
      </c>
      <c r="E23">
        <v>800</v>
      </c>
      <c r="G23" t="s">
        <v>3</v>
      </c>
      <c r="H23">
        <v>900</v>
      </c>
      <c r="J23" t="s">
        <v>3</v>
      </c>
      <c r="K23">
        <v>900</v>
      </c>
      <c r="M23" s="2" t="s">
        <v>1</v>
      </c>
      <c r="N23" s="2" t="s">
        <v>2</v>
      </c>
    </row>
    <row r="24" spans="1:14" x14ac:dyDescent="0.25">
      <c r="A24" t="s">
        <v>4</v>
      </c>
      <c r="B24">
        <v>600</v>
      </c>
      <c r="D24" t="s">
        <v>4</v>
      </c>
      <c r="E24">
        <v>600</v>
      </c>
      <c r="G24" t="s">
        <v>4</v>
      </c>
      <c r="H24">
        <v>600</v>
      </c>
      <c r="J24" t="s">
        <v>4</v>
      </c>
      <c r="K24">
        <v>600</v>
      </c>
      <c r="M24" t="s">
        <v>3</v>
      </c>
      <c r="N24">
        <v>900</v>
      </c>
    </row>
    <row r="25" spans="1:14" x14ac:dyDescent="0.25">
      <c r="A25" t="s">
        <v>5</v>
      </c>
      <c r="B25">
        <v>200</v>
      </c>
      <c r="D25" t="s">
        <v>5</v>
      </c>
      <c r="E25">
        <v>300</v>
      </c>
      <c r="G25" t="s">
        <v>5</v>
      </c>
      <c r="H25">
        <v>300</v>
      </c>
      <c r="J25" t="s">
        <v>5</v>
      </c>
      <c r="K25">
        <v>300</v>
      </c>
      <c r="M25" t="s">
        <v>4</v>
      </c>
      <c r="N25">
        <v>600</v>
      </c>
    </row>
    <row r="26" spans="1:14" x14ac:dyDescent="0.25">
      <c r="A26" t="s">
        <v>6</v>
      </c>
      <c r="B26">
        <v>100</v>
      </c>
      <c r="D26" t="s">
        <v>6</v>
      </c>
      <c r="E26">
        <v>100</v>
      </c>
      <c r="G26" t="s">
        <v>6</v>
      </c>
      <c r="H26">
        <v>150</v>
      </c>
      <c r="J26" t="s">
        <v>6</v>
      </c>
      <c r="K26">
        <v>150</v>
      </c>
      <c r="M26" t="s">
        <v>5</v>
      </c>
      <c r="N26">
        <v>300</v>
      </c>
    </row>
    <row r="27" spans="1:14" x14ac:dyDescent="0.25">
      <c r="A27" t="s">
        <v>7</v>
      </c>
      <c r="B27">
        <v>500</v>
      </c>
      <c r="D27" t="s">
        <v>7</v>
      </c>
      <c r="E27">
        <v>500</v>
      </c>
      <c r="G27" t="s">
        <v>7</v>
      </c>
      <c r="H27">
        <v>500</v>
      </c>
      <c r="J27" t="s">
        <v>7</v>
      </c>
      <c r="K27">
        <v>500</v>
      </c>
      <c r="M27" t="s">
        <v>6</v>
      </c>
      <c r="N27">
        <v>150</v>
      </c>
    </row>
    <row r="28" spans="1:14" x14ac:dyDescent="0.25">
      <c r="A28" t="s">
        <v>25</v>
      </c>
      <c r="B28">
        <v>100</v>
      </c>
      <c r="D28" t="s">
        <v>25</v>
      </c>
      <c r="E28">
        <v>100</v>
      </c>
      <c r="G28" t="s">
        <v>24</v>
      </c>
      <c r="H28">
        <v>100</v>
      </c>
      <c r="J28" t="s">
        <v>24</v>
      </c>
      <c r="K28">
        <v>100</v>
      </c>
      <c r="M28" t="s">
        <v>7</v>
      </c>
      <c r="N28">
        <v>500</v>
      </c>
    </row>
    <row r="29" spans="1:14" x14ac:dyDescent="0.25">
      <c r="A29" t="s">
        <v>14</v>
      </c>
      <c r="B29">
        <v>200</v>
      </c>
      <c r="D29" t="s">
        <v>14</v>
      </c>
      <c r="E29">
        <v>200</v>
      </c>
      <c r="G29" t="s">
        <v>14</v>
      </c>
      <c r="H29">
        <v>200</v>
      </c>
      <c r="J29" t="s">
        <v>14</v>
      </c>
      <c r="K29">
        <v>200</v>
      </c>
      <c r="M29" t="s">
        <v>25</v>
      </c>
      <c r="N29">
        <v>100</v>
      </c>
    </row>
    <row r="30" spans="1:14" x14ac:dyDescent="0.25">
      <c r="A30" t="s">
        <v>15</v>
      </c>
      <c r="B30">
        <v>1000</v>
      </c>
      <c r="D30" t="s">
        <v>15</v>
      </c>
      <c r="E30">
        <v>1000</v>
      </c>
      <c r="G30" t="s">
        <v>15</v>
      </c>
      <c r="H30">
        <v>1000</v>
      </c>
      <c r="J30" t="s">
        <v>15</v>
      </c>
      <c r="K30">
        <v>1000</v>
      </c>
      <c r="M30" t="s">
        <v>14</v>
      </c>
      <c r="N30">
        <v>200</v>
      </c>
    </row>
    <row r="31" spans="1:14" x14ac:dyDescent="0.25">
      <c r="A31" t="s">
        <v>18</v>
      </c>
      <c r="B31">
        <v>60</v>
      </c>
      <c r="D31" t="s">
        <v>18</v>
      </c>
      <c r="E31">
        <v>60</v>
      </c>
      <c r="G31" t="s">
        <v>18</v>
      </c>
      <c r="H31">
        <v>40</v>
      </c>
      <c r="J31" t="s">
        <v>18</v>
      </c>
      <c r="K31">
        <v>40</v>
      </c>
      <c r="M31" t="s">
        <v>15</v>
      </c>
      <c r="N31">
        <v>1000</v>
      </c>
    </row>
    <row r="32" spans="1:14" x14ac:dyDescent="0.25">
      <c r="A32" t="s">
        <v>20</v>
      </c>
      <c r="B32">
        <v>300</v>
      </c>
      <c r="D32" t="s">
        <v>20</v>
      </c>
      <c r="E32">
        <v>1000</v>
      </c>
      <c r="G32" t="s">
        <v>20</v>
      </c>
      <c r="H32">
        <v>1000</v>
      </c>
      <c r="J32" t="s">
        <v>20</v>
      </c>
      <c r="K32">
        <v>1000</v>
      </c>
      <c r="M32" t="s">
        <v>18</v>
      </c>
      <c r="N32">
        <v>40</v>
      </c>
    </row>
    <row r="33" spans="1:14" x14ac:dyDescent="0.25">
      <c r="G33" t="s">
        <v>26</v>
      </c>
      <c r="H33">
        <v>20</v>
      </c>
      <c r="J33" t="s">
        <v>26</v>
      </c>
      <c r="K33">
        <v>20</v>
      </c>
      <c r="M33" t="s">
        <v>20</v>
      </c>
      <c r="N33">
        <v>1000</v>
      </c>
    </row>
    <row r="34" spans="1:14" x14ac:dyDescent="0.25">
      <c r="M34" t="s">
        <v>26</v>
      </c>
      <c r="N34">
        <v>20</v>
      </c>
    </row>
    <row r="35" spans="1:14" x14ac:dyDescent="0.25">
      <c r="A35" s="1" t="s">
        <v>0</v>
      </c>
      <c r="B35" t="s">
        <v>29</v>
      </c>
      <c r="D35" s="1" t="s">
        <v>0</v>
      </c>
      <c r="E35" t="s">
        <v>30</v>
      </c>
      <c r="G35" s="1" t="s">
        <v>0</v>
      </c>
      <c r="H35" t="s">
        <v>30</v>
      </c>
      <c r="J35" s="1" t="s">
        <v>0</v>
      </c>
      <c r="K35" t="s">
        <v>32</v>
      </c>
      <c r="M35" s="1" t="s">
        <v>0</v>
      </c>
      <c r="N35" t="s">
        <v>33</v>
      </c>
    </row>
    <row r="36" spans="1:14" x14ac:dyDescent="0.25">
      <c r="A36" s="2" t="s">
        <v>1</v>
      </c>
      <c r="B36" s="2" t="s">
        <v>2</v>
      </c>
      <c r="D36" s="2" t="s">
        <v>1</v>
      </c>
      <c r="E36" s="2" t="s">
        <v>2</v>
      </c>
      <c r="G36" s="2" t="s">
        <v>1</v>
      </c>
      <c r="H36" s="2" t="s">
        <v>2</v>
      </c>
      <c r="J36" s="2" t="s">
        <v>1</v>
      </c>
      <c r="K36" s="2" t="s">
        <v>2</v>
      </c>
      <c r="M36" s="2" t="s">
        <v>1</v>
      </c>
      <c r="N36" s="2" t="s">
        <v>2</v>
      </c>
    </row>
    <row r="37" spans="1:14" x14ac:dyDescent="0.25">
      <c r="A37" t="s">
        <v>3</v>
      </c>
      <c r="B37">
        <v>800</v>
      </c>
      <c r="D37" t="s">
        <v>3</v>
      </c>
      <c r="E37">
        <v>800</v>
      </c>
      <c r="G37" t="s">
        <v>3</v>
      </c>
      <c r="H37">
        <v>900</v>
      </c>
      <c r="J37" t="s">
        <v>3</v>
      </c>
      <c r="K37">
        <v>900</v>
      </c>
      <c r="M37" t="s">
        <v>3</v>
      </c>
      <c r="N37">
        <v>900</v>
      </c>
    </row>
    <row r="38" spans="1:14" x14ac:dyDescent="0.25">
      <c r="A38" t="s">
        <v>4</v>
      </c>
      <c r="B38">
        <v>600</v>
      </c>
      <c r="D38" t="s">
        <v>4</v>
      </c>
      <c r="E38">
        <v>600</v>
      </c>
      <c r="G38" t="s">
        <v>4</v>
      </c>
      <c r="H38">
        <v>600</v>
      </c>
      <c r="J38" t="s">
        <v>4</v>
      </c>
      <c r="K38">
        <v>600</v>
      </c>
      <c r="M38" t="s">
        <v>4</v>
      </c>
      <c r="N38">
        <v>600</v>
      </c>
    </row>
    <row r="39" spans="1:14" x14ac:dyDescent="0.25">
      <c r="A39" t="s">
        <v>5</v>
      </c>
      <c r="B39">
        <v>1000</v>
      </c>
      <c r="D39" t="s">
        <v>5</v>
      </c>
      <c r="E39">
        <v>1000</v>
      </c>
      <c r="G39" t="s">
        <v>5</v>
      </c>
      <c r="H39">
        <v>500</v>
      </c>
      <c r="J39" t="s">
        <v>5</v>
      </c>
      <c r="K39">
        <v>500</v>
      </c>
      <c r="M39" t="s">
        <v>5</v>
      </c>
      <c r="N39">
        <v>500</v>
      </c>
    </row>
    <row r="40" spans="1:14" x14ac:dyDescent="0.25">
      <c r="A40" t="s">
        <v>6</v>
      </c>
      <c r="B40">
        <v>250</v>
      </c>
      <c r="D40" t="s">
        <v>6</v>
      </c>
      <c r="E40">
        <v>250</v>
      </c>
      <c r="G40" t="s">
        <v>6</v>
      </c>
      <c r="H40">
        <v>250</v>
      </c>
      <c r="J40" t="s">
        <v>6</v>
      </c>
      <c r="K40">
        <v>250</v>
      </c>
      <c r="M40" t="s">
        <v>6</v>
      </c>
      <c r="N40">
        <v>100</v>
      </c>
    </row>
    <row r="41" spans="1:14" x14ac:dyDescent="0.25">
      <c r="A41" t="s">
        <v>8</v>
      </c>
      <c r="B41">
        <v>500</v>
      </c>
      <c r="D41" t="s">
        <v>8</v>
      </c>
      <c r="E41">
        <v>500</v>
      </c>
      <c r="G41" t="s">
        <v>31</v>
      </c>
      <c r="H41">
        <v>500</v>
      </c>
      <c r="J41" t="s">
        <v>31</v>
      </c>
      <c r="K41">
        <v>500</v>
      </c>
      <c r="M41" t="s">
        <v>31</v>
      </c>
      <c r="N41">
        <v>500</v>
      </c>
    </row>
    <row r="42" spans="1:14" x14ac:dyDescent="0.25">
      <c r="A42" t="s">
        <v>9</v>
      </c>
      <c r="B42">
        <v>500</v>
      </c>
      <c r="D42" t="s">
        <v>9</v>
      </c>
      <c r="E42">
        <v>500</v>
      </c>
      <c r="G42" t="s">
        <v>18</v>
      </c>
      <c r="H42">
        <v>30</v>
      </c>
      <c r="J42" t="s">
        <v>18</v>
      </c>
      <c r="K42">
        <v>30</v>
      </c>
      <c r="M42" t="s">
        <v>18</v>
      </c>
      <c r="N42">
        <v>30</v>
      </c>
    </row>
    <row r="43" spans="1:14" x14ac:dyDescent="0.25">
      <c r="A43" t="s">
        <v>448</v>
      </c>
      <c r="B43">
        <v>300</v>
      </c>
      <c r="D43" t="s">
        <v>448</v>
      </c>
      <c r="E43">
        <v>300</v>
      </c>
      <c r="G43" t="s">
        <v>14</v>
      </c>
      <c r="H43">
        <v>200</v>
      </c>
      <c r="J43" t="s">
        <v>14</v>
      </c>
      <c r="K43">
        <v>200</v>
      </c>
      <c r="M43" t="s">
        <v>14</v>
      </c>
      <c r="N43">
        <v>200</v>
      </c>
    </row>
    <row r="44" spans="1:14" x14ac:dyDescent="0.25">
      <c r="G44" t="s">
        <v>15</v>
      </c>
      <c r="H44">
        <v>300</v>
      </c>
      <c r="J44" t="s">
        <v>15</v>
      </c>
      <c r="K44">
        <v>300</v>
      </c>
      <c r="M44" t="s">
        <v>15</v>
      </c>
      <c r="N44">
        <v>300</v>
      </c>
    </row>
    <row r="46" spans="1:14" x14ac:dyDescent="0.25">
      <c r="A46" s="1" t="s">
        <v>0</v>
      </c>
      <c r="B46" t="s">
        <v>29</v>
      </c>
      <c r="D46" s="1" t="s">
        <v>0</v>
      </c>
      <c r="E46" t="s">
        <v>37</v>
      </c>
      <c r="G46" s="1" t="s">
        <v>0</v>
      </c>
      <c r="H46" t="s">
        <v>39</v>
      </c>
      <c r="J46" s="1" t="s">
        <v>0</v>
      </c>
      <c r="K46" t="s">
        <v>40</v>
      </c>
      <c r="M46" s="1" t="s">
        <v>0</v>
      </c>
      <c r="N46" t="s">
        <v>42</v>
      </c>
    </row>
    <row r="47" spans="1:14" x14ac:dyDescent="0.25">
      <c r="A47" s="2" t="s">
        <v>1</v>
      </c>
      <c r="B47" s="2" t="s">
        <v>2</v>
      </c>
      <c r="D47" s="2" t="s">
        <v>1</v>
      </c>
      <c r="E47" s="2" t="s">
        <v>2</v>
      </c>
      <c r="G47" s="2" t="s">
        <v>1</v>
      </c>
      <c r="H47" s="2" t="s">
        <v>2</v>
      </c>
      <c r="J47" s="2" t="s">
        <v>1</v>
      </c>
      <c r="K47" s="2" t="s">
        <v>2</v>
      </c>
      <c r="M47" s="2" t="s">
        <v>1</v>
      </c>
      <c r="N47" s="2" t="s">
        <v>2</v>
      </c>
    </row>
    <row r="48" spans="1:14" x14ac:dyDescent="0.25">
      <c r="A48" t="s">
        <v>3</v>
      </c>
      <c r="B48">
        <v>800</v>
      </c>
      <c r="D48" t="s">
        <v>3</v>
      </c>
      <c r="E48">
        <v>900</v>
      </c>
      <c r="G48" t="s">
        <v>3</v>
      </c>
      <c r="H48">
        <v>900</v>
      </c>
      <c r="J48" t="s">
        <v>3</v>
      </c>
      <c r="K48">
        <v>900</v>
      </c>
      <c r="M48" t="s">
        <v>3</v>
      </c>
      <c r="N48">
        <v>900</v>
      </c>
    </row>
    <row r="49" spans="1:14" x14ac:dyDescent="0.25">
      <c r="A49" t="s">
        <v>4</v>
      </c>
      <c r="B49">
        <v>600</v>
      </c>
      <c r="D49" t="s">
        <v>4</v>
      </c>
      <c r="E49">
        <v>600</v>
      </c>
      <c r="G49" t="s">
        <v>4</v>
      </c>
      <c r="H49">
        <v>600</v>
      </c>
      <c r="J49" t="s">
        <v>4</v>
      </c>
      <c r="K49">
        <v>600</v>
      </c>
      <c r="M49" t="s">
        <v>4</v>
      </c>
      <c r="N49">
        <v>600</v>
      </c>
    </row>
    <row r="50" spans="1:14" x14ac:dyDescent="0.25">
      <c r="A50" t="s">
        <v>14</v>
      </c>
      <c r="B50">
        <v>256</v>
      </c>
      <c r="D50" t="s">
        <v>5</v>
      </c>
      <c r="E50">
        <v>500</v>
      </c>
      <c r="G50" t="s">
        <v>5</v>
      </c>
      <c r="H50">
        <v>1000</v>
      </c>
      <c r="J50" t="s">
        <v>5</v>
      </c>
      <c r="K50">
        <v>300</v>
      </c>
      <c r="M50" t="s">
        <v>5</v>
      </c>
      <c r="N50">
        <v>600</v>
      </c>
    </row>
    <row r="51" spans="1:14" x14ac:dyDescent="0.25">
      <c r="A51" t="s">
        <v>6</v>
      </c>
      <c r="B51">
        <v>250</v>
      </c>
      <c r="D51" t="s">
        <v>6</v>
      </c>
      <c r="E51">
        <v>100</v>
      </c>
      <c r="G51" t="s">
        <v>6</v>
      </c>
      <c r="H51">
        <v>300</v>
      </c>
      <c r="J51" t="s">
        <v>6</v>
      </c>
      <c r="K51">
        <v>100</v>
      </c>
      <c r="M51" t="s">
        <v>6</v>
      </c>
      <c r="N51">
        <v>100</v>
      </c>
    </row>
    <row r="52" spans="1:14" x14ac:dyDescent="0.25">
      <c r="A52" t="s">
        <v>35</v>
      </c>
      <c r="B52">
        <v>116</v>
      </c>
      <c r="D52" t="s">
        <v>31</v>
      </c>
      <c r="E52">
        <v>500</v>
      </c>
      <c r="G52" t="s">
        <v>38</v>
      </c>
      <c r="H52">
        <v>500</v>
      </c>
      <c r="J52" t="s">
        <v>7</v>
      </c>
      <c r="K52">
        <v>500</v>
      </c>
      <c r="M52" t="s">
        <v>31</v>
      </c>
      <c r="N52">
        <v>100</v>
      </c>
    </row>
    <row r="53" spans="1:14" x14ac:dyDescent="0.25">
      <c r="A53" t="s">
        <v>36</v>
      </c>
      <c r="B53">
        <v>68</v>
      </c>
      <c r="D53" t="s">
        <v>18</v>
      </c>
      <c r="E53">
        <v>30</v>
      </c>
      <c r="G53" t="s">
        <v>18</v>
      </c>
      <c r="H53">
        <v>30</v>
      </c>
      <c r="J53" t="s">
        <v>31</v>
      </c>
      <c r="K53">
        <v>100</v>
      </c>
      <c r="M53" t="s">
        <v>18</v>
      </c>
      <c r="N53">
        <v>30</v>
      </c>
    </row>
    <row r="54" spans="1:14" x14ac:dyDescent="0.25">
      <c r="A54" t="s">
        <v>34</v>
      </c>
      <c r="B54">
        <v>7000</v>
      </c>
      <c r="D54" t="s">
        <v>14</v>
      </c>
      <c r="E54">
        <v>200</v>
      </c>
      <c r="G54" t="s">
        <v>14</v>
      </c>
      <c r="H54">
        <v>200</v>
      </c>
      <c r="J54" t="s">
        <v>14</v>
      </c>
      <c r="K54">
        <v>200</v>
      </c>
      <c r="M54" t="s">
        <v>14</v>
      </c>
      <c r="N54">
        <v>200</v>
      </c>
    </row>
    <row r="55" spans="1:14" x14ac:dyDescent="0.25">
      <c r="D55" t="s">
        <v>15</v>
      </c>
      <c r="E55">
        <v>300</v>
      </c>
      <c r="G55" t="s">
        <v>15</v>
      </c>
      <c r="H55">
        <v>300</v>
      </c>
      <c r="J55" t="s">
        <v>15</v>
      </c>
      <c r="K55">
        <v>1000</v>
      </c>
      <c r="M55" t="s">
        <v>15</v>
      </c>
      <c r="N55">
        <v>300</v>
      </c>
    </row>
    <row r="56" spans="1:14" x14ac:dyDescent="0.25">
      <c r="J56" t="s">
        <v>41</v>
      </c>
      <c r="K56">
        <v>100</v>
      </c>
    </row>
    <row r="57" spans="1:14" x14ac:dyDescent="0.25">
      <c r="J57" t="s">
        <v>20</v>
      </c>
      <c r="K57">
        <v>1000</v>
      </c>
    </row>
    <row r="58" spans="1:14" x14ac:dyDescent="0.25">
      <c r="J58" t="s">
        <v>26</v>
      </c>
      <c r="K58">
        <v>20</v>
      </c>
    </row>
    <row r="59" spans="1:14" x14ac:dyDescent="0.25">
      <c r="J59" t="s">
        <v>448</v>
      </c>
      <c r="K59">
        <v>150</v>
      </c>
    </row>
    <row r="63" spans="1:14" x14ac:dyDescent="0.25">
      <c r="A63" s="1" t="s">
        <v>0</v>
      </c>
      <c r="B63" t="s">
        <v>43</v>
      </c>
      <c r="D63" s="1" t="s">
        <v>0</v>
      </c>
      <c r="E63" t="s">
        <v>46</v>
      </c>
      <c r="G63" s="1" t="s">
        <v>0</v>
      </c>
      <c r="H63" t="s">
        <v>47</v>
      </c>
      <c r="J63" s="1" t="s">
        <v>0</v>
      </c>
      <c r="K63" t="s">
        <v>49</v>
      </c>
      <c r="M63" s="6" t="s">
        <v>0</v>
      </c>
      <c r="N63" s="7" t="s">
        <v>50</v>
      </c>
    </row>
    <row r="64" spans="1:14" x14ac:dyDescent="0.25">
      <c r="A64" s="2" t="s">
        <v>1</v>
      </c>
      <c r="B64" s="2" t="s">
        <v>2</v>
      </c>
      <c r="D64" s="2" t="s">
        <v>1</v>
      </c>
      <c r="E64" s="2" t="s">
        <v>2</v>
      </c>
      <c r="G64" s="2" t="s">
        <v>1</v>
      </c>
      <c r="H64" s="2" t="s">
        <v>2</v>
      </c>
      <c r="J64" s="2" t="s">
        <v>1</v>
      </c>
      <c r="K64" s="2" t="s">
        <v>2</v>
      </c>
      <c r="M64" s="8" t="s">
        <v>1</v>
      </c>
      <c r="N64" s="8" t="s">
        <v>2</v>
      </c>
    </row>
    <row r="65" spans="1:14" x14ac:dyDescent="0.25">
      <c r="A65" t="s">
        <v>3</v>
      </c>
      <c r="B65">
        <v>700</v>
      </c>
      <c r="D65" t="s">
        <v>3</v>
      </c>
      <c r="E65">
        <v>900</v>
      </c>
      <c r="G65" t="s">
        <v>3</v>
      </c>
      <c r="H65">
        <v>900</v>
      </c>
      <c r="J65" t="s">
        <v>3</v>
      </c>
      <c r="K65">
        <v>900</v>
      </c>
      <c r="M65" s="7" t="s">
        <v>3</v>
      </c>
      <c r="N65" s="7">
        <v>900</v>
      </c>
    </row>
    <row r="66" spans="1:14" x14ac:dyDescent="0.25">
      <c r="A66" t="s">
        <v>4</v>
      </c>
      <c r="B66">
        <v>600</v>
      </c>
      <c r="D66" t="s">
        <v>4</v>
      </c>
      <c r="E66">
        <v>600</v>
      </c>
      <c r="G66" t="s">
        <v>4</v>
      </c>
      <c r="H66">
        <v>600</v>
      </c>
      <c r="J66" t="s">
        <v>4</v>
      </c>
      <c r="K66">
        <v>600</v>
      </c>
      <c r="M66" s="7" t="s">
        <v>4</v>
      </c>
      <c r="N66" s="7">
        <v>600</v>
      </c>
    </row>
    <row r="67" spans="1:14" x14ac:dyDescent="0.25">
      <c r="A67" t="s">
        <v>5</v>
      </c>
      <c r="B67">
        <v>200</v>
      </c>
      <c r="D67" t="s">
        <v>5</v>
      </c>
      <c r="E67">
        <v>600</v>
      </c>
      <c r="G67" t="s">
        <v>5</v>
      </c>
      <c r="H67">
        <v>600</v>
      </c>
      <c r="J67" t="s">
        <v>34</v>
      </c>
      <c r="K67">
        <v>5000</v>
      </c>
      <c r="M67" s="7" t="s">
        <v>5</v>
      </c>
      <c r="N67" s="7">
        <v>1000</v>
      </c>
    </row>
    <row r="68" spans="1:14" x14ac:dyDescent="0.25">
      <c r="A68" t="s">
        <v>6</v>
      </c>
      <c r="B68">
        <v>100</v>
      </c>
      <c r="D68" t="s">
        <v>6</v>
      </c>
      <c r="E68">
        <v>100</v>
      </c>
      <c r="G68" t="s">
        <v>6</v>
      </c>
      <c r="H68">
        <v>100</v>
      </c>
      <c r="J68" t="s">
        <v>6</v>
      </c>
      <c r="K68">
        <v>50</v>
      </c>
      <c r="M68" s="7" t="s">
        <v>6</v>
      </c>
      <c r="N68" s="7">
        <v>300</v>
      </c>
    </row>
    <row r="69" spans="1:14" x14ac:dyDescent="0.25">
      <c r="A69" t="s">
        <v>44</v>
      </c>
      <c r="B69">
        <v>10</v>
      </c>
      <c r="D69" t="s">
        <v>31</v>
      </c>
      <c r="E69">
        <v>100</v>
      </c>
      <c r="G69" t="s">
        <v>48</v>
      </c>
      <c r="H69">
        <v>200</v>
      </c>
      <c r="J69" t="s">
        <v>48</v>
      </c>
      <c r="K69">
        <v>200</v>
      </c>
      <c r="M69" s="7" t="s">
        <v>38</v>
      </c>
      <c r="N69" s="7">
        <v>150</v>
      </c>
    </row>
    <row r="70" spans="1:14" x14ac:dyDescent="0.25">
      <c r="A70" t="s">
        <v>45</v>
      </c>
      <c r="B70">
        <v>70</v>
      </c>
      <c r="D70" t="s">
        <v>18</v>
      </c>
      <c r="E70">
        <v>30</v>
      </c>
      <c r="G70" t="s">
        <v>18</v>
      </c>
      <c r="H70">
        <v>40</v>
      </c>
      <c r="J70" t="s">
        <v>36</v>
      </c>
      <c r="K70">
        <v>70</v>
      </c>
      <c r="M70" s="7" t="s">
        <v>18</v>
      </c>
      <c r="N70" s="7">
        <v>20</v>
      </c>
    </row>
    <row r="71" spans="1:14" x14ac:dyDescent="0.25">
      <c r="A71" t="s">
        <v>14</v>
      </c>
      <c r="B71">
        <v>200</v>
      </c>
      <c r="D71" t="s">
        <v>14</v>
      </c>
      <c r="E71">
        <v>200</v>
      </c>
      <c r="G71" t="s">
        <v>14</v>
      </c>
      <c r="H71">
        <v>200</v>
      </c>
      <c r="J71" t="s">
        <v>14</v>
      </c>
      <c r="K71">
        <v>200</v>
      </c>
      <c r="M71" s="7" t="s">
        <v>14</v>
      </c>
      <c r="N71" s="7">
        <v>200</v>
      </c>
    </row>
    <row r="72" spans="1:14" x14ac:dyDescent="0.25">
      <c r="A72" t="s">
        <v>15</v>
      </c>
      <c r="B72">
        <v>300</v>
      </c>
      <c r="D72" t="s">
        <v>15</v>
      </c>
      <c r="E72">
        <v>300</v>
      </c>
      <c r="G72" t="s">
        <v>15</v>
      </c>
      <c r="H72">
        <v>300</v>
      </c>
      <c r="M72" s="7" t="s">
        <v>15</v>
      </c>
      <c r="N72" s="7">
        <v>300</v>
      </c>
    </row>
    <row r="73" spans="1:14" x14ac:dyDescent="0.25">
      <c r="A73" t="s">
        <v>25</v>
      </c>
      <c r="B73">
        <v>80</v>
      </c>
    </row>
    <row r="74" spans="1:14" x14ac:dyDescent="0.25">
      <c r="A74" s="2"/>
      <c r="B74" s="2"/>
    </row>
    <row r="78" spans="1:14" x14ac:dyDescent="0.25">
      <c r="A78" s="1" t="s">
        <v>0</v>
      </c>
      <c r="B78" t="s">
        <v>50</v>
      </c>
      <c r="D78" s="1" t="s">
        <v>0</v>
      </c>
      <c r="E78" t="s">
        <v>51</v>
      </c>
    </row>
    <row r="79" spans="1:14" x14ac:dyDescent="0.25">
      <c r="A79" s="2" t="s">
        <v>1</v>
      </c>
      <c r="B79" s="2" t="s">
        <v>2</v>
      </c>
      <c r="D79" s="2" t="s">
        <v>1</v>
      </c>
      <c r="E79" s="2" t="s">
        <v>2</v>
      </c>
    </row>
    <row r="80" spans="1:14" x14ac:dyDescent="0.25">
      <c r="A80" t="s">
        <v>3</v>
      </c>
      <c r="B80">
        <v>900</v>
      </c>
      <c r="D80" t="s">
        <v>3</v>
      </c>
      <c r="E80">
        <v>900</v>
      </c>
    </row>
    <row r="81" spans="1:5" x14ac:dyDescent="0.25">
      <c r="A81" t="s">
        <v>4</v>
      </c>
      <c r="B81">
        <v>600</v>
      </c>
      <c r="D81" t="s">
        <v>4</v>
      </c>
      <c r="E81">
        <v>600</v>
      </c>
    </row>
    <row r="82" spans="1:5" x14ac:dyDescent="0.25">
      <c r="A82" t="s">
        <v>5</v>
      </c>
      <c r="B82">
        <v>1000</v>
      </c>
      <c r="D82" t="s">
        <v>5</v>
      </c>
      <c r="E82">
        <v>300</v>
      </c>
    </row>
    <row r="83" spans="1:5" x14ac:dyDescent="0.25">
      <c r="A83" t="s">
        <v>6</v>
      </c>
      <c r="B83">
        <v>300</v>
      </c>
      <c r="D83" t="s">
        <v>6</v>
      </c>
      <c r="E83">
        <v>500</v>
      </c>
    </row>
    <row r="84" spans="1:5" x14ac:dyDescent="0.25">
      <c r="A84" t="s">
        <v>38</v>
      </c>
      <c r="B84">
        <v>150</v>
      </c>
      <c r="D84" t="s">
        <v>7</v>
      </c>
      <c r="E84">
        <v>500</v>
      </c>
    </row>
    <row r="85" spans="1:5" x14ac:dyDescent="0.25">
      <c r="A85" t="s">
        <v>18</v>
      </c>
      <c r="B85">
        <v>20</v>
      </c>
      <c r="D85" t="s">
        <v>35</v>
      </c>
      <c r="E85">
        <v>200</v>
      </c>
    </row>
    <row r="86" spans="1:5" x14ac:dyDescent="0.25">
      <c r="A86" t="s">
        <v>14</v>
      </c>
      <c r="B86">
        <v>200</v>
      </c>
      <c r="D86" t="s">
        <v>52</v>
      </c>
      <c r="E86">
        <v>4000</v>
      </c>
    </row>
    <row r="87" spans="1:5" x14ac:dyDescent="0.25">
      <c r="A87" t="s">
        <v>15</v>
      </c>
      <c r="B87">
        <v>300</v>
      </c>
      <c r="D87" t="s">
        <v>15</v>
      </c>
      <c r="E87">
        <v>1000</v>
      </c>
    </row>
    <row r="88" spans="1:5" x14ac:dyDescent="0.25">
      <c r="A88" t="s">
        <v>44</v>
      </c>
      <c r="B88">
        <v>10</v>
      </c>
      <c r="D88" t="s">
        <v>41</v>
      </c>
      <c r="E88">
        <v>100</v>
      </c>
    </row>
    <row r="89" spans="1:5" x14ac:dyDescent="0.25">
      <c r="D89" t="s">
        <v>20</v>
      </c>
      <c r="E89">
        <v>1000</v>
      </c>
    </row>
    <row r="90" spans="1:5" x14ac:dyDescent="0.25">
      <c r="D90" t="s">
        <v>26</v>
      </c>
      <c r="E90">
        <v>20</v>
      </c>
    </row>
    <row r="91" spans="1:5" x14ac:dyDescent="0.25">
      <c r="D91" t="s">
        <v>11</v>
      </c>
      <c r="E91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134F-8D17-43DB-9F8A-235828A12C2C}">
  <sheetPr>
    <tabColor rgb="FFFF0000"/>
  </sheetPr>
  <dimension ref="B1:V28"/>
  <sheetViews>
    <sheetView topLeftCell="H1" zoomScale="85" zoomScaleNormal="85" workbookViewId="0">
      <selection activeCell="O17" sqref="O17"/>
    </sheetView>
  </sheetViews>
  <sheetFormatPr baseColWidth="10" defaultRowHeight="15" customHeight="1" x14ac:dyDescent="0.25"/>
  <cols>
    <col min="2" max="2" width="34" style="102" customWidth="1"/>
    <col min="3" max="3" width="13.7109375" customWidth="1"/>
    <col min="5" max="5" width="13.28515625" customWidth="1"/>
    <col min="6" max="6" width="16" customWidth="1"/>
    <col min="9" max="9" width="34" style="102" customWidth="1"/>
    <col min="10" max="10" width="13.7109375" customWidth="1"/>
    <col min="11" max="11" width="9.85546875" customWidth="1"/>
    <col min="14" max="14" width="16.42578125" customWidth="1"/>
    <col min="16" max="16" width="14.28515625" customWidth="1"/>
    <col min="17" max="17" width="14.28515625" style="105" customWidth="1"/>
    <col min="18" max="18" width="12.140625" customWidth="1"/>
    <col min="19" max="19" width="14.85546875" customWidth="1"/>
    <col min="20" max="20" width="19.7109375" customWidth="1"/>
  </cols>
  <sheetData>
    <row r="1" spans="2:22" ht="15" customHeight="1" x14ac:dyDescent="0.25">
      <c r="Q1" s="105" t="s">
        <v>406</v>
      </c>
      <c r="R1" t="s">
        <v>407</v>
      </c>
    </row>
    <row r="4" spans="2:22" ht="15" customHeight="1" x14ac:dyDescent="0.25">
      <c r="B4" s="100" t="s">
        <v>61</v>
      </c>
      <c r="C4" s="1" t="s">
        <v>334</v>
      </c>
      <c r="I4" s="123" t="s">
        <v>61</v>
      </c>
      <c r="J4" s="124" t="s">
        <v>386</v>
      </c>
      <c r="K4" s="22"/>
      <c r="L4" s="22"/>
      <c r="M4" s="22"/>
      <c r="P4" s="100" t="s">
        <v>61</v>
      </c>
      <c r="Q4" s="1" t="s">
        <v>386</v>
      </c>
    </row>
    <row r="5" spans="2:22" ht="15" customHeight="1" x14ac:dyDescent="0.25">
      <c r="B5" s="100" t="s">
        <v>62</v>
      </c>
      <c r="C5" s="1" t="str">
        <f>VLOOKUP(C4,LISTPROD[],2,FALSE)</f>
        <v>RESCATE (Gotas)</v>
      </c>
      <c r="I5" s="123" t="s">
        <v>62</v>
      </c>
      <c r="J5" s="124" t="str">
        <f>VLOOKUP(J4,LISTPROD[],2,FALSE)</f>
        <v>CALENDULA (Capsulas)</v>
      </c>
      <c r="K5" s="22"/>
      <c r="L5" s="22"/>
      <c r="M5" s="22"/>
      <c r="P5" s="100" t="s">
        <v>62</v>
      </c>
      <c r="Q5" s="1" t="str">
        <f>VLOOKUP(Q4,LISTPROD[],2,FALSE)</f>
        <v>CALENDULA (Capsulas)</v>
      </c>
    </row>
    <row r="6" spans="2:22" ht="15" customHeight="1" x14ac:dyDescent="0.25">
      <c r="B6" s="100" t="s">
        <v>234</v>
      </c>
      <c r="C6" s="1" t="str">
        <f>VLOOKUP(C4,LISTPROD[],3,FALSE)</f>
        <v>RESCATE Gotas Orales</v>
      </c>
      <c r="I6" s="123" t="s">
        <v>234</v>
      </c>
      <c r="J6" s="124" t="str">
        <f>VLOOKUP(J4,LISTPROD[],3,FALSE)</f>
        <v>CALENDULA</v>
      </c>
      <c r="K6" s="22"/>
      <c r="L6" s="22"/>
      <c r="M6" s="22"/>
      <c r="P6" s="100" t="s">
        <v>234</v>
      </c>
      <c r="Q6" s="1" t="str">
        <f>VLOOKUP(Q4,LISTPROD[],3,FALSE)</f>
        <v>CALENDULA</v>
      </c>
    </row>
    <row r="7" spans="2:22" ht="15" customHeight="1" x14ac:dyDescent="0.25">
      <c r="B7" s="100" t="s">
        <v>239</v>
      </c>
      <c r="C7" s="21">
        <v>158</v>
      </c>
      <c r="I7" s="123" t="s">
        <v>239</v>
      </c>
      <c r="J7" s="124">
        <v>140</v>
      </c>
      <c r="K7" s="125" t="s">
        <v>405</v>
      </c>
      <c r="L7" s="22"/>
      <c r="M7" s="22"/>
      <c r="P7" s="100" t="s">
        <v>239</v>
      </c>
      <c r="Q7" s="1">
        <v>1</v>
      </c>
      <c r="R7" s="11"/>
    </row>
    <row r="8" spans="2:22" ht="15" customHeight="1" x14ac:dyDescent="0.25">
      <c r="B8" s="100" t="s">
        <v>240</v>
      </c>
      <c r="C8" s="21"/>
      <c r="I8" s="123" t="s">
        <v>240</v>
      </c>
      <c r="J8" s="124"/>
      <c r="K8" s="22"/>
      <c r="L8" s="22"/>
      <c r="M8" s="22"/>
      <c r="P8" s="100" t="s">
        <v>240</v>
      </c>
      <c r="Q8" s="1">
        <v>1</v>
      </c>
    </row>
    <row r="9" spans="2:22" ht="15" customHeight="1" x14ac:dyDescent="0.25">
      <c r="B9" s="100" t="s">
        <v>238</v>
      </c>
      <c r="C9" s="21"/>
      <c r="I9" s="123" t="s">
        <v>238</v>
      </c>
      <c r="J9" s="124">
        <v>60</v>
      </c>
      <c r="K9" s="125" t="s">
        <v>405</v>
      </c>
      <c r="L9" s="22"/>
      <c r="M9" s="22"/>
      <c r="P9" s="100" t="s">
        <v>238</v>
      </c>
      <c r="Q9">
        <v>60</v>
      </c>
      <c r="R9" s="11" t="s">
        <v>405</v>
      </c>
    </row>
    <row r="10" spans="2:22" ht="15" customHeight="1" thickBot="1" x14ac:dyDescent="0.3">
      <c r="B10" s="100"/>
      <c r="C10" s="21"/>
      <c r="I10" s="126" t="s">
        <v>410</v>
      </c>
      <c r="J10" s="127">
        <v>0.5</v>
      </c>
      <c r="K10" s="128">
        <f>J10*J9</f>
        <v>30</v>
      </c>
      <c r="L10" s="22"/>
      <c r="M10" s="22"/>
      <c r="P10" s="110" t="s">
        <v>410</v>
      </c>
      <c r="Q10" s="144">
        <v>0.5</v>
      </c>
      <c r="R10" s="145">
        <f>Q10*Q9</f>
        <v>30</v>
      </c>
    </row>
    <row r="11" spans="2:22" ht="15" customHeight="1" thickBot="1" x14ac:dyDescent="0.3">
      <c r="B11" s="100"/>
      <c r="C11" s="1"/>
      <c r="I11" s="1479" t="s">
        <v>403</v>
      </c>
      <c r="J11" s="1480"/>
      <c r="K11" s="1480"/>
      <c r="L11" s="1480"/>
      <c r="M11" s="1481"/>
      <c r="N11" s="115"/>
      <c r="O11" s="115"/>
      <c r="P11" s="1482" t="s">
        <v>404</v>
      </c>
      <c r="Q11" s="1482"/>
      <c r="R11" s="1482"/>
      <c r="S11" s="1482"/>
      <c r="T11" s="24"/>
      <c r="U11" s="1483" t="s">
        <v>416</v>
      </c>
      <c r="V11" s="1484"/>
    </row>
    <row r="12" spans="2:22" ht="34.5" customHeight="1" x14ac:dyDescent="0.25">
      <c r="B12" s="101" t="s">
        <v>1</v>
      </c>
      <c r="C12" s="23" t="s">
        <v>391</v>
      </c>
      <c r="D12" s="23" t="s">
        <v>322</v>
      </c>
      <c r="E12" s="103" t="s">
        <v>398</v>
      </c>
      <c r="F12" s="103" t="s">
        <v>399</v>
      </c>
      <c r="I12" s="129" t="s">
        <v>1</v>
      </c>
      <c r="J12" s="130" t="s">
        <v>391</v>
      </c>
      <c r="K12" s="130" t="s">
        <v>322</v>
      </c>
      <c r="L12" s="131" t="s">
        <v>415</v>
      </c>
      <c r="M12" s="132" t="s">
        <v>408</v>
      </c>
      <c r="N12" s="117"/>
      <c r="O12" s="95"/>
      <c r="P12" s="121" t="s">
        <v>398</v>
      </c>
      <c r="Q12" s="109" t="s">
        <v>399</v>
      </c>
      <c r="R12" s="109" t="s">
        <v>402</v>
      </c>
      <c r="S12" s="109" t="s">
        <v>399</v>
      </c>
      <c r="T12" s="111" t="s">
        <v>411</v>
      </c>
      <c r="U12" s="143" t="s">
        <v>408</v>
      </c>
      <c r="V12" s="142" t="s">
        <v>415</v>
      </c>
    </row>
    <row r="13" spans="2:22" ht="15" customHeight="1" x14ac:dyDescent="0.25">
      <c r="B13" s="36" t="s">
        <v>319</v>
      </c>
      <c r="C13" s="36" t="s">
        <v>392</v>
      </c>
      <c r="D13" s="24"/>
      <c r="E13" s="24"/>
      <c r="F13" s="24"/>
      <c r="I13" s="133" t="s">
        <v>395</v>
      </c>
      <c r="J13" s="134" t="s">
        <v>368</v>
      </c>
      <c r="K13" s="135" t="s">
        <v>393</v>
      </c>
      <c r="L13" s="136">
        <v>140</v>
      </c>
      <c r="M13" s="137">
        <f>L13/$J$7</f>
        <v>1</v>
      </c>
      <c r="N13" s="116"/>
      <c r="O13" s="32"/>
      <c r="P13" s="24" t="s">
        <v>393</v>
      </c>
      <c r="Q13" s="70">
        <v>547</v>
      </c>
      <c r="R13" s="106">
        <f>Q13*19%</f>
        <v>103.93</v>
      </c>
      <c r="S13" s="107">
        <f>+R13+Q13</f>
        <v>650.93000000000006</v>
      </c>
      <c r="T13" s="107">
        <f>S13</f>
        <v>650.93000000000006</v>
      </c>
      <c r="U13" s="99">
        <v>1</v>
      </c>
      <c r="V13" s="24" t="s">
        <v>393</v>
      </c>
    </row>
    <row r="14" spans="2:22" ht="15" customHeight="1" x14ac:dyDescent="0.25">
      <c r="B14" s="36" t="s">
        <v>361</v>
      </c>
      <c r="C14" s="36" t="s">
        <v>392</v>
      </c>
      <c r="D14" s="24"/>
      <c r="E14" s="24"/>
      <c r="F14" s="24"/>
      <c r="I14" s="133" t="s">
        <v>397</v>
      </c>
      <c r="J14" s="134" t="s">
        <v>392</v>
      </c>
      <c r="K14" s="135" t="s">
        <v>54</v>
      </c>
      <c r="L14" s="136">
        <v>4200</v>
      </c>
      <c r="M14" s="137">
        <f t="shared" ref="M14:M19" si="0">L14/$J$7</f>
        <v>30</v>
      </c>
      <c r="N14" s="116"/>
      <c r="O14" s="32"/>
      <c r="P14" s="24" t="s">
        <v>400</v>
      </c>
      <c r="Q14" s="70">
        <v>25000</v>
      </c>
      <c r="R14" s="106">
        <f t="shared" ref="R14:R17" si="1">Q14*19%</f>
        <v>4750</v>
      </c>
      <c r="S14" s="107">
        <f t="shared" ref="S14:S19" si="2">+R14+Q14</f>
        <v>29750</v>
      </c>
      <c r="T14" s="107">
        <f>S14/1000*Q10*Q9</f>
        <v>892.5</v>
      </c>
      <c r="U14" s="114">
        <v>30</v>
      </c>
      <c r="V14" s="24" t="s">
        <v>54</v>
      </c>
    </row>
    <row r="15" spans="2:22" ht="15" customHeight="1" x14ac:dyDescent="0.25">
      <c r="B15" s="36" t="s">
        <v>366</v>
      </c>
      <c r="C15" s="36" t="s">
        <v>392</v>
      </c>
      <c r="D15" s="24"/>
      <c r="E15" s="24"/>
      <c r="F15" s="24"/>
      <c r="I15" s="133" t="s">
        <v>396</v>
      </c>
      <c r="J15" s="134" t="s">
        <v>392</v>
      </c>
      <c r="K15" s="135" t="s">
        <v>393</v>
      </c>
      <c r="L15" s="136">
        <v>8400</v>
      </c>
      <c r="M15" s="137">
        <f t="shared" si="0"/>
        <v>60</v>
      </c>
      <c r="N15" s="116"/>
      <c r="O15" s="32"/>
      <c r="P15" s="24" t="s">
        <v>393</v>
      </c>
      <c r="Q15" s="70">
        <v>17</v>
      </c>
      <c r="R15" s="106">
        <v>0</v>
      </c>
      <c r="S15" s="107">
        <f t="shared" si="2"/>
        <v>17</v>
      </c>
      <c r="T15" s="107">
        <f>Q9*S15</f>
        <v>1020</v>
      </c>
      <c r="U15" s="99">
        <v>60</v>
      </c>
      <c r="V15" s="24" t="s">
        <v>393</v>
      </c>
    </row>
    <row r="16" spans="2:22" ht="15" customHeight="1" x14ac:dyDescent="0.25">
      <c r="B16" s="36" t="s">
        <v>364</v>
      </c>
      <c r="C16" s="36" t="s">
        <v>392</v>
      </c>
      <c r="D16" s="24"/>
      <c r="E16" s="24"/>
      <c r="F16" s="24"/>
      <c r="I16" s="133" t="s">
        <v>371</v>
      </c>
      <c r="J16" s="134" t="s">
        <v>368</v>
      </c>
      <c r="K16" s="135" t="s">
        <v>393</v>
      </c>
      <c r="L16" s="136">
        <v>140</v>
      </c>
      <c r="M16" s="137">
        <f t="shared" si="0"/>
        <v>1</v>
      </c>
      <c r="N16" s="116"/>
      <c r="O16" s="32"/>
      <c r="P16" s="24" t="s">
        <v>393</v>
      </c>
      <c r="Q16" s="70">
        <v>252</v>
      </c>
      <c r="R16" s="106">
        <f t="shared" si="1"/>
        <v>47.88</v>
      </c>
      <c r="S16" s="107">
        <f t="shared" si="2"/>
        <v>299.88</v>
      </c>
      <c r="T16" s="107">
        <f>S16</f>
        <v>299.88</v>
      </c>
      <c r="U16" s="99">
        <v>1</v>
      </c>
      <c r="V16" s="24" t="s">
        <v>393</v>
      </c>
    </row>
    <row r="17" spans="2:22" ht="15" customHeight="1" x14ac:dyDescent="0.25">
      <c r="B17" s="36" t="s">
        <v>365</v>
      </c>
      <c r="C17" s="36" t="s">
        <v>392</v>
      </c>
      <c r="D17" s="24"/>
      <c r="E17" s="24"/>
      <c r="F17" s="24"/>
      <c r="I17" s="133" t="s">
        <v>372</v>
      </c>
      <c r="J17" s="134" t="s">
        <v>368</v>
      </c>
      <c r="K17" s="135" t="s">
        <v>393</v>
      </c>
      <c r="L17" s="136">
        <v>140</v>
      </c>
      <c r="M17" s="137">
        <f t="shared" si="0"/>
        <v>1</v>
      </c>
      <c r="N17" s="116"/>
      <c r="O17" s="32"/>
      <c r="P17" s="24" t="s">
        <v>393</v>
      </c>
      <c r="Q17" s="70">
        <v>81</v>
      </c>
      <c r="R17" s="106">
        <f t="shared" si="1"/>
        <v>15.39</v>
      </c>
      <c r="S17" s="107">
        <f t="shared" si="2"/>
        <v>96.39</v>
      </c>
      <c r="T17" s="107">
        <f>S17</f>
        <v>96.39</v>
      </c>
      <c r="U17" s="99">
        <v>1</v>
      </c>
      <c r="V17" s="24" t="s">
        <v>393</v>
      </c>
    </row>
    <row r="18" spans="2:22" ht="15" customHeight="1" x14ac:dyDescent="0.25">
      <c r="B18" s="36" t="s">
        <v>320</v>
      </c>
      <c r="C18" s="36" t="s">
        <v>392</v>
      </c>
      <c r="D18" s="24"/>
      <c r="E18" s="24"/>
      <c r="F18" s="24"/>
      <c r="I18" s="133" t="s">
        <v>401</v>
      </c>
      <c r="J18" s="134" t="s">
        <v>368</v>
      </c>
      <c r="K18" s="135" t="s">
        <v>393</v>
      </c>
      <c r="L18" s="136">
        <v>140</v>
      </c>
      <c r="M18" s="137">
        <f t="shared" si="0"/>
        <v>1</v>
      </c>
      <c r="N18" s="116"/>
      <c r="O18" s="32"/>
      <c r="P18" s="24" t="s">
        <v>393</v>
      </c>
      <c r="Q18" s="70">
        <v>150</v>
      </c>
      <c r="R18" s="106">
        <v>0</v>
      </c>
      <c r="S18" s="107">
        <f t="shared" si="2"/>
        <v>150</v>
      </c>
      <c r="T18" s="107">
        <f>S18</f>
        <v>150</v>
      </c>
      <c r="U18" s="99">
        <v>1</v>
      </c>
      <c r="V18" s="24" t="s">
        <v>393</v>
      </c>
    </row>
    <row r="19" spans="2:22" ht="15" customHeight="1" x14ac:dyDescent="0.25">
      <c r="B19" s="36" t="s">
        <v>321</v>
      </c>
      <c r="C19" s="24" t="s">
        <v>392</v>
      </c>
      <c r="D19" s="24"/>
      <c r="E19" s="24"/>
      <c r="F19" s="24"/>
      <c r="I19" s="133" t="s">
        <v>374</v>
      </c>
      <c r="J19" s="135" t="s">
        <v>368</v>
      </c>
      <c r="K19" s="135" t="s">
        <v>393</v>
      </c>
      <c r="L19" s="136">
        <v>140</v>
      </c>
      <c r="M19" s="137">
        <f t="shared" si="0"/>
        <v>1</v>
      </c>
      <c r="N19" s="116"/>
      <c r="O19" s="32"/>
      <c r="P19" s="24" t="s">
        <v>393</v>
      </c>
      <c r="Q19" s="70">
        <v>120</v>
      </c>
      <c r="R19" s="106">
        <v>0</v>
      </c>
      <c r="S19" s="107">
        <f t="shared" si="2"/>
        <v>120</v>
      </c>
      <c r="T19" s="107">
        <f>S19</f>
        <v>120</v>
      </c>
      <c r="U19" s="99">
        <v>1</v>
      </c>
      <c r="V19" s="24" t="s">
        <v>393</v>
      </c>
    </row>
    <row r="20" spans="2:22" ht="15" customHeight="1" x14ac:dyDescent="0.25">
      <c r="B20" s="36" t="s">
        <v>375</v>
      </c>
      <c r="C20" s="24" t="s">
        <v>368</v>
      </c>
      <c r="D20" s="24" t="s">
        <v>393</v>
      </c>
      <c r="E20" s="24"/>
      <c r="F20" s="24"/>
      <c r="I20" s="133"/>
      <c r="J20" s="135"/>
      <c r="K20" s="135"/>
      <c r="L20" s="135"/>
      <c r="M20" s="138"/>
      <c r="N20" s="116"/>
      <c r="P20" s="24" t="s">
        <v>409</v>
      </c>
      <c r="Q20" s="70"/>
      <c r="R20" s="24"/>
      <c r="S20" s="122">
        <v>2735.7142857142858</v>
      </c>
      <c r="T20" s="112">
        <f>S20</f>
        <v>2735.7142857142858</v>
      </c>
      <c r="U20" s="24"/>
      <c r="V20" s="24"/>
    </row>
    <row r="21" spans="2:22" ht="15" customHeight="1" x14ac:dyDescent="0.25">
      <c r="B21" s="36" t="s">
        <v>376</v>
      </c>
      <c r="C21" s="24" t="s">
        <v>368</v>
      </c>
      <c r="D21" s="24" t="s">
        <v>393</v>
      </c>
      <c r="E21" s="24"/>
      <c r="F21" s="24"/>
      <c r="I21" s="133"/>
      <c r="J21" s="135"/>
      <c r="K21" s="135"/>
      <c r="L21" s="135"/>
      <c r="M21" s="138"/>
      <c r="N21" s="116"/>
      <c r="P21" s="24"/>
      <c r="Q21" s="70"/>
      <c r="R21" s="24"/>
      <c r="S21" s="24"/>
      <c r="T21" s="24"/>
      <c r="U21" s="24"/>
      <c r="V21" s="24"/>
    </row>
    <row r="22" spans="2:22" ht="15" customHeight="1" x14ac:dyDescent="0.25">
      <c r="B22" s="36" t="s">
        <v>377</v>
      </c>
      <c r="C22" s="24" t="s">
        <v>368</v>
      </c>
      <c r="D22" s="24" t="s">
        <v>393</v>
      </c>
      <c r="E22" s="24"/>
      <c r="F22" s="24"/>
      <c r="I22" s="133"/>
      <c r="J22" s="135"/>
      <c r="K22" s="135"/>
      <c r="L22" s="135"/>
      <c r="M22" s="138"/>
      <c r="N22" s="116"/>
      <c r="P22" s="24"/>
      <c r="Q22" s="70"/>
      <c r="R22" s="24"/>
      <c r="S22" s="24"/>
      <c r="T22" s="24"/>
      <c r="U22" s="24"/>
      <c r="V22" s="24"/>
    </row>
    <row r="23" spans="2:22" ht="15" customHeight="1" x14ac:dyDescent="0.25">
      <c r="B23" s="36" t="s">
        <v>378</v>
      </c>
      <c r="C23" s="24" t="s">
        <v>368</v>
      </c>
      <c r="D23" s="24" t="s">
        <v>393</v>
      </c>
      <c r="E23" s="24"/>
      <c r="F23" s="24"/>
      <c r="I23" s="133"/>
      <c r="J23" s="135"/>
      <c r="K23" s="135"/>
      <c r="L23" s="135"/>
      <c r="M23" s="138"/>
      <c r="N23" s="116"/>
      <c r="P23" s="24"/>
      <c r="Q23" s="70"/>
      <c r="R23" s="24"/>
      <c r="S23" s="24"/>
      <c r="T23" s="24"/>
      <c r="U23" s="24"/>
      <c r="V23" s="24"/>
    </row>
    <row r="24" spans="2:22" ht="15" customHeight="1" thickBot="1" x14ac:dyDescent="0.3">
      <c r="B24" s="36" t="s">
        <v>379</v>
      </c>
      <c r="C24" s="24" t="s">
        <v>368</v>
      </c>
      <c r="D24" s="24" t="s">
        <v>393</v>
      </c>
      <c r="E24" s="24"/>
      <c r="F24" s="24"/>
      <c r="I24" s="139"/>
      <c r="J24" s="140"/>
      <c r="K24" s="140"/>
      <c r="L24" s="140"/>
      <c r="M24" s="141"/>
      <c r="N24" s="116"/>
      <c r="P24" s="24"/>
      <c r="Q24" s="70"/>
      <c r="R24" s="24"/>
      <c r="S24" s="24"/>
      <c r="T24" s="24"/>
      <c r="U24" s="24"/>
      <c r="V24" s="24"/>
    </row>
    <row r="25" spans="2:22" ht="15" customHeight="1" thickBot="1" x14ac:dyDescent="0.3">
      <c r="N25" s="118">
        <f>SUM(N13:N24)</f>
        <v>0</v>
      </c>
      <c r="S25" s="119">
        <f>SUM(S13:S24)</f>
        <v>33819.914285714287</v>
      </c>
      <c r="T25" s="120">
        <f>SUM(T13:T24)</f>
        <v>5965.4142857142861</v>
      </c>
      <c r="U25" t="s">
        <v>412</v>
      </c>
    </row>
    <row r="26" spans="2:22" ht="15" customHeight="1" thickTop="1" x14ac:dyDescent="0.25">
      <c r="T26" s="108">
        <f>T25*51%</f>
        <v>3042.3612857142857</v>
      </c>
      <c r="U26" t="s">
        <v>413</v>
      </c>
    </row>
    <row r="27" spans="2:22" ht="15" customHeight="1" thickBot="1" x14ac:dyDescent="0.3">
      <c r="T27" s="113">
        <f>T25+T26</f>
        <v>9007.7755714285722</v>
      </c>
      <c r="U27" t="s">
        <v>414</v>
      </c>
    </row>
    <row r="28" spans="2:22" ht="15" customHeight="1" thickTop="1" x14ac:dyDescent="0.25"/>
  </sheetData>
  <mergeCells count="3">
    <mergeCell ref="I11:M11"/>
    <mergeCell ref="P11:S11"/>
    <mergeCell ref="U11:V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4A7F-AC88-4C7C-B366-AA18E8D4B435}">
  <sheetPr>
    <tabColor rgb="FFFF0000"/>
  </sheetPr>
  <dimension ref="A1:W191"/>
  <sheetViews>
    <sheetView zoomScale="78" zoomScaleNormal="78" workbookViewId="0">
      <pane xSplit="1" ySplit="6" topLeftCell="B7" activePane="bottomRight" state="frozen"/>
      <selection pane="topRight" activeCell="B1" sqref="B1"/>
      <selection pane="bottomLeft" activeCell="A3" sqref="A3"/>
      <selection pane="bottomRight" activeCell="C27" sqref="C27"/>
    </sheetView>
  </sheetViews>
  <sheetFormatPr baseColWidth="10" defaultColWidth="11.42578125" defaultRowHeight="12" x14ac:dyDescent="0.2"/>
  <cols>
    <col min="1" max="2" width="4.140625" style="77" customWidth="1"/>
    <col min="3" max="3" width="21.28515625" style="77" customWidth="1"/>
    <col min="4" max="4" width="12.7109375" style="150" customWidth="1"/>
    <col min="5" max="6" width="21.28515625" style="149" customWidth="1"/>
    <col min="7" max="7" width="15.5703125" style="149" customWidth="1"/>
    <col min="8" max="10" width="14.28515625" style="77" customWidth="1"/>
    <col min="11" max="11" width="11.42578125" style="77"/>
    <col min="12" max="12" width="25.85546875" style="77" customWidth="1"/>
    <col min="13" max="13" width="11.42578125" style="80"/>
    <col min="14" max="14" width="11.42578125" style="85"/>
    <col min="15" max="15" width="11.42578125" style="77"/>
    <col min="16" max="16" width="18.5703125" style="77" customWidth="1"/>
    <col min="17" max="17" width="13.5703125" style="77" customWidth="1"/>
    <col min="18" max="18" width="24.5703125" style="80" customWidth="1"/>
    <col min="19" max="20" width="11.42578125" style="77"/>
    <col min="21" max="21" width="25.28515625" style="77" customWidth="1"/>
    <col min="22" max="22" width="14.42578125" style="80" customWidth="1"/>
    <col min="23" max="16384" width="11.42578125" style="77"/>
  </cols>
  <sheetData>
    <row r="1" spans="3:23" x14ac:dyDescent="0.2">
      <c r="D1" s="150" t="s">
        <v>569</v>
      </c>
      <c r="E1" s="149" t="s">
        <v>610</v>
      </c>
    </row>
    <row r="2" spans="3:23" x14ac:dyDescent="0.2">
      <c r="D2" s="150" t="s">
        <v>594</v>
      </c>
      <c r="E2" s="149" t="s">
        <v>595</v>
      </c>
      <c r="F2" s="312"/>
      <c r="H2" s="313"/>
      <c r="I2" s="313"/>
      <c r="J2" s="313"/>
    </row>
    <row r="6" spans="3:23" ht="27.75" x14ac:dyDescent="0.2">
      <c r="C6" s="78" t="s">
        <v>1</v>
      </c>
      <c r="D6" s="81" t="s">
        <v>370</v>
      </c>
      <c r="E6" s="151" t="s">
        <v>369</v>
      </c>
      <c r="F6" s="151" t="s">
        <v>402</v>
      </c>
      <c r="G6" s="151" t="s">
        <v>442</v>
      </c>
      <c r="L6" s="78" t="s">
        <v>368</v>
      </c>
      <c r="M6" s="81" t="s">
        <v>370</v>
      </c>
      <c r="N6" s="151" t="s">
        <v>369</v>
      </c>
      <c r="O6" s="151" t="s">
        <v>402</v>
      </c>
      <c r="P6" s="151" t="s">
        <v>442</v>
      </c>
      <c r="Q6" s="326" t="s">
        <v>234</v>
      </c>
      <c r="R6" s="153"/>
      <c r="S6" s="152"/>
      <c r="U6" s="83" t="s">
        <v>368</v>
      </c>
      <c r="V6" s="84" t="s">
        <v>370</v>
      </c>
      <c r="W6" s="83" t="s">
        <v>369</v>
      </c>
    </row>
    <row r="7" spans="3:23" ht="24" x14ac:dyDescent="0.2">
      <c r="C7" s="79" t="s">
        <v>253</v>
      </c>
      <c r="D7" s="262" t="s">
        <v>400</v>
      </c>
      <c r="E7" s="261">
        <v>5400</v>
      </c>
      <c r="F7" s="261">
        <f>E7*19%</f>
        <v>1026</v>
      </c>
      <c r="G7" s="261">
        <f>+F7+E7</f>
        <v>6426</v>
      </c>
      <c r="L7" s="155"/>
      <c r="M7" s="82"/>
      <c r="N7" s="260"/>
      <c r="O7" s="261"/>
      <c r="P7" s="261"/>
      <c r="Q7" s="323"/>
      <c r="U7" s="79" t="s">
        <v>371</v>
      </c>
      <c r="V7" s="82"/>
      <c r="W7" s="79"/>
    </row>
    <row r="8" spans="3:23" ht="35.25" customHeight="1" x14ac:dyDescent="0.2">
      <c r="C8" s="79"/>
      <c r="D8" s="262"/>
      <c r="E8" s="261"/>
      <c r="F8" s="261"/>
      <c r="G8" s="261"/>
      <c r="L8" s="155" t="s">
        <v>451</v>
      </c>
      <c r="M8" s="82" t="s">
        <v>393</v>
      </c>
      <c r="N8" s="260">
        <v>700</v>
      </c>
      <c r="O8" s="261">
        <v>0</v>
      </c>
      <c r="P8" s="261">
        <f>+O8+N8</f>
        <v>700</v>
      </c>
      <c r="Q8" s="323"/>
      <c r="R8" s="80" t="s">
        <v>570</v>
      </c>
      <c r="U8" s="79" t="s">
        <v>372</v>
      </c>
      <c r="V8" s="82"/>
      <c r="W8" s="79"/>
    </row>
    <row r="9" spans="3:23" ht="17.25" customHeight="1" x14ac:dyDescent="0.2">
      <c r="C9" s="263" t="s">
        <v>267</v>
      </c>
      <c r="D9" s="264"/>
      <c r="E9" s="265"/>
      <c r="F9" s="265"/>
      <c r="G9" s="265"/>
      <c r="L9" s="319"/>
      <c r="M9" s="320"/>
      <c r="N9" s="321"/>
      <c r="O9" s="315"/>
      <c r="P9" s="315"/>
      <c r="Q9" s="324"/>
      <c r="U9" s="79" t="s">
        <v>373</v>
      </c>
      <c r="V9" s="82"/>
      <c r="W9" s="79"/>
    </row>
    <row r="10" spans="3:23" ht="24" x14ac:dyDescent="0.2">
      <c r="C10" s="79" t="s">
        <v>258</v>
      </c>
      <c r="D10" s="262" t="s">
        <v>439</v>
      </c>
      <c r="E10" s="261">
        <v>7200</v>
      </c>
      <c r="F10" s="261"/>
      <c r="G10" s="261">
        <f>+E10</f>
        <v>7200</v>
      </c>
      <c r="L10" s="79" t="s">
        <v>309</v>
      </c>
      <c r="M10" s="82" t="s">
        <v>393</v>
      </c>
      <c r="N10" s="260">
        <v>800</v>
      </c>
      <c r="O10" s="261">
        <v>0</v>
      </c>
      <c r="P10" s="261">
        <f>+O10+N10</f>
        <v>800</v>
      </c>
      <c r="Q10" s="323"/>
      <c r="U10" s="79" t="s">
        <v>375</v>
      </c>
      <c r="V10" s="82"/>
      <c r="W10" s="79"/>
    </row>
    <row r="11" spans="3:23" ht="36" x14ac:dyDescent="0.2">
      <c r="C11" s="79" t="s">
        <v>443</v>
      </c>
      <c r="D11" s="262" t="s">
        <v>400</v>
      </c>
      <c r="E11" s="261">
        <v>7900</v>
      </c>
      <c r="F11" s="261">
        <f>E11*19%</f>
        <v>1501</v>
      </c>
      <c r="G11" s="261">
        <f>+F11+E11</f>
        <v>9401</v>
      </c>
      <c r="L11" s="79" t="s">
        <v>310</v>
      </c>
      <c r="M11" s="82" t="s">
        <v>393</v>
      </c>
      <c r="N11" s="260">
        <v>100</v>
      </c>
      <c r="O11" s="261">
        <v>0</v>
      </c>
      <c r="P11" s="261">
        <f>+O11+N11</f>
        <v>100</v>
      </c>
      <c r="Q11" s="323"/>
      <c r="U11" s="79" t="s">
        <v>376</v>
      </c>
      <c r="V11" s="82"/>
      <c r="W11" s="79"/>
    </row>
    <row r="12" spans="3:23" ht="31.5" customHeight="1" x14ac:dyDescent="0.2">
      <c r="C12" s="79"/>
      <c r="D12" s="262"/>
      <c r="E12" s="261"/>
      <c r="F12" s="261"/>
      <c r="G12" s="261"/>
      <c r="L12" s="79" t="s">
        <v>575</v>
      </c>
      <c r="M12" s="82" t="s">
        <v>393</v>
      </c>
      <c r="N12" s="260">
        <v>450</v>
      </c>
      <c r="O12" s="261">
        <v>0</v>
      </c>
      <c r="P12" s="261">
        <f t="shared" ref="P12" si="0">+O12+N12</f>
        <v>450</v>
      </c>
      <c r="Q12" s="261" t="s">
        <v>74</v>
      </c>
      <c r="R12" s="79" t="s">
        <v>574</v>
      </c>
      <c r="U12" s="79" t="s">
        <v>377</v>
      </c>
      <c r="V12" s="82"/>
      <c r="W12" s="79"/>
    </row>
    <row r="13" spans="3:23" ht="24.95" customHeight="1" x14ac:dyDescent="0.2">
      <c r="C13" s="79" t="s">
        <v>261</v>
      </c>
      <c r="D13" s="262" t="s">
        <v>400</v>
      </c>
      <c r="E13" s="289">
        <v>4700</v>
      </c>
      <c r="F13" s="261">
        <f>E13*19%</f>
        <v>893</v>
      </c>
      <c r="G13" s="261">
        <f>+F13+E13</f>
        <v>5593</v>
      </c>
      <c r="L13" s="79" t="s">
        <v>564</v>
      </c>
      <c r="M13" s="82" t="s">
        <v>393</v>
      </c>
      <c r="N13" s="260">
        <v>650</v>
      </c>
      <c r="O13" s="261">
        <v>0</v>
      </c>
      <c r="P13" s="261">
        <f t="shared" ref="P13" si="1">+O13+N13</f>
        <v>650</v>
      </c>
      <c r="Q13" s="261" t="s">
        <v>74</v>
      </c>
      <c r="U13" s="79" t="s">
        <v>378</v>
      </c>
      <c r="V13" s="82"/>
      <c r="W13" s="79"/>
    </row>
    <row r="14" spans="3:23" ht="24.95" customHeight="1" x14ac:dyDescent="0.2">
      <c r="C14" s="79" t="s">
        <v>445</v>
      </c>
      <c r="D14" s="262" t="s">
        <v>400</v>
      </c>
      <c r="E14" s="261">
        <v>12000</v>
      </c>
      <c r="F14" s="261">
        <f>E14*19%</f>
        <v>2280</v>
      </c>
      <c r="G14" s="261">
        <f>+F14+E14</f>
        <v>14280</v>
      </c>
      <c r="L14" s="154" t="s">
        <v>382</v>
      </c>
      <c r="M14" s="274" t="s">
        <v>381</v>
      </c>
      <c r="N14" s="273">
        <v>84000</v>
      </c>
      <c r="O14" s="261">
        <f>N14*19%</f>
        <v>15960</v>
      </c>
      <c r="P14" s="261">
        <f t="shared" ref="P14:P27" si="2">+O14+N14</f>
        <v>99960</v>
      </c>
      <c r="Q14" s="323"/>
      <c r="U14" s="79" t="s">
        <v>379</v>
      </c>
      <c r="V14" s="82"/>
      <c r="W14" s="79"/>
    </row>
    <row r="15" spans="3:23" ht="24.95" customHeight="1" x14ac:dyDescent="0.2">
      <c r="C15" s="79" t="s">
        <v>283</v>
      </c>
      <c r="D15" s="262" t="s">
        <v>400</v>
      </c>
      <c r="E15" s="267">
        <v>18000</v>
      </c>
      <c r="F15" s="267">
        <f>E15*19%</f>
        <v>3420</v>
      </c>
      <c r="G15" s="267">
        <f>+F15+E15</f>
        <v>21420</v>
      </c>
      <c r="L15" s="79" t="s">
        <v>477</v>
      </c>
      <c r="M15" s="82" t="s">
        <v>393</v>
      </c>
      <c r="N15" s="260">
        <f>538+306</f>
        <v>844</v>
      </c>
      <c r="O15" s="261">
        <f>N15*19%</f>
        <v>160.36000000000001</v>
      </c>
      <c r="P15" s="261">
        <f t="shared" si="2"/>
        <v>1004.36</v>
      </c>
      <c r="Q15" s="323"/>
      <c r="U15" s="79" t="s">
        <v>380</v>
      </c>
      <c r="V15" s="82"/>
      <c r="W15" s="79"/>
    </row>
    <row r="16" spans="3:23" ht="24.95" customHeight="1" x14ac:dyDescent="0.2">
      <c r="C16" s="79" t="s">
        <v>265</v>
      </c>
      <c r="D16" s="262" t="s">
        <v>400</v>
      </c>
      <c r="E16" s="267">
        <v>14000</v>
      </c>
      <c r="F16" s="267">
        <f>E16*19%</f>
        <v>2660</v>
      </c>
      <c r="G16" s="267">
        <f>+F16+E16</f>
        <v>16660</v>
      </c>
      <c r="L16" s="79" t="s">
        <v>479</v>
      </c>
      <c r="M16" s="82" t="s">
        <v>393</v>
      </c>
      <c r="N16" s="260">
        <v>550</v>
      </c>
      <c r="O16" s="79">
        <v>0</v>
      </c>
      <c r="P16" s="261">
        <f t="shared" si="2"/>
        <v>550</v>
      </c>
      <c r="Q16" s="323" t="s">
        <v>74</v>
      </c>
      <c r="U16" s="79" t="s">
        <v>374</v>
      </c>
      <c r="V16" s="82"/>
      <c r="W16" s="79"/>
    </row>
    <row r="17" spans="3:23" ht="24.95" customHeight="1" x14ac:dyDescent="0.2">
      <c r="C17" s="79" t="s">
        <v>582</v>
      </c>
      <c r="D17" s="262" t="s">
        <v>400</v>
      </c>
      <c r="E17" s="267">
        <v>9500</v>
      </c>
      <c r="F17" s="267">
        <v>0</v>
      </c>
      <c r="G17" s="267">
        <f>+E17</f>
        <v>9500</v>
      </c>
      <c r="L17" s="79" t="s">
        <v>480</v>
      </c>
      <c r="M17" s="82" t="s">
        <v>393</v>
      </c>
      <c r="N17" s="260">
        <v>100</v>
      </c>
      <c r="O17" s="79">
        <v>0</v>
      </c>
      <c r="P17" s="261">
        <f t="shared" si="2"/>
        <v>100</v>
      </c>
      <c r="Q17" s="323" t="s">
        <v>74</v>
      </c>
      <c r="U17" s="79"/>
      <c r="V17" s="82"/>
      <c r="W17" s="79"/>
    </row>
    <row r="18" spans="3:23" ht="24.95" customHeight="1" x14ac:dyDescent="0.2">
      <c r="C18" s="271" t="s">
        <v>382</v>
      </c>
      <c r="D18" s="272" t="s">
        <v>54</v>
      </c>
      <c r="E18" s="273">
        <f>N14/3785</f>
        <v>22.192866578599737</v>
      </c>
      <c r="F18" s="261">
        <f>E18*19%</f>
        <v>4.2166446499339498</v>
      </c>
      <c r="G18" s="261">
        <f>+F18+E18</f>
        <v>26.409511228533688</v>
      </c>
      <c r="L18" s="79" t="s">
        <v>565</v>
      </c>
      <c r="M18" s="82" t="s">
        <v>393</v>
      </c>
      <c r="N18" s="260">
        <v>420</v>
      </c>
      <c r="O18" s="79">
        <v>0</v>
      </c>
      <c r="P18" s="261">
        <f t="shared" si="2"/>
        <v>420</v>
      </c>
      <c r="Q18" s="323" t="s">
        <v>74</v>
      </c>
      <c r="U18" s="79"/>
      <c r="V18" s="82"/>
      <c r="W18" s="79"/>
    </row>
    <row r="19" spans="3:23" ht="24.95" customHeight="1" x14ac:dyDescent="0.2">
      <c r="C19" s="79" t="s">
        <v>311</v>
      </c>
      <c r="D19" s="262" t="s">
        <v>393</v>
      </c>
      <c r="E19" s="261">
        <v>1000</v>
      </c>
      <c r="F19" s="261">
        <v>0</v>
      </c>
      <c r="G19" s="261">
        <f>+F19+E19</f>
        <v>1000</v>
      </c>
      <c r="L19" s="79" t="s">
        <v>484</v>
      </c>
      <c r="M19" s="82" t="s">
        <v>393</v>
      </c>
      <c r="N19" s="260">
        <v>500</v>
      </c>
      <c r="O19" s="79">
        <v>0</v>
      </c>
      <c r="P19" s="261">
        <f t="shared" si="2"/>
        <v>500</v>
      </c>
      <c r="Q19" s="323" t="s">
        <v>74</v>
      </c>
      <c r="U19" s="79"/>
      <c r="V19" s="82"/>
      <c r="W19" s="79"/>
    </row>
    <row r="20" spans="3:23" ht="18.75" x14ac:dyDescent="0.2">
      <c r="C20" s="79" t="s">
        <v>457</v>
      </c>
      <c r="D20" s="262" t="s">
        <v>393</v>
      </c>
      <c r="E20" s="261">
        <v>750</v>
      </c>
      <c r="F20" s="261">
        <v>0</v>
      </c>
      <c r="G20" s="261">
        <f>+F20+E20</f>
        <v>750</v>
      </c>
      <c r="L20" s="79" t="s">
        <v>485</v>
      </c>
      <c r="M20" s="82" t="s">
        <v>393</v>
      </c>
      <c r="N20" s="260">
        <v>650</v>
      </c>
      <c r="O20" s="79">
        <v>0</v>
      </c>
      <c r="P20" s="261">
        <f t="shared" si="2"/>
        <v>650</v>
      </c>
      <c r="Q20" s="323"/>
      <c r="R20" s="80" t="s">
        <v>488</v>
      </c>
      <c r="U20" s="79"/>
      <c r="V20" s="82"/>
      <c r="W20" s="79"/>
    </row>
    <row r="21" spans="3:23" ht="23.25" customHeight="1" x14ac:dyDescent="0.2">
      <c r="C21" s="266" t="s">
        <v>264</v>
      </c>
      <c r="D21" s="262" t="s">
        <v>400</v>
      </c>
      <c r="E21" s="261"/>
      <c r="F21" s="261"/>
      <c r="G21" s="261"/>
      <c r="L21" s="79" t="s">
        <v>490</v>
      </c>
      <c r="M21" s="82" t="s">
        <v>393</v>
      </c>
      <c r="N21" s="260">
        <v>650</v>
      </c>
      <c r="O21" s="79">
        <v>0</v>
      </c>
      <c r="P21" s="261">
        <f t="shared" si="2"/>
        <v>650</v>
      </c>
      <c r="Q21" s="323"/>
      <c r="R21" s="80" t="s">
        <v>489</v>
      </c>
      <c r="U21" s="79"/>
      <c r="V21" s="82"/>
      <c r="W21" s="79"/>
    </row>
    <row r="22" spans="3:23" x14ac:dyDescent="0.2">
      <c r="C22" s="79" t="s">
        <v>297</v>
      </c>
      <c r="D22" s="262" t="s">
        <v>400</v>
      </c>
      <c r="E22" s="322">
        <v>210084.03</v>
      </c>
      <c r="F22" s="261">
        <f>E22*19%</f>
        <v>39915.965700000001</v>
      </c>
      <c r="G22" s="261">
        <f>+F22+E22</f>
        <v>249999.9957</v>
      </c>
      <c r="L22" s="79"/>
      <c r="M22" s="82"/>
      <c r="N22" s="260"/>
      <c r="O22" s="79"/>
      <c r="P22" s="261"/>
      <c r="Q22" s="323"/>
      <c r="R22" s="165"/>
    </row>
    <row r="23" spans="3:23" ht="18.75" x14ac:dyDescent="0.2">
      <c r="C23" s="79" t="s">
        <v>281</v>
      </c>
      <c r="D23" s="262" t="s">
        <v>400</v>
      </c>
      <c r="E23" s="261">
        <v>20882</v>
      </c>
      <c r="F23" s="261">
        <f>E23*19%</f>
        <v>3967.58</v>
      </c>
      <c r="G23" s="261">
        <f>+F23+E23</f>
        <v>24849.58</v>
      </c>
      <c r="L23" s="79" t="s">
        <v>452</v>
      </c>
      <c r="M23" s="82" t="s">
        <v>393</v>
      </c>
      <c r="N23" s="260">
        <v>250</v>
      </c>
      <c r="O23" s="79">
        <v>0</v>
      </c>
      <c r="P23" s="261">
        <f t="shared" si="2"/>
        <v>250</v>
      </c>
      <c r="Q23" s="323"/>
      <c r="R23" s="165" t="s">
        <v>495</v>
      </c>
    </row>
    <row r="24" spans="3:23" ht="24" x14ac:dyDescent="0.2">
      <c r="C24" s="79" t="s">
        <v>246</v>
      </c>
      <c r="D24" s="262" t="s">
        <v>400</v>
      </c>
      <c r="E24" s="261">
        <v>80268</v>
      </c>
      <c r="F24" s="261">
        <f>E24*19%</f>
        <v>15250.92</v>
      </c>
      <c r="G24" s="261">
        <f>+F24+E24</f>
        <v>95518.92</v>
      </c>
      <c r="L24" s="79" t="s">
        <v>494</v>
      </c>
      <c r="M24" s="82" t="s">
        <v>393</v>
      </c>
      <c r="N24" s="260">
        <v>1500</v>
      </c>
      <c r="O24" s="79">
        <v>0</v>
      </c>
      <c r="P24" s="261">
        <f t="shared" si="2"/>
        <v>1500</v>
      </c>
      <c r="Q24" s="323"/>
      <c r="R24" s="80" t="s">
        <v>492</v>
      </c>
    </row>
    <row r="25" spans="3:23" ht="30" customHeight="1" x14ac:dyDescent="0.25">
      <c r="C25" s="266" t="s">
        <v>259</v>
      </c>
      <c r="D25" s="262" t="s">
        <v>400</v>
      </c>
      <c r="E25" s="261"/>
      <c r="F25" s="261"/>
      <c r="G25" s="261"/>
      <c r="L25" s="79" t="s">
        <v>493</v>
      </c>
      <c r="M25" s="82" t="s">
        <v>393</v>
      </c>
      <c r="N25" s="260">
        <v>650</v>
      </c>
      <c r="O25" s="79">
        <v>0</v>
      </c>
      <c r="P25" s="261">
        <f t="shared" si="2"/>
        <v>650</v>
      </c>
      <c r="Q25" s="323"/>
      <c r="R25" s="166" t="s">
        <v>496</v>
      </c>
      <c r="U25"/>
    </row>
    <row r="26" spans="3:23" ht="15" x14ac:dyDescent="0.25">
      <c r="C26" s="266" t="s">
        <v>636</v>
      </c>
      <c r="D26" s="262" t="s">
        <v>400</v>
      </c>
      <c r="E26" s="261"/>
      <c r="F26" s="261"/>
      <c r="G26" s="261"/>
      <c r="L26" s="79" t="s">
        <v>503</v>
      </c>
      <c r="M26" s="82" t="s">
        <v>393</v>
      </c>
      <c r="N26" s="260">
        <v>250</v>
      </c>
      <c r="O26" s="79">
        <v>0</v>
      </c>
      <c r="P26" s="261">
        <f t="shared" si="2"/>
        <v>250</v>
      </c>
      <c r="Q26" s="323"/>
      <c r="R26" s="166" t="s">
        <v>496</v>
      </c>
      <c r="U26"/>
    </row>
    <row r="27" spans="3:23" ht="32.25" customHeight="1" x14ac:dyDescent="0.25">
      <c r="C27" s="266" t="s">
        <v>635</v>
      </c>
      <c r="D27" s="262" t="s">
        <v>400</v>
      </c>
      <c r="E27" s="261"/>
      <c r="F27" s="261"/>
      <c r="G27" s="261"/>
      <c r="L27" s="79" t="s">
        <v>614</v>
      </c>
      <c r="M27" s="82" t="s">
        <v>393</v>
      </c>
      <c r="N27" s="260">
        <v>70</v>
      </c>
      <c r="O27" s="79">
        <v>0</v>
      </c>
      <c r="P27" s="261">
        <f t="shared" si="2"/>
        <v>70</v>
      </c>
      <c r="Q27" s="323"/>
      <c r="R27" s="166" t="s">
        <v>496</v>
      </c>
      <c r="U27"/>
    </row>
    <row r="28" spans="3:23" ht="19.5" x14ac:dyDescent="0.25">
      <c r="C28" s="79" t="s">
        <v>293</v>
      </c>
      <c r="D28" s="262" t="s">
        <v>400</v>
      </c>
      <c r="E28" s="261">
        <v>140000</v>
      </c>
      <c r="F28" s="261">
        <f>E28*19%</f>
        <v>26600</v>
      </c>
      <c r="G28" s="261">
        <f>+F28+E28</f>
        <v>166600</v>
      </c>
      <c r="L28" s="79" t="s">
        <v>621</v>
      </c>
      <c r="M28" s="82" t="s">
        <v>393</v>
      </c>
      <c r="N28" s="260">
        <v>350</v>
      </c>
      <c r="O28" s="79">
        <v>0</v>
      </c>
      <c r="P28" s="261">
        <f t="shared" ref="P28" si="3">+O28+N28</f>
        <v>350</v>
      </c>
      <c r="Q28" s="323"/>
      <c r="R28" s="165" t="s">
        <v>495</v>
      </c>
      <c r="U28"/>
    </row>
    <row r="29" spans="3:23" ht="15" x14ac:dyDescent="0.25">
      <c r="C29" s="24" t="s">
        <v>566</v>
      </c>
      <c r="D29" s="262" t="s">
        <v>400</v>
      </c>
      <c r="E29" s="261">
        <v>750000</v>
      </c>
      <c r="F29" s="261"/>
      <c r="G29" s="261">
        <f>+E29</f>
        <v>750000</v>
      </c>
      <c r="L29" s="79"/>
      <c r="M29" s="82"/>
      <c r="N29" s="260"/>
      <c r="O29" s="79"/>
      <c r="P29" s="261"/>
      <c r="Q29" s="323"/>
      <c r="R29" s="166"/>
      <c r="U29"/>
    </row>
    <row r="30" spans="3:23" ht="15" x14ac:dyDescent="0.25">
      <c r="C30" s="79" t="s">
        <v>302</v>
      </c>
      <c r="D30" s="262" t="s">
        <v>400</v>
      </c>
      <c r="E30" s="261">
        <v>2000000</v>
      </c>
      <c r="F30" s="261">
        <f t="shared" ref="F30:F35" si="4">E30*19%</f>
        <v>380000</v>
      </c>
      <c r="G30" s="261">
        <f t="shared" ref="G30:G38" si="5">+F30+E30</f>
        <v>2380000</v>
      </c>
      <c r="L30" s="79"/>
      <c r="M30" s="82"/>
      <c r="N30" s="260"/>
      <c r="O30" s="79"/>
      <c r="P30" s="261"/>
      <c r="Q30" s="323"/>
      <c r="R30" s="166"/>
      <c r="U30"/>
    </row>
    <row r="31" spans="3:23" ht="15" x14ac:dyDescent="0.25">
      <c r="C31" s="79" t="s">
        <v>446</v>
      </c>
      <c r="D31" s="262" t="s">
        <v>400</v>
      </c>
      <c r="E31" s="261">
        <v>600000</v>
      </c>
      <c r="F31" s="261">
        <f t="shared" si="4"/>
        <v>114000</v>
      </c>
      <c r="G31" s="261">
        <f t="shared" si="5"/>
        <v>714000</v>
      </c>
      <c r="L31" s="79"/>
      <c r="M31" s="82"/>
      <c r="N31" s="260"/>
      <c r="O31" s="79"/>
      <c r="P31" s="261"/>
      <c r="Q31" s="323"/>
      <c r="R31" s="166"/>
      <c r="U31"/>
    </row>
    <row r="32" spans="3:23" ht="15" x14ac:dyDescent="0.25">
      <c r="C32" s="79" t="s">
        <v>300</v>
      </c>
      <c r="D32" s="262" t="s">
        <v>400</v>
      </c>
      <c r="E32" s="315">
        <v>120000</v>
      </c>
      <c r="F32" s="261">
        <f t="shared" si="4"/>
        <v>22800</v>
      </c>
      <c r="G32" s="261">
        <f t="shared" si="5"/>
        <v>142800</v>
      </c>
      <c r="L32" s="79"/>
      <c r="M32" s="82"/>
      <c r="N32" s="260"/>
      <c r="O32" s="79"/>
      <c r="P32" s="79"/>
      <c r="U32"/>
    </row>
    <row r="33" spans="3:21" ht="15" x14ac:dyDescent="0.25">
      <c r="C33" s="79" t="s">
        <v>251</v>
      </c>
      <c r="D33" s="262" t="s">
        <v>400</v>
      </c>
      <c r="E33" s="315">
        <v>46330</v>
      </c>
      <c r="F33" s="261">
        <f t="shared" si="4"/>
        <v>8802.7000000000007</v>
      </c>
      <c r="G33" s="261">
        <f t="shared" si="5"/>
        <v>55132.7</v>
      </c>
      <c r="L33" s="79"/>
      <c r="M33" s="82"/>
      <c r="N33" s="260"/>
      <c r="O33" s="79"/>
      <c r="P33" s="79"/>
      <c r="U33"/>
    </row>
    <row r="34" spans="3:21" ht="30" customHeight="1" x14ac:dyDescent="0.25">
      <c r="C34" s="24" t="s">
        <v>567</v>
      </c>
      <c r="D34" s="262" t="s">
        <v>400</v>
      </c>
      <c r="E34" s="315">
        <v>120000</v>
      </c>
      <c r="F34" s="261">
        <f t="shared" si="4"/>
        <v>22800</v>
      </c>
      <c r="G34" s="261">
        <f t="shared" si="5"/>
        <v>142800</v>
      </c>
      <c r="L34" s="79" t="s">
        <v>500</v>
      </c>
      <c r="M34" s="82" t="s">
        <v>393</v>
      </c>
      <c r="N34" s="260">
        <v>650</v>
      </c>
      <c r="O34" s="79">
        <v>0</v>
      </c>
      <c r="P34" s="261">
        <f>+O34+N34</f>
        <v>650</v>
      </c>
      <c r="Q34" s="323"/>
      <c r="R34" s="80" t="s">
        <v>487</v>
      </c>
      <c r="U34"/>
    </row>
    <row r="35" spans="3:21" ht="24.95" customHeight="1" x14ac:dyDescent="0.25">
      <c r="C35" s="79" t="s">
        <v>248</v>
      </c>
      <c r="D35" s="262" t="s">
        <v>400</v>
      </c>
      <c r="E35" s="289">
        <v>18900</v>
      </c>
      <c r="F35" s="261">
        <f t="shared" si="4"/>
        <v>3591</v>
      </c>
      <c r="G35" s="261">
        <f t="shared" si="5"/>
        <v>22491</v>
      </c>
      <c r="L35" s="79" t="s">
        <v>501</v>
      </c>
      <c r="M35" s="82" t="s">
        <v>393</v>
      </c>
      <c r="N35" s="260">
        <v>750</v>
      </c>
      <c r="O35" s="79">
        <v>0</v>
      </c>
      <c r="P35" s="261">
        <f>+O35+N35</f>
        <v>750</v>
      </c>
      <c r="Q35" s="323"/>
      <c r="R35" s="80" t="s">
        <v>499</v>
      </c>
      <c r="U35"/>
    </row>
    <row r="36" spans="3:21" ht="24.95" customHeight="1" x14ac:dyDescent="0.25">
      <c r="C36" s="79" t="s">
        <v>247</v>
      </c>
      <c r="D36" s="262"/>
      <c r="E36" s="267">
        <v>30000</v>
      </c>
      <c r="F36" s="267">
        <v>0</v>
      </c>
      <c r="G36" s="267">
        <f t="shared" si="5"/>
        <v>30000</v>
      </c>
      <c r="H36" s="77" t="s">
        <v>455</v>
      </c>
      <c r="L36" s="79" t="s">
        <v>497</v>
      </c>
      <c r="M36" s="82" t="s">
        <v>393</v>
      </c>
      <c r="N36" s="260">
        <v>4500</v>
      </c>
      <c r="O36" s="79">
        <v>0</v>
      </c>
      <c r="P36" s="261">
        <f t="shared" ref="P36:P37" si="6">+O36+N36</f>
        <v>4500</v>
      </c>
      <c r="Q36" s="323"/>
      <c r="U36"/>
    </row>
    <row r="37" spans="3:21" ht="24.95" customHeight="1" x14ac:dyDescent="0.25">
      <c r="C37" s="79" t="s">
        <v>292</v>
      </c>
      <c r="D37" s="262" t="s">
        <v>400</v>
      </c>
      <c r="E37" s="261">
        <v>120000</v>
      </c>
      <c r="F37" s="261">
        <f>E37*19%</f>
        <v>22800</v>
      </c>
      <c r="G37" s="261">
        <f t="shared" si="5"/>
        <v>142800</v>
      </c>
      <c r="L37" s="79" t="s">
        <v>498</v>
      </c>
      <c r="M37" s="82" t="s">
        <v>393</v>
      </c>
      <c r="N37" s="260">
        <v>4500</v>
      </c>
      <c r="O37" s="79">
        <v>0</v>
      </c>
      <c r="P37" s="261">
        <f t="shared" si="6"/>
        <v>4500</v>
      </c>
      <c r="Q37" s="323"/>
      <c r="U37"/>
    </row>
    <row r="38" spans="3:21" ht="24.95" customHeight="1" x14ac:dyDescent="0.25">
      <c r="C38" s="79" t="s">
        <v>284</v>
      </c>
      <c r="D38" s="262" t="s">
        <v>400</v>
      </c>
      <c r="E38" s="261">
        <v>53393</v>
      </c>
      <c r="F38" s="261">
        <f>E38*19%</f>
        <v>10144.67</v>
      </c>
      <c r="G38" s="261">
        <f t="shared" si="5"/>
        <v>63537.67</v>
      </c>
      <c r="L38" s="277" t="s">
        <v>440</v>
      </c>
      <c r="M38" s="318"/>
      <c r="N38" s="260"/>
      <c r="O38" s="79"/>
      <c r="P38" s="79"/>
      <c r="U38"/>
    </row>
    <row r="39" spans="3:21" ht="24.95" customHeight="1" x14ac:dyDescent="0.25">
      <c r="C39" s="266" t="s">
        <v>294</v>
      </c>
      <c r="D39" s="262" t="s">
        <v>400</v>
      </c>
      <c r="E39" s="261"/>
      <c r="F39" s="261"/>
      <c r="G39" s="261"/>
      <c r="L39" s="266" t="s">
        <v>609</v>
      </c>
      <c r="M39" s="82"/>
      <c r="N39" s="260"/>
      <c r="O39" s="79"/>
      <c r="P39" s="79"/>
      <c r="U39"/>
    </row>
    <row r="40" spans="3:21" ht="24.95" customHeight="1" x14ac:dyDescent="0.25">
      <c r="C40" s="266" t="s">
        <v>290</v>
      </c>
      <c r="D40" s="262" t="s">
        <v>400</v>
      </c>
      <c r="E40" s="261"/>
      <c r="F40" s="261"/>
      <c r="G40" s="261"/>
      <c r="L40" s="266" t="s">
        <v>576</v>
      </c>
      <c r="M40" s="82"/>
      <c r="N40" s="260"/>
      <c r="O40" s="79"/>
      <c r="P40" s="79"/>
      <c r="U40"/>
    </row>
    <row r="41" spans="3:21" ht="24.95" customHeight="1" x14ac:dyDescent="0.25">
      <c r="C41" s="79" t="s">
        <v>269</v>
      </c>
      <c r="D41" s="262" t="s">
        <v>400</v>
      </c>
      <c r="E41" s="261">
        <v>49240</v>
      </c>
      <c r="F41" s="261">
        <f>E41*19%</f>
        <v>9355.6</v>
      </c>
      <c r="G41" s="261">
        <f t="shared" ref="G41" si="7">+F41+E41</f>
        <v>58595.6</v>
      </c>
      <c r="L41" s="266" t="s">
        <v>577</v>
      </c>
      <c r="M41" s="82"/>
      <c r="N41" s="260"/>
      <c r="O41" s="79"/>
      <c r="P41" s="79"/>
      <c r="U41"/>
    </row>
    <row r="42" spans="3:21" ht="24.95" customHeight="1" x14ac:dyDescent="0.25">
      <c r="C42" s="266" t="s">
        <v>296</v>
      </c>
      <c r="D42" s="262" t="s">
        <v>400</v>
      </c>
      <c r="E42" s="261"/>
      <c r="F42" s="261"/>
      <c r="G42" s="261"/>
      <c r="U42"/>
    </row>
    <row r="43" spans="3:21" ht="24.95" customHeight="1" x14ac:dyDescent="0.25">
      <c r="C43" s="79" t="s">
        <v>270</v>
      </c>
      <c r="D43" s="262" t="s">
        <v>400</v>
      </c>
      <c r="E43" s="261">
        <v>70000</v>
      </c>
      <c r="F43" s="261">
        <f>E43*19%</f>
        <v>13300</v>
      </c>
      <c r="G43" s="261">
        <f t="shared" ref="G43" si="8">+F43+E43</f>
        <v>83300</v>
      </c>
      <c r="U43"/>
    </row>
    <row r="44" spans="3:21" ht="24.95" customHeight="1" thickBot="1" x14ac:dyDescent="0.3">
      <c r="C44" s="79" t="s">
        <v>600</v>
      </c>
      <c r="D44" s="262" t="s">
        <v>400</v>
      </c>
      <c r="E44" s="261">
        <v>46867</v>
      </c>
      <c r="F44" s="261">
        <f>E44*19%</f>
        <v>8904.73</v>
      </c>
      <c r="G44" s="261">
        <f t="shared" ref="G44" si="9">+F44+E44</f>
        <v>55771.729999999996</v>
      </c>
      <c r="L44" s="286" t="s">
        <v>573</v>
      </c>
      <c r="U44"/>
    </row>
    <row r="45" spans="3:21" ht="36" customHeight="1" x14ac:dyDescent="0.25">
      <c r="C45" s="266" t="s">
        <v>299</v>
      </c>
      <c r="D45" s="262" t="s">
        <v>400</v>
      </c>
      <c r="E45" s="261"/>
      <c r="F45" s="261"/>
      <c r="G45" s="261"/>
      <c r="L45" s="241" t="s">
        <v>375</v>
      </c>
      <c r="M45" s="281"/>
      <c r="N45" s="1485">
        <v>1050</v>
      </c>
      <c r="O45" s="282"/>
      <c r="P45" s="287">
        <f>+N45</f>
        <v>1050</v>
      </c>
      <c r="Q45" s="325"/>
      <c r="U45"/>
    </row>
    <row r="46" spans="3:21" ht="24.95" customHeight="1" x14ac:dyDescent="0.25">
      <c r="C46" s="79" t="s">
        <v>601</v>
      </c>
      <c r="D46" s="262" t="s">
        <v>400</v>
      </c>
      <c r="E46" s="267">
        <v>64575</v>
      </c>
      <c r="F46" s="261">
        <f>E46*19%</f>
        <v>12269.25</v>
      </c>
      <c r="G46" s="261">
        <f t="shared" ref="G46" si="10">+F46+E46</f>
        <v>76844.25</v>
      </c>
      <c r="L46" s="148" t="s">
        <v>376</v>
      </c>
      <c r="M46" s="283"/>
      <c r="N46" s="1486"/>
      <c r="O46" s="284"/>
      <c r="P46" s="285"/>
      <c r="U46"/>
    </row>
    <row r="47" spans="3:21" ht="24.95" customHeight="1" x14ac:dyDescent="0.25">
      <c r="C47" s="79" t="s">
        <v>598</v>
      </c>
      <c r="D47" s="262" t="s">
        <v>400</v>
      </c>
      <c r="E47" s="261">
        <v>48647</v>
      </c>
      <c r="F47" s="261">
        <f>E47*19%</f>
        <v>9242.93</v>
      </c>
      <c r="G47" s="261">
        <f t="shared" ref="G47" si="11">+F47+E47</f>
        <v>57889.93</v>
      </c>
      <c r="L47" s="148" t="s">
        <v>377</v>
      </c>
      <c r="M47" s="279"/>
      <c r="N47" s="280">
        <v>200</v>
      </c>
      <c r="O47" s="278"/>
      <c r="P47" s="288">
        <f>+N47</f>
        <v>200</v>
      </c>
      <c r="Q47" s="325"/>
      <c r="U47"/>
    </row>
    <row r="48" spans="3:21" ht="24.95" customHeight="1" x14ac:dyDescent="0.25">
      <c r="C48" s="266" t="s">
        <v>256</v>
      </c>
      <c r="D48" s="262" t="s">
        <v>400</v>
      </c>
      <c r="E48" s="261"/>
      <c r="F48" s="261"/>
      <c r="G48" s="261"/>
      <c r="L48" s="148" t="s">
        <v>502</v>
      </c>
      <c r="M48" s="82"/>
      <c r="N48" s="260">
        <v>350</v>
      </c>
      <c r="O48" s="79"/>
      <c r="P48" s="288">
        <f t="shared" ref="P48:P49" si="12">+N48</f>
        <v>350</v>
      </c>
      <c r="Q48" s="325"/>
      <c r="U48"/>
    </row>
    <row r="49" spans="3:21" ht="24.95" customHeight="1" x14ac:dyDescent="0.25">
      <c r="C49" s="79" t="s">
        <v>262</v>
      </c>
      <c r="D49" s="262" t="s">
        <v>400</v>
      </c>
      <c r="E49" s="261">
        <v>51533</v>
      </c>
      <c r="F49" s="261">
        <f>E49*19%</f>
        <v>9791.27</v>
      </c>
      <c r="G49" s="261">
        <f t="shared" ref="G49" si="13">+F49+E49</f>
        <v>61324.270000000004</v>
      </c>
      <c r="L49" s="148" t="s">
        <v>440</v>
      </c>
      <c r="M49" s="82"/>
      <c r="N49" s="260">
        <v>200</v>
      </c>
      <c r="O49" s="79"/>
      <c r="P49" s="288">
        <f t="shared" si="12"/>
        <v>200</v>
      </c>
      <c r="Q49" s="325"/>
      <c r="U49"/>
    </row>
    <row r="50" spans="3:21" ht="24.95" customHeight="1" x14ac:dyDescent="0.2">
      <c r="C50" s="266" t="s">
        <v>263</v>
      </c>
      <c r="D50" s="268"/>
      <c r="E50" s="261"/>
      <c r="F50" s="261"/>
      <c r="G50" s="261"/>
    </row>
    <row r="51" spans="3:21" ht="24.95" customHeight="1" x14ac:dyDescent="0.2">
      <c r="C51" s="266" t="s">
        <v>276</v>
      </c>
      <c r="D51" s="262"/>
      <c r="E51" s="261"/>
      <c r="F51" s="261"/>
      <c r="G51" s="261"/>
    </row>
    <row r="52" spans="3:21" ht="24.95" customHeight="1" x14ac:dyDescent="0.2">
      <c r="C52" s="79" t="s">
        <v>597</v>
      </c>
      <c r="D52" s="262" t="s">
        <v>400</v>
      </c>
      <c r="E52" s="267">
        <v>71947</v>
      </c>
      <c r="F52" s="261">
        <f>E52*19%</f>
        <v>13669.93</v>
      </c>
      <c r="G52" s="261">
        <f>+F52+E52</f>
        <v>85616.93</v>
      </c>
    </row>
    <row r="53" spans="3:21" ht="24.95" customHeight="1" x14ac:dyDescent="0.2">
      <c r="C53" s="79" t="s">
        <v>249</v>
      </c>
      <c r="D53" s="262" t="s">
        <v>400</v>
      </c>
      <c r="E53" s="261">
        <v>66465</v>
      </c>
      <c r="F53" s="261">
        <f>E53*19%</f>
        <v>12628.35</v>
      </c>
      <c r="G53" s="261">
        <f>+F53+E53</f>
        <v>79093.350000000006</v>
      </c>
      <c r="N53" s="163"/>
    </row>
    <row r="54" spans="3:21" ht="24.95" customHeight="1" x14ac:dyDescent="0.2">
      <c r="C54" s="79" t="s">
        <v>275</v>
      </c>
      <c r="D54" s="262" t="s">
        <v>400</v>
      </c>
      <c r="E54" s="261">
        <v>64485</v>
      </c>
      <c r="F54" s="261">
        <f>E54*19%</f>
        <v>12252.15</v>
      </c>
      <c r="G54" s="261">
        <f>+F54+E54</f>
        <v>76737.149999999994</v>
      </c>
    </row>
    <row r="55" spans="3:21" ht="24.95" customHeight="1" x14ac:dyDescent="0.2">
      <c r="C55" s="266" t="s">
        <v>282</v>
      </c>
      <c r="D55" s="262"/>
      <c r="E55" s="261"/>
      <c r="F55" s="261"/>
      <c r="G55" s="261"/>
    </row>
    <row r="56" spans="3:21" ht="24.95" customHeight="1" x14ac:dyDescent="0.2">
      <c r="C56" s="79" t="s">
        <v>602</v>
      </c>
      <c r="D56" s="262" t="s">
        <v>400</v>
      </c>
      <c r="E56" s="267">
        <v>49061</v>
      </c>
      <c r="F56" s="261">
        <f>E56*19%</f>
        <v>9321.59</v>
      </c>
      <c r="G56" s="261">
        <f>+F56+E56</f>
        <v>58382.59</v>
      </c>
    </row>
    <row r="57" spans="3:21" ht="24.95" customHeight="1" x14ac:dyDescent="0.2">
      <c r="C57" s="79" t="s">
        <v>599</v>
      </c>
      <c r="D57" s="262" t="s">
        <v>400</v>
      </c>
      <c r="E57" s="267">
        <v>69826</v>
      </c>
      <c r="F57" s="261">
        <f>E57*19%</f>
        <v>13266.94</v>
      </c>
      <c r="G57" s="261">
        <f>+F57+E57</f>
        <v>83092.94</v>
      </c>
      <c r="N57" s="163"/>
    </row>
    <row r="58" spans="3:21" ht="19.5" customHeight="1" x14ac:dyDescent="0.2">
      <c r="C58" s="79" t="s">
        <v>447</v>
      </c>
      <c r="D58" s="262" t="s">
        <v>439</v>
      </c>
      <c r="E58" s="261">
        <v>38000</v>
      </c>
      <c r="F58" s="261">
        <v>0</v>
      </c>
      <c r="G58" s="261">
        <f>+F58+E58</f>
        <v>38000</v>
      </c>
      <c r="N58" s="163"/>
    </row>
    <row r="59" spans="3:21" ht="18.75" customHeight="1" x14ac:dyDescent="0.2">
      <c r="C59" s="266" t="s">
        <v>277</v>
      </c>
      <c r="D59" s="262"/>
      <c r="E59" s="267"/>
      <c r="F59" s="267"/>
      <c r="G59" s="267"/>
      <c r="N59" s="163"/>
    </row>
    <row r="60" spans="3:21" x14ac:dyDescent="0.2">
      <c r="C60" s="79" t="s">
        <v>268</v>
      </c>
      <c r="D60" s="262" t="s">
        <v>400</v>
      </c>
      <c r="E60" s="267">
        <v>20000</v>
      </c>
      <c r="F60" s="261">
        <v>0</v>
      </c>
      <c r="G60" s="261">
        <f>+F60+E60</f>
        <v>20000</v>
      </c>
    </row>
    <row r="61" spans="3:21" x14ac:dyDescent="0.2">
      <c r="C61" s="79" t="s">
        <v>444</v>
      </c>
      <c r="D61" s="262" t="s">
        <v>400</v>
      </c>
      <c r="E61" s="261">
        <v>10086</v>
      </c>
      <c r="F61" s="261">
        <f>E61*19%</f>
        <v>1916.34</v>
      </c>
      <c r="G61" s="261">
        <f>+F61+E61</f>
        <v>12002.34</v>
      </c>
    </row>
    <row r="62" spans="3:21" ht="16.5" customHeight="1" x14ac:dyDescent="0.25">
      <c r="C62" s="24" t="s">
        <v>291</v>
      </c>
      <c r="D62" s="262" t="s">
        <v>400</v>
      </c>
      <c r="E62" s="261">
        <v>15000</v>
      </c>
      <c r="F62" s="261">
        <f>E62*19%</f>
        <v>2850</v>
      </c>
      <c r="G62" s="261">
        <f>+F62+E62</f>
        <v>17850</v>
      </c>
    </row>
    <row r="63" spans="3:21" ht="18" customHeight="1" x14ac:dyDescent="0.25">
      <c r="C63" s="24" t="s">
        <v>571</v>
      </c>
      <c r="D63" s="262" t="s">
        <v>400</v>
      </c>
      <c r="E63" s="267">
        <v>35000</v>
      </c>
      <c r="F63" s="261">
        <f>E63*19%</f>
        <v>6650</v>
      </c>
      <c r="G63" s="261">
        <f>+F63+E63</f>
        <v>41650</v>
      </c>
    </row>
    <row r="64" spans="3:21" ht="15" x14ac:dyDescent="0.25">
      <c r="C64" s="24" t="s">
        <v>572</v>
      </c>
      <c r="D64" s="262" t="s">
        <v>400</v>
      </c>
      <c r="E64" s="267">
        <v>750000</v>
      </c>
      <c r="F64" s="261">
        <f>E64*19%</f>
        <v>142500</v>
      </c>
      <c r="G64" s="261">
        <f>+F64+E64</f>
        <v>892500</v>
      </c>
      <c r="N64" s="163"/>
    </row>
    <row r="65" spans="1:18" customFormat="1" ht="15" x14ac:dyDescent="0.25">
      <c r="A65" s="77"/>
      <c r="B65" s="77"/>
      <c r="C65" s="24" t="s">
        <v>583</v>
      </c>
      <c r="D65" s="262" t="s">
        <v>400</v>
      </c>
      <c r="E65" s="267">
        <v>42000</v>
      </c>
      <c r="F65" s="267">
        <v>0</v>
      </c>
      <c r="G65" s="267">
        <f>+E65</f>
        <v>42000</v>
      </c>
      <c r="H65" s="77"/>
      <c r="I65" s="77"/>
      <c r="J65" s="77"/>
      <c r="K65" s="77"/>
      <c r="L65" s="77"/>
      <c r="M65" s="80"/>
      <c r="N65" s="163"/>
      <c r="O65" s="77"/>
      <c r="P65" s="77"/>
      <c r="Q65" s="77"/>
      <c r="R65" s="80"/>
    </row>
    <row r="66" spans="1:18" ht="15" x14ac:dyDescent="0.25">
      <c r="A66"/>
      <c r="B66"/>
      <c r="C66" s="314" t="s">
        <v>608</v>
      </c>
      <c r="D66" s="262" t="s">
        <v>400</v>
      </c>
      <c r="E66" s="24"/>
      <c r="F66" s="24"/>
      <c r="G66" s="24"/>
      <c r="H66"/>
      <c r="I66"/>
      <c r="J66"/>
    </row>
    <row r="67" spans="1:18" ht="15" x14ac:dyDescent="0.25">
      <c r="C67" s="24"/>
      <c r="D67" s="262"/>
      <c r="E67" s="267"/>
      <c r="F67" s="267"/>
      <c r="G67" s="267"/>
    </row>
    <row r="68" spans="1:18" x14ac:dyDescent="0.2">
      <c r="C68" s="79" t="s">
        <v>320</v>
      </c>
      <c r="D68" s="262" t="s">
        <v>439</v>
      </c>
      <c r="E68" s="261">
        <v>7200</v>
      </c>
      <c r="F68" s="261">
        <v>0</v>
      </c>
      <c r="G68" s="261">
        <f t="shared" ref="G68:G71" si="14">+F68+E68</f>
        <v>7200</v>
      </c>
    </row>
    <row r="69" spans="1:18" ht="15" x14ac:dyDescent="0.25">
      <c r="C69" s="79" t="s">
        <v>321</v>
      </c>
      <c r="D69" s="262" t="s">
        <v>439</v>
      </c>
      <c r="E69" s="261">
        <v>300</v>
      </c>
      <c r="F69" s="261">
        <v>0</v>
      </c>
      <c r="G69" s="261">
        <f t="shared" si="14"/>
        <v>300</v>
      </c>
      <c r="L69"/>
      <c r="M69"/>
      <c r="N69"/>
      <c r="O69"/>
      <c r="P69"/>
      <c r="Q69"/>
      <c r="R69"/>
    </row>
    <row r="70" spans="1:18" ht="18.75" customHeight="1" x14ac:dyDescent="0.25">
      <c r="C70" s="79" t="s">
        <v>317</v>
      </c>
      <c r="D70" s="262" t="s">
        <v>56</v>
      </c>
      <c r="E70" s="261">
        <v>50000</v>
      </c>
      <c r="F70" s="261">
        <f t="shared" ref="F70:F74" si="15">E70*19%</f>
        <v>9500</v>
      </c>
      <c r="G70" s="261">
        <f t="shared" si="14"/>
        <v>59500</v>
      </c>
      <c r="K70"/>
    </row>
    <row r="71" spans="1:18" ht="24" x14ac:dyDescent="0.2">
      <c r="C71" s="79" t="s">
        <v>318</v>
      </c>
      <c r="D71" s="262" t="s">
        <v>56</v>
      </c>
      <c r="E71" s="261">
        <v>50000</v>
      </c>
      <c r="F71" s="261">
        <f t="shared" si="15"/>
        <v>9500</v>
      </c>
      <c r="G71" s="261">
        <f t="shared" si="14"/>
        <v>59500</v>
      </c>
    </row>
    <row r="72" spans="1:18" ht="24.75" thickBot="1" x14ac:dyDescent="0.25">
      <c r="C72" s="79" t="s">
        <v>319</v>
      </c>
      <c r="D72" s="262" t="s">
        <v>56</v>
      </c>
      <c r="E72" s="261">
        <v>50000</v>
      </c>
      <c r="F72" s="261">
        <f t="shared" si="15"/>
        <v>9500</v>
      </c>
      <c r="G72" s="261">
        <f t="shared" ref="G72:G74" si="16">+F72+E72</f>
        <v>59500</v>
      </c>
    </row>
    <row r="73" spans="1:18" ht="38.25" x14ac:dyDescent="0.2">
      <c r="C73" s="276" t="s">
        <v>578</v>
      </c>
      <c r="D73" s="269"/>
      <c r="E73" s="270"/>
      <c r="F73" s="261">
        <f t="shared" si="15"/>
        <v>0</v>
      </c>
      <c r="G73" s="261">
        <f t="shared" si="16"/>
        <v>0</v>
      </c>
    </row>
    <row r="74" spans="1:18" ht="19.5" customHeight="1" x14ac:dyDescent="0.2">
      <c r="C74" s="277" t="s">
        <v>579</v>
      </c>
      <c r="D74" s="262"/>
      <c r="E74" s="261"/>
      <c r="F74" s="261">
        <f t="shared" si="15"/>
        <v>0</v>
      </c>
      <c r="G74" s="261">
        <f t="shared" si="16"/>
        <v>0</v>
      </c>
    </row>
    <row r="75" spans="1:18" ht="25.5" x14ac:dyDescent="0.2">
      <c r="C75" s="277" t="s">
        <v>580</v>
      </c>
      <c r="D75" s="262"/>
      <c r="E75" s="261"/>
      <c r="F75" s="261"/>
      <c r="G75" s="261"/>
    </row>
    <row r="76" spans="1:18" ht="12.75" x14ac:dyDescent="0.2">
      <c r="C76" s="277" t="s">
        <v>581</v>
      </c>
      <c r="D76" s="262"/>
      <c r="E76" s="261"/>
      <c r="F76" s="261"/>
      <c r="G76" s="261"/>
    </row>
    <row r="77" spans="1:18" x14ac:dyDescent="0.2">
      <c r="C77" s="79"/>
      <c r="D77" s="262"/>
      <c r="E77" s="261"/>
      <c r="F77" s="261"/>
      <c r="G77" s="261"/>
    </row>
    <row r="140" spans="8:8" x14ac:dyDescent="0.2">
      <c r="H140" s="77" t="s">
        <v>279</v>
      </c>
    </row>
    <row r="141" spans="8:8" ht="24" x14ac:dyDescent="0.2">
      <c r="H141" s="77" t="s">
        <v>280</v>
      </c>
    </row>
    <row r="142" spans="8:8" x14ac:dyDescent="0.2">
      <c r="H142" s="77" t="s">
        <v>279</v>
      </c>
    </row>
    <row r="143" spans="8:8" x14ac:dyDescent="0.2">
      <c r="H143" s="77" t="s">
        <v>279</v>
      </c>
    </row>
    <row r="148" spans="8:8" x14ac:dyDescent="0.2">
      <c r="H148" s="77" t="s">
        <v>279</v>
      </c>
    </row>
    <row r="153" spans="8:8" x14ac:dyDescent="0.2">
      <c r="H153" s="77" t="s">
        <v>279</v>
      </c>
    </row>
    <row r="154" spans="8:8" x14ac:dyDescent="0.2">
      <c r="H154" s="77" t="s">
        <v>279</v>
      </c>
    </row>
    <row r="191" spans="8:8" x14ac:dyDescent="0.2">
      <c r="H191" s="77" t="s">
        <v>279</v>
      </c>
    </row>
  </sheetData>
  <autoFilter ref="C6:G61" xr:uid="{212A4A7F-AC88-4C7C-B366-AA18E8D4B435}">
    <sortState xmlns:xlrd2="http://schemas.microsoft.com/office/spreadsheetml/2017/richdata2" ref="C7:G61">
      <sortCondition ref="C6"/>
    </sortState>
  </autoFilter>
  <dataConsolidate/>
  <mergeCells count="1">
    <mergeCell ref="N45:N46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41A1-16CA-44F7-AF14-ED7E927E06B6}">
  <dimension ref="B1:Q90"/>
  <sheetViews>
    <sheetView topLeftCell="C4" zoomScale="86" zoomScaleNormal="86" workbookViewId="0">
      <selection activeCell="H27" sqref="H27"/>
    </sheetView>
  </sheetViews>
  <sheetFormatPr baseColWidth="10" defaultRowHeight="15" x14ac:dyDescent="0.25"/>
  <cols>
    <col min="2" max="2" width="15.5703125" customWidth="1"/>
    <col min="6" max="6" width="3" customWidth="1"/>
    <col min="8" max="8" width="11.42578125" style="614"/>
    <col min="9" max="9" width="18.85546875" customWidth="1"/>
    <col min="10" max="10" width="11.42578125" style="22"/>
    <col min="13" max="13" width="18.42578125" customWidth="1"/>
    <col min="14" max="14" width="11.42578125" style="22"/>
    <col min="16" max="16" width="10.7109375" customWidth="1"/>
    <col min="17" max="17" width="21.85546875" style="37" customWidth="1"/>
  </cols>
  <sheetData>
    <row r="1" spans="2:17" x14ac:dyDescent="0.25">
      <c r="B1" s="639" t="s">
        <v>1072</v>
      </c>
    </row>
    <row r="2" spans="2:17" x14ac:dyDescent="0.25">
      <c r="B2" s="636" t="s">
        <v>1070</v>
      </c>
    </row>
    <row r="3" spans="2:17" x14ac:dyDescent="0.25">
      <c r="B3" s="636" t="s">
        <v>1071</v>
      </c>
    </row>
    <row r="9" spans="2:17" s="22" customFormat="1" x14ac:dyDescent="0.25">
      <c r="H9" s="637"/>
      <c r="Q9" s="638"/>
    </row>
    <row r="11" spans="2:17" x14ac:dyDescent="0.25">
      <c r="G11" s="1" t="s">
        <v>650</v>
      </c>
      <c r="H11" s="614" t="s">
        <v>797</v>
      </c>
      <c r="I11" t="s">
        <v>654</v>
      </c>
      <c r="K11" s="1" t="s">
        <v>650</v>
      </c>
      <c r="L11" s="614" t="s">
        <v>836</v>
      </c>
      <c r="M11" t="s">
        <v>837</v>
      </c>
      <c r="O11" s="1" t="s">
        <v>650</v>
      </c>
      <c r="P11" s="614" t="s">
        <v>838</v>
      </c>
      <c r="Q11" s="37" t="s">
        <v>640</v>
      </c>
    </row>
    <row r="12" spans="2:17" x14ac:dyDescent="0.25">
      <c r="E12" s="615"/>
      <c r="F12" s="615"/>
      <c r="G12" s="616" t="s">
        <v>798</v>
      </c>
      <c r="H12" s="617" t="s">
        <v>799</v>
      </c>
      <c r="I12" s="1" t="s">
        <v>642</v>
      </c>
      <c r="K12" s="616" t="s">
        <v>798</v>
      </c>
      <c r="L12" s="617" t="s">
        <v>839</v>
      </c>
      <c r="M12" t="s">
        <v>1</v>
      </c>
      <c r="O12" s="616" t="s">
        <v>798</v>
      </c>
      <c r="P12" s="617" t="s">
        <v>840</v>
      </c>
      <c r="Q12" s="37" t="s">
        <v>849</v>
      </c>
    </row>
    <row r="13" spans="2:17" x14ac:dyDescent="0.25">
      <c r="E13" s="615"/>
      <c r="F13" s="615"/>
      <c r="G13" s="616" t="s">
        <v>800</v>
      </c>
      <c r="H13" s="614" t="s">
        <v>801</v>
      </c>
      <c r="I13" t="s">
        <v>802</v>
      </c>
      <c r="K13" s="616" t="s">
        <v>800</v>
      </c>
      <c r="L13" s="614" t="s">
        <v>842</v>
      </c>
      <c r="M13" t="s">
        <v>1</v>
      </c>
      <c r="O13" s="616" t="s">
        <v>800</v>
      </c>
      <c r="P13" s="614" t="s">
        <v>850</v>
      </c>
      <c r="Q13" s="37" t="s">
        <v>704</v>
      </c>
    </row>
    <row r="14" spans="2:17" x14ac:dyDescent="0.25">
      <c r="E14" s="615"/>
      <c r="F14" s="615"/>
      <c r="G14" s="615"/>
      <c r="H14" s="614" t="s">
        <v>803</v>
      </c>
      <c r="I14" t="s">
        <v>804</v>
      </c>
      <c r="K14" s="615"/>
      <c r="L14" s="614"/>
      <c r="O14" s="615"/>
      <c r="P14" s="614" t="s">
        <v>851</v>
      </c>
      <c r="Q14" s="37" t="s">
        <v>677</v>
      </c>
    </row>
    <row r="15" spans="2:17" x14ac:dyDescent="0.25">
      <c r="E15" s="615"/>
      <c r="F15" s="615"/>
      <c r="G15" s="615"/>
      <c r="H15" s="614" t="s">
        <v>805</v>
      </c>
      <c r="I15" t="s">
        <v>806</v>
      </c>
      <c r="K15" s="615"/>
      <c r="L15" s="614"/>
      <c r="O15" s="615"/>
      <c r="P15" s="614" t="s">
        <v>852</v>
      </c>
      <c r="Q15" s="37" t="s">
        <v>484</v>
      </c>
    </row>
    <row r="16" spans="2:17" x14ac:dyDescent="0.25">
      <c r="E16" s="615"/>
      <c r="F16" s="615"/>
      <c r="G16" s="615"/>
      <c r="H16" s="614" t="s">
        <v>807</v>
      </c>
      <c r="I16" t="s">
        <v>808</v>
      </c>
      <c r="K16" s="615"/>
      <c r="L16" s="614"/>
      <c r="O16" s="615"/>
      <c r="P16" s="614" t="s">
        <v>853</v>
      </c>
      <c r="Q16" s="37" t="s">
        <v>485</v>
      </c>
    </row>
    <row r="17" spans="5:17" x14ac:dyDescent="0.25">
      <c r="E17" s="615"/>
      <c r="F17" s="615"/>
      <c r="G17" s="615"/>
      <c r="P17" s="614" t="s">
        <v>854</v>
      </c>
      <c r="Q17" s="37" t="s">
        <v>490</v>
      </c>
    </row>
    <row r="18" spans="5:17" x14ac:dyDescent="0.25">
      <c r="E18" s="615"/>
      <c r="F18" s="615"/>
      <c r="G18" s="616" t="s">
        <v>798</v>
      </c>
      <c r="H18" s="617" t="s">
        <v>809</v>
      </c>
      <c r="I18" s="1" t="s">
        <v>508</v>
      </c>
      <c r="K18" s="616" t="s">
        <v>798</v>
      </c>
      <c r="L18" s="617" t="s">
        <v>843</v>
      </c>
      <c r="M18" s="1" t="s">
        <v>844</v>
      </c>
      <c r="P18" s="614" t="s">
        <v>855</v>
      </c>
      <c r="Q18" s="37" t="s">
        <v>494</v>
      </c>
    </row>
    <row r="19" spans="5:17" x14ac:dyDescent="0.25">
      <c r="E19" s="615"/>
      <c r="F19" s="615"/>
      <c r="G19" s="616" t="s">
        <v>800</v>
      </c>
      <c r="H19" s="614" t="s">
        <v>810</v>
      </c>
      <c r="I19" t="s">
        <v>811</v>
      </c>
      <c r="K19" s="616" t="s">
        <v>800</v>
      </c>
      <c r="L19" s="614" t="s">
        <v>845</v>
      </c>
      <c r="M19" t="s">
        <v>844</v>
      </c>
      <c r="P19" s="614" t="s">
        <v>856</v>
      </c>
      <c r="Q19" s="37" t="s">
        <v>493</v>
      </c>
    </row>
    <row r="20" spans="5:17" x14ac:dyDescent="0.25">
      <c r="E20" s="615"/>
      <c r="F20" s="615"/>
      <c r="G20" s="615"/>
      <c r="H20" s="614" t="s">
        <v>812</v>
      </c>
      <c r="I20" t="s">
        <v>813</v>
      </c>
      <c r="K20" s="615"/>
      <c r="L20" s="614"/>
      <c r="P20" s="614" t="s">
        <v>857</v>
      </c>
      <c r="Q20" s="37" t="s">
        <v>621</v>
      </c>
    </row>
    <row r="21" spans="5:17" x14ac:dyDescent="0.25">
      <c r="E21" s="615"/>
      <c r="F21" s="615"/>
      <c r="G21" s="615"/>
      <c r="P21" s="614" t="s">
        <v>858</v>
      </c>
      <c r="Q21" s="37" t="s">
        <v>682</v>
      </c>
    </row>
    <row r="22" spans="5:17" x14ac:dyDescent="0.25">
      <c r="E22" s="615"/>
      <c r="F22" s="615"/>
      <c r="G22" s="615"/>
      <c r="P22" s="614" t="s">
        <v>859</v>
      </c>
      <c r="Q22" s="37" t="s">
        <v>725</v>
      </c>
    </row>
    <row r="23" spans="5:17" x14ac:dyDescent="0.25">
      <c r="E23" s="615"/>
      <c r="F23" s="615"/>
      <c r="G23" s="616" t="s">
        <v>798</v>
      </c>
      <c r="H23" s="617" t="s">
        <v>814</v>
      </c>
      <c r="I23" s="1" t="s">
        <v>644</v>
      </c>
      <c r="K23" s="616" t="s">
        <v>798</v>
      </c>
      <c r="L23" s="617" t="s">
        <v>846</v>
      </c>
      <c r="M23" s="1" t="s">
        <v>847</v>
      </c>
      <c r="P23" s="614" t="s">
        <v>860</v>
      </c>
      <c r="Q23" s="37" t="s">
        <v>761</v>
      </c>
    </row>
    <row r="24" spans="5:17" x14ac:dyDescent="0.25">
      <c r="E24" s="615"/>
      <c r="F24" s="615"/>
      <c r="G24" s="616" t="s">
        <v>800</v>
      </c>
      <c r="H24" s="614" t="s">
        <v>815</v>
      </c>
      <c r="I24" t="s">
        <v>816</v>
      </c>
      <c r="K24" s="616" t="s">
        <v>800</v>
      </c>
      <c r="L24" s="614" t="s">
        <v>845</v>
      </c>
      <c r="M24" t="s">
        <v>847</v>
      </c>
      <c r="P24" s="614" t="s">
        <v>891</v>
      </c>
      <c r="Q24" s="37" t="s">
        <v>375</v>
      </c>
    </row>
    <row r="25" spans="5:17" ht="34.5" x14ac:dyDescent="0.25">
      <c r="E25" s="615"/>
      <c r="F25" s="615"/>
      <c r="G25" s="615"/>
      <c r="P25" s="619" t="s">
        <v>892</v>
      </c>
      <c r="Q25" s="366" t="s">
        <v>376</v>
      </c>
    </row>
    <row r="26" spans="5:17" x14ac:dyDescent="0.25">
      <c r="E26" s="615"/>
      <c r="F26" s="615"/>
      <c r="G26" s="616" t="s">
        <v>798</v>
      </c>
      <c r="H26" s="617" t="s">
        <v>817</v>
      </c>
      <c r="I26" s="1" t="s">
        <v>647</v>
      </c>
      <c r="P26" s="614" t="s">
        <v>896</v>
      </c>
      <c r="Q26" s="37" t="s">
        <v>477</v>
      </c>
    </row>
    <row r="27" spans="5:17" x14ac:dyDescent="0.25">
      <c r="E27" s="615"/>
      <c r="F27" s="615"/>
      <c r="G27" s="616" t="s">
        <v>800</v>
      </c>
      <c r="H27" s="614" t="s">
        <v>818</v>
      </c>
      <c r="I27" t="s">
        <v>647</v>
      </c>
      <c r="P27" s="614" t="s">
        <v>913</v>
      </c>
      <c r="Q27" s="37" t="s">
        <v>395</v>
      </c>
    </row>
    <row r="28" spans="5:17" x14ac:dyDescent="0.25">
      <c r="E28" s="615"/>
      <c r="F28" s="615"/>
      <c r="G28" s="616"/>
      <c r="P28" s="614" t="s">
        <v>914</v>
      </c>
      <c r="Q28" s="37" t="s">
        <v>508</v>
      </c>
    </row>
    <row r="29" spans="5:17" x14ac:dyDescent="0.25">
      <c r="E29" s="615"/>
      <c r="F29" s="615"/>
      <c r="G29" s="616"/>
    </row>
    <row r="30" spans="5:17" x14ac:dyDescent="0.25">
      <c r="E30" s="615"/>
      <c r="F30" s="615"/>
      <c r="G30" s="616"/>
    </row>
    <row r="31" spans="5:17" x14ac:dyDescent="0.25">
      <c r="O31" s="616" t="s">
        <v>798</v>
      </c>
      <c r="P31" s="617" t="s">
        <v>861</v>
      </c>
      <c r="Q31" s="37" t="s">
        <v>869</v>
      </c>
    </row>
    <row r="32" spans="5:17" x14ac:dyDescent="0.25">
      <c r="O32" s="616" t="s">
        <v>800</v>
      </c>
      <c r="P32" s="614" t="s">
        <v>862</v>
      </c>
      <c r="Q32" s="37" t="s">
        <v>866</v>
      </c>
    </row>
    <row r="33" spans="15:17" x14ac:dyDescent="0.25">
      <c r="P33" s="614" t="s">
        <v>865</v>
      </c>
      <c r="Q33" s="37" t="s">
        <v>503</v>
      </c>
    </row>
    <row r="34" spans="15:17" x14ac:dyDescent="0.25">
      <c r="P34" s="614"/>
    </row>
    <row r="35" spans="15:17" x14ac:dyDescent="0.25">
      <c r="P35" s="614"/>
    </row>
    <row r="36" spans="15:17" x14ac:dyDescent="0.25">
      <c r="P36" s="614"/>
    </row>
    <row r="37" spans="15:17" x14ac:dyDescent="0.25">
      <c r="O37" s="616" t="s">
        <v>798</v>
      </c>
      <c r="P37" s="617" t="s">
        <v>868</v>
      </c>
      <c r="Q37" s="79" t="s">
        <v>310</v>
      </c>
    </row>
    <row r="38" spans="15:17" x14ac:dyDescent="0.25">
      <c r="O38" s="616" t="s">
        <v>800</v>
      </c>
      <c r="P38" s="614" t="s">
        <v>870</v>
      </c>
      <c r="Q38" s="37" t="s">
        <v>310</v>
      </c>
    </row>
    <row r="39" spans="15:17" x14ac:dyDescent="0.25">
      <c r="P39" s="614" t="s">
        <v>871</v>
      </c>
      <c r="Q39" s="37" t="s">
        <v>480</v>
      </c>
    </row>
    <row r="40" spans="15:17" x14ac:dyDescent="0.25">
      <c r="P40" s="614" t="s">
        <v>872</v>
      </c>
      <c r="Q40" t="s">
        <v>759</v>
      </c>
    </row>
    <row r="41" spans="15:17" x14ac:dyDescent="0.25">
      <c r="P41" s="614" t="s">
        <v>873</v>
      </c>
      <c r="Q41" t="s">
        <v>760</v>
      </c>
    </row>
    <row r="42" spans="15:17" x14ac:dyDescent="0.25">
      <c r="P42" s="614" t="s">
        <v>874</v>
      </c>
      <c r="Q42" t="s">
        <v>401</v>
      </c>
    </row>
    <row r="43" spans="15:17" x14ac:dyDescent="0.25">
      <c r="P43" s="614" t="s">
        <v>895</v>
      </c>
      <c r="Q43" s="37" t="s">
        <v>577</v>
      </c>
    </row>
    <row r="44" spans="15:17" x14ac:dyDescent="0.25">
      <c r="P44" s="614" t="s">
        <v>1055</v>
      </c>
      <c r="Q44" s="37" t="s">
        <v>1052</v>
      </c>
    </row>
    <row r="47" spans="15:17" x14ac:dyDescent="0.25">
      <c r="O47" s="616" t="s">
        <v>798</v>
      </c>
      <c r="P47" s="617" t="s">
        <v>876</v>
      </c>
      <c r="Q47" s="37" t="s">
        <v>875</v>
      </c>
    </row>
    <row r="48" spans="15:17" x14ac:dyDescent="0.25">
      <c r="O48" s="616" t="s">
        <v>800</v>
      </c>
      <c r="P48">
        <v>30401</v>
      </c>
      <c r="Q48" t="s">
        <v>614</v>
      </c>
    </row>
    <row r="49" spans="15:17" x14ac:dyDescent="0.25">
      <c r="P49">
        <v>30402</v>
      </c>
      <c r="Q49" t="s">
        <v>758</v>
      </c>
    </row>
    <row r="50" spans="15:17" x14ac:dyDescent="0.25">
      <c r="P50">
        <v>30403</v>
      </c>
      <c r="Q50" t="s">
        <v>735</v>
      </c>
    </row>
    <row r="51" spans="15:17" x14ac:dyDescent="0.25">
      <c r="P51">
        <v>30404</v>
      </c>
      <c r="Q51" t="s">
        <v>680</v>
      </c>
    </row>
    <row r="52" spans="15:17" x14ac:dyDescent="0.25">
      <c r="P52">
        <v>30405</v>
      </c>
      <c r="Q52" t="s">
        <v>371</v>
      </c>
    </row>
    <row r="57" spans="15:17" x14ac:dyDescent="0.25">
      <c r="O57" s="616" t="s">
        <v>798</v>
      </c>
      <c r="P57" s="617" t="s">
        <v>877</v>
      </c>
      <c r="Q57" s="344" t="s">
        <v>509</v>
      </c>
    </row>
    <row r="58" spans="15:17" ht="24.75" x14ac:dyDescent="0.25">
      <c r="O58" s="616" t="s">
        <v>800</v>
      </c>
      <c r="P58" s="614" t="s">
        <v>878</v>
      </c>
      <c r="Q58" s="344" t="s">
        <v>881</v>
      </c>
    </row>
    <row r="59" spans="15:17" ht="24.75" x14ac:dyDescent="0.25">
      <c r="P59" s="614" t="s">
        <v>879</v>
      </c>
      <c r="Q59" s="344" t="s">
        <v>372</v>
      </c>
    </row>
    <row r="60" spans="15:17" ht="39" x14ac:dyDescent="0.25">
      <c r="P60" s="614" t="s">
        <v>880</v>
      </c>
      <c r="Q60" s="618" t="s">
        <v>695</v>
      </c>
    </row>
    <row r="61" spans="15:17" x14ac:dyDescent="0.25">
      <c r="P61" s="614"/>
    </row>
    <row r="64" spans="15:17" x14ac:dyDescent="0.25">
      <c r="O64" s="616" t="s">
        <v>798</v>
      </c>
      <c r="P64" s="617" t="s">
        <v>887</v>
      </c>
      <c r="Q64" s="344" t="s">
        <v>897</v>
      </c>
    </row>
    <row r="65" spans="15:17" x14ac:dyDescent="0.25">
      <c r="O65" s="616" t="s">
        <v>800</v>
      </c>
      <c r="P65" s="614" t="s">
        <v>888</v>
      </c>
      <c r="Q65" s="344" t="s">
        <v>675</v>
      </c>
    </row>
    <row r="66" spans="15:17" ht="24.75" x14ac:dyDescent="0.25">
      <c r="P66" s="614" t="s">
        <v>889</v>
      </c>
      <c r="Q66" s="344" t="s">
        <v>701</v>
      </c>
    </row>
    <row r="67" spans="15:17" x14ac:dyDescent="0.25">
      <c r="P67" s="614"/>
      <c r="Q67" s="344"/>
    </row>
    <row r="71" spans="15:17" x14ac:dyDescent="0.25">
      <c r="O71" s="616" t="s">
        <v>798</v>
      </c>
      <c r="P71" s="617" t="s">
        <v>898</v>
      </c>
      <c r="Q71" s="37" t="s">
        <v>867</v>
      </c>
    </row>
    <row r="72" spans="15:17" x14ac:dyDescent="0.25">
      <c r="O72" s="616" t="s">
        <v>800</v>
      </c>
      <c r="P72" s="614" t="s">
        <v>899</v>
      </c>
      <c r="Q72" s="37" t="s">
        <v>864</v>
      </c>
    </row>
    <row r="73" spans="15:17" x14ac:dyDescent="0.25">
      <c r="P73" s="614" t="s">
        <v>900</v>
      </c>
      <c r="Q73" s="37" t="s">
        <v>575</v>
      </c>
    </row>
    <row r="74" spans="15:17" x14ac:dyDescent="0.25">
      <c r="P74" s="614" t="s">
        <v>901</v>
      </c>
      <c r="Q74" s="37" t="s">
        <v>564</v>
      </c>
    </row>
    <row r="75" spans="15:17" x14ac:dyDescent="0.25">
      <c r="P75" s="614" t="s">
        <v>902</v>
      </c>
      <c r="Q75" s="37" t="s">
        <v>479</v>
      </c>
    </row>
    <row r="76" spans="15:17" x14ac:dyDescent="0.25">
      <c r="P76" s="614" t="s">
        <v>903</v>
      </c>
      <c r="Q76" s="37" t="s">
        <v>565</v>
      </c>
    </row>
    <row r="77" spans="15:17" x14ac:dyDescent="0.25">
      <c r="P77" s="614" t="s">
        <v>904</v>
      </c>
      <c r="Q77" s="37" t="s">
        <v>737</v>
      </c>
    </row>
    <row r="78" spans="15:17" x14ac:dyDescent="0.25">
      <c r="P78" s="614" t="s">
        <v>905</v>
      </c>
      <c r="Q78" s="37" t="s">
        <v>576</v>
      </c>
    </row>
    <row r="79" spans="15:17" x14ac:dyDescent="0.25">
      <c r="P79" s="614" t="s">
        <v>906</v>
      </c>
      <c r="Q79" s="37" t="s">
        <v>674</v>
      </c>
    </row>
    <row r="80" spans="15:17" x14ac:dyDescent="0.25">
      <c r="P80" s="614" t="s">
        <v>907</v>
      </c>
      <c r="Q80" s="37" t="s">
        <v>894</v>
      </c>
    </row>
    <row r="81" spans="15:17" x14ac:dyDescent="0.25">
      <c r="P81" s="614"/>
    </row>
    <row r="82" spans="15:17" x14ac:dyDescent="0.25">
      <c r="P82" s="614"/>
    </row>
    <row r="86" spans="15:17" x14ac:dyDescent="0.25">
      <c r="O86" s="616" t="s">
        <v>798</v>
      </c>
      <c r="P86" s="617" t="s">
        <v>908</v>
      </c>
      <c r="Q86" s="37" t="s">
        <v>863</v>
      </c>
    </row>
    <row r="87" spans="15:17" ht="30" customHeight="1" x14ac:dyDescent="0.25">
      <c r="O87" s="616" t="s">
        <v>800</v>
      </c>
      <c r="P87" s="614" t="s">
        <v>909</v>
      </c>
      <c r="Q87" s="366" t="s">
        <v>500</v>
      </c>
    </row>
    <row r="88" spans="15:17" x14ac:dyDescent="0.25">
      <c r="P88" s="614" t="s">
        <v>910</v>
      </c>
      <c r="Q88" s="366" t="s">
        <v>501</v>
      </c>
    </row>
    <row r="89" spans="15:17" ht="23.25" x14ac:dyDescent="0.25">
      <c r="P89" s="614" t="s">
        <v>911</v>
      </c>
      <c r="Q89" s="366" t="s">
        <v>497</v>
      </c>
    </row>
    <row r="90" spans="15:17" ht="23.25" x14ac:dyDescent="0.25">
      <c r="P90" s="614" t="s">
        <v>912</v>
      </c>
      <c r="Q90" s="366" t="s">
        <v>498</v>
      </c>
    </row>
  </sheetData>
  <phoneticPr fontId="39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0DD3-AE2A-444D-A39A-322DC930A8DA}">
  <sheetPr codeName="Hoja1">
    <tabColor rgb="FF00B050"/>
  </sheetPr>
  <dimension ref="A1:AR149"/>
  <sheetViews>
    <sheetView zoomScale="60" zoomScaleNormal="60" zoomScaleSheetLayoutView="70" workbookViewId="0">
      <pane xSplit="4" ySplit="7" topLeftCell="E42" activePane="bottomRight" state="frozen"/>
      <selection pane="topRight" activeCell="D1" sqref="D1"/>
      <selection pane="bottomLeft" activeCell="A8" sqref="A8"/>
      <selection pane="bottomRight" activeCell="F54" sqref="F54"/>
    </sheetView>
  </sheetViews>
  <sheetFormatPr baseColWidth="10" defaultRowHeight="15.75" x14ac:dyDescent="0.25"/>
  <cols>
    <col min="1" max="1" width="10.140625" customWidth="1"/>
    <col min="2" max="3" width="32" style="10" customWidth="1"/>
    <col min="4" max="4" width="18.7109375" style="369" customWidth="1"/>
    <col min="5" max="5" width="20.42578125" style="333" customWidth="1"/>
    <col min="6" max="6" width="12.140625" style="333" customWidth="1"/>
    <col min="7" max="8" width="13.140625" style="333" customWidth="1"/>
    <col min="9" max="9" width="20.42578125" style="10" customWidth="1"/>
    <col min="10" max="10" width="15.42578125" style="622" customWidth="1"/>
    <col min="11" max="13" width="16.7109375" style="167" customWidth="1"/>
    <col min="14" max="14" width="17.28515625" style="185" customWidth="1"/>
    <col min="15" max="15" width="20.85546875" style="345" customWidth="1"/>
    <col min="16" max="16" width="17.85546875" style="345" customWidth="1"/>
    <col min="17" max="17" width="17.85546875" style="404" customWidth="1"/>
    <col min="18" max="18" width="16.42578125" style="404" customWidth="1"/>
    <col min="19" max="19" width="13.140625" style="515" customWidth="1"/>
    <col min="20" max="20" width="30.5703125" style="529" bestFit="1" customWidth="1"/>
    <col min="21" max="21" width="24.85546875" style="502" bestFit="1" customWidth="1"/>
    <col min="22" max="22" width="13.5703125" style="359" customWidth="1"/>
    <col min="23" max="23" width="18.42578125" style="436" customWidth="1"/>
    <col min="24" max="24" width="18.42578125" style="388" customWidth="1"/>
    <col min="25" max="25" width="18.42578125" style="436" customWidth="1"/>
    <col min="26" max="26" width="13.7109375" style="388" customWidth="1"/>
    <col min="27" max="28" width="18.42578125" style="388" customWidth="1"/>
    <col min="29" max="29" width="18.42578125" style="436" customWidth="1"/>
    <col min="30" max="30" width="14.7109375" style="388" customWidth="1"/>
    <col min="31" max="31" width="20" style="388" customWidth="1"/>
    <col min="32" max="33" width="18.42578125" style="388" customWidth="1"/>
    <col min="34" max="34" width="18.5703125" style="13" customWidth="1"/>
    <col min="35" max="35" width="17" style="20" customWidth="1"/>
    <col min="36" max="36" width="19.140625" style="20" customWidth="1"/>
    <col min="37" max="37" width="19.42578125" style="14" customWidth="1"/>
    <col min="38" max="38" width="25.85546875" customWidth="1"/>
    <col min="39" max="39" width="25.85546875" style="626" customWidth="1"/>
    <col min="40" max="40" width="33.140625" hidden="1" customWidth="1"/>
    <col min="42" max="42" width="16.28515625" customWidth="1"/>
    <col min="43" max="43" width="7.140625" customWidth="1"/>
  </cols>
  <sheetData>
    <row r="1" spans="1:44" ht="23.25" x14ac:dyDescent="0.25">
      <c r="E1" s="329" t="s">
        <v>1060</v>
      </c>
      <c r="N1" s="379"/>
      <c r="O1" s="441" t="s">
        <v>670</v>
      </c>
      <c r="P1" s="441"/>
      <c r="Q1" s="611"/>
      <c r="R1" s="403"/>
    </row>
    <row r="2" spans="1:44" ht="18.75" x14ac:dyDescent="0.3">
      <c r="A2" s="1459" t="s">
        <v>1061</v>
      </c>
      <c r="B2" s="1459"/>
      <c r="C2" s="648"/>
      <c r="N2" s="379"/>
      <c r="O2" s="442" t="s">
        <v>665</v>
      </c>
      <c r="P2" s="442"/>
      <c r="Q2" s="612"/>
      <c r="R2" s="403"/>
    </row>
    <row r="3" spans="1:44" ht="26.25" thickBot="1" x14ac:dyDescent="0.3">
      <c r="N3" s="379"/>
      <c r="O3" s="441" t="s">
        <v>666</v>
      </c>
      <c r="P3" s="441"/>
      <c r="Q3" s="611"/>
      <c r="R3" s="403"/>
    </row>
    <row r="4" spans="1:44" ht="16.5" thickBot="1" x14ac:dyDescent="0.3">
      <c r="N4" s="379"/>
      <c r="O4" s="441" t="s">
        <v>667</v>
      </c>
      <c r="P4" s="441"/>
      <c r="Q4" s="611"/>
      <c r="R4" s="403"/>
      <c r="U4" s="1460" t="s">
        <v>764</v>
      </c>
      <c r="V4" s="1461"/>
      <c r="W4" s="1461"/>
      <c r="X4" s="1462"/>
      <c r="Y4" s="1463" t="s">
        <v>769</v>
      </c>
      <c r="Z4" s="1464"/>
      <c r="AA4" s="1464"/>
      <c r="AB4" s="1465"/>
      <c r="AC4" s="1466" t="s">
        <v>768</v>
      </c>
      <c r="AD4" s="1467"/>
      <c r="AE4" s="1467"/>
      <c r="AF4" s="1468"/>
      <c r="AG4" s="512"/>
    </row>
    <row r="5" spans="1:44" ht="27" thickBot="1" x14ac:dyDescent="0.45">
      <c r="E5" s="1469" t="s">
        <v>653</v>
      </c>
      <c r="F5" s="1470"/>
      <c r="G5" s="1470"/>
      <c r="H5" s="1470"/>
      <c r="I5" s="1470"/>
      <c r="J5" s="625" t="s">
        <v>1056</v>
      </c>
      <c r="N5" s="379"/>
      <c r="O5" s="380"/>
      <c r="P5" s="380"/>
      <c r="Q5" s="403"/>
      <c r="R5" s="403"/>
      <c r="U5" s="1472" t="s">
        <v>743</v>
      </c>
      <c r="V5" s="1472"/>
      <c r="W5" s="1472"/>
      <c r="X5" s="1473"/>
      <c r="Y5" s="1474" t="s">
        <v>743</v>
      </c>
      <c r="Z5" s="1474"/>
      <c r="AA5" s="1474"/>
      <c r="AB5" s="1475"/>
      <c r="AC5" s="1476" t="s">
        <v>743</v>
      </c>
      <c r="AD5" s="1476"/>
      <c r="AE5" s="1476"/>
      <c r="AF5" s="1477"/>
      <c r="AG5" s="512"/>
      <c r="AH5" s="1456" t="s">
        <v>536</v>
      </c>
      <c r="AI5" s="1457"/>
      <c r="AJ5" s="1457"/>
      <c r="AK5" s="1458"/>
    </row>
    <row r="6" spans="1:44" ht="16.5" hidden="1" thickBot="1" x14ac:dyDescent="0.3">
      <c r="E6" s="646"/>
      <c r="J6" s="647"/>
      <c r="T6" s="530"/>
      <c r="U6" s="503"/>
      <c r="W6" s="437"/>
      <c r="X6" s="389"/>
      <c r="Y6" s="449"/>
      <c r="Z6" s="448"/>
      <c r="AA6" s="449"/>
      <c r="AB6" s="450"/>
      <c r="AC6" s="455"/>
      <c r="AD6" s="454"/>
      <c r="AE6" s="455"/>
      <c r="AF6" s="456"/>
      <c r="AG6" s="389"/>
      <c r="AH6" s="15" t="s">
        <v>58</v>
      </c>
      <c r="AI6" s="16" t="s">
        <v>59</v>
      </c>
      <c r="AJ6" s="16" t="s">
        <v>60</v>
      </c>
    </row>
    <row r="7" spans="1:44" ht="37.5" customHeight="1" thickBot="1" x14ac:dyDescent="0.3">
      <c r="A7" s="677" t="s">
        <v>61</v>
      </c>
      <c r="B7" s="678" t="s">
        <v>62</v>
      </c>
      <c r="C7" s="679" t="s">
        <v>1094</v>
      </c>
      <c r="D7" s="680" t="s">
        <v>463</v>
      </c>
      <c r="E7" s="681" t="s">
        <v>650</v>
      </c>
      <c r="F7" s="681" t="s">
        <v>1090</v>
      </c>
      <c r="G7" s="681" t="s">
        <v>651</v>
      </c>
      <c r="H7" s="682" t="s">
        <v>652</v>
      </c>
      <c r="I7" s="682" t="s">
        <v>1089</v>
      </c>
      <c r="J7" s="683" t="s">
        <v>486</v>
      </c>
      <c r="K7" s="684" t="s">
        <v>504</v>
      </c>
      <c r="L7" s="685" t="s">
        <v>1148</v>
      </c>
      <c r="M7" s="685" t="s">
        <v>1149</v>
      </c>
      <c r="N7" s="686" t="s">
        <v>63</v>
      </c>
      <c r="O7" s="687" t="s">
        <v>762</v>
      </c>
      <c r="P7" s="687" t="s">
        <v>763</v>
      </c>
      <c r="Q7" s="688" t="s">
        <v>412</v>
      </c>
      <c r="R7" s="689" t="s">
        <v>660</v>
      </c>
      <c r="S7" s="690" t="s">
        <v>539</v>
      </c>
      <c r="T7" s="691" t="s">
        <v>659</v>
      </c>
      <c r="U7" s="692" t="s">
        <v>770</v>
      </c>
      <c r="V7" s="693" t="s">
        <v>777</v>
      </c>
      <c r="W7" s="694" t="s">
        <v>774</v>
      </c>
      <c r="X7" s="695" t="s">
        <v>744</v>
      </c>
      <c r="Y7" s="696" t="s">
        <v>765</v>
      </c>
      <c r="Z7" s="697" t="s">
        <v>778</v>
      </c>
      <c r="AA7" s="696" t="s">
        <v>775</v>
      </c>
      <c r="AB7" s="698" t="s">
        <v>766</v>
      </c>
      <c r="AC7" s="699" t="s">
        <v>771</v>
      </c>
      <c r="AD7" s="700" t="s">
        <v>784</v>
      </c>
      <c r="AE7" s="699" t="s">
        <v>776</v>
      </c>
      <c r="AF7" s="701" t="s">
        <v>767</v>
      </c>
      <c r="AG7" s="702" t="s">
        <v>772</v>
      </c>
      <c r="AH7" s="703" t="s">
        <v>64</v>
      </c>
      <c r="AI7" s="704" t="s">
        <v>65</v>
      </c>
      <c r="AJ7" s="704" t="s">
        <v>66</v>
      </c>
      <c r="AK7" s="704" t="s">
        <v>67</v>
      </c>
      <c r="AL7" s="250" t="s">
        <v>359</v>
      </c>
      <c r="AM7" s="627" t="s">
        <v>1059</v>
      </c>
      <c r="AN7" s="30" t="s">
        <v>303</v>
      </c>
    </row>
    <row r="8" spans="1:44" ht="34.9" customHeight="1" x14ac:dyDescent="0.25">
      <c r="A8" s="49" t="s">
        <v>68</v>
      </c>
      <c r="B8" s="9" t="s">
        <v>69</v>
      </c>
      <c r="C8" s="9" t="s">
        <v>1095</v>
      </c>
      <c r="D8" s="240" t="s">
        <v>464</v>
      </c>
      <c r="E8" s="329" t="s">
        <v>654</v>
      </c>
      <c r="F8" s="329" t="s">
        <v>797</v>
      </c>
      <c r="G8" s="329" t="s">
        <v>642</v>
      </c>
      <c r="H8" s="645" t="s">
        <v>801</v>
      </c>
      <c r="I8" s="329" t="s">
        <v>655</v>
      </c>
      <c r="J8" s="623" t="s">
        <v>691</v>
      </c>
      <c r="K8" s="171"/>
      <c r="L8" s="337" t="s">
        <v>1146</v>
      </c>
      <c r="M8" s="538" t="s">
        <v>1150</v>
      </c>
      <c r="N8" s="189" t="s">
        <v>70</v>
      </c>
      <c r="O8" s="588">
        <f>'RECETAS JARABES'!G68</f>
        <v>2046.4421121811333</v>
      </c>
      <c r="P8" s="588">
        <f>'Gtos Varios'!$B$22</f>
        <v>3070.542857142857</v>
      </c>
      <c r="Q8" s="598">
        <f>+LISTPROD[[#This Row],[PRECIO DE PRODUCCIÓN POR UND]]+LISTPROD[[#This Row],[TOTAL GASTOS VARIOS]]</f>
        <v>5116.9849693239903</v>
      </c>
      <c r="R8" s="510">
        <f>'RECETAS JARABES'!G73</f>
        <v>3088.4609405778119</v>
      </c>
      <c r="S8" s="387">
        <f>'RECETAS JARABES'!H73</f>
        <v>0.54</v>
      </c>
      <c r="T8" s="368">
        <f>'RECETAS JARABES'!G74</f>
        <v>8807.833052758946</v>
      </c>
      <c r="U8" s="435">
        <v>8000</v>
      </c>
      <c r="V8" s="589">
        <f>(LISTPROD[[#This Row],[PRECIO DE VENTA 1]]-LISTPROD[[#This Row],[COSTO TOTAL UNIDAD]])/LISTPROD[[#This Row],[COSTO TOTAL UNIDAD]]</f>
        <v>0.56342065649195905</v>
      </c>
      <c r="W8" s="435">
        <f>LISTPROD[[#This Row],[% GANANCIA]]*LISTPROD[[#This Row],[COSTO TOTAL UNIDAD]]</f>
        <v>2883.0150306760097</v>
      </c>
      <c r="X8" s="590">
        <f>+LISTPROD[[#This Row],[PRECIO DE VENTA 1]]-LISTPROD[[#This Row],[PRECIO VENTA POR RECETA]]</f>
        <v>-807.833052758946</v>
      </c>
      <c r="Y8" s="435"/>
      <c r="Z8" s="589"/>
      <c r="AA8" s="590"/>
      <c r="AB8" s="590"/>
      <c r="AC8" s="435">
        <v>0</v>
      </c>
      <c r="AD8" s="590"/>
      <c r="AE8" s="590"/>
      <c r="AF8" s="590"/>
      <c r="AG8" s="590"/>
      <c r="AH8" s="88">
        <v>8000</v>
      </c>
      <c r="AI8" s="88">
        <v>0</v>
      </c>
      <c r="AJ8" s="88">
        <v>0</v>
      </c>
      <c r="AK8" s="88">
        <v>0</v>
      </c>
      <c r="AL8" s="656"/>
      <c r="AM8" s="626" t="s">
        <v>728</v>
      </c>
      <c r="AN8" t="s">
        <v>304</v>
      </c>
    </row>
    <row r="9" spans="1:44" ht="34.9" customHeight="1" thickBot="1" x14ac:dyDescent="0.3">
      <c r="A9" s="44" t="s">
        <v>71</v>
      </c>
      <c r="B9" s="19" t="s">
        <v>787</v>
      </c>
      <c r="C9" s="19" t="s">
        <v>1096</v>
      </c>
      <c r="D9" s="240" t="s">
        <v>465</v>
      </c>
      <c r="E9" s="329" t="s">
        <v>654</v>
      </c>
      <c r="F9" s="329" t="s">
        <v>797</v>
      </c>
      <c r="G9" s="329" t="s">
        <v>642</v>
      </c>
      <c r="H9" s="329" t="s">
        <v>803</v>
      </c>
      <c r="I9" s="329" t="s">
        <v>747</v>
      </c>
      <c r="J9" s="623" t="s">
        <v>491</v>
      </c>
      <c r="K9" s="171"/>
      <c r="L9" s="538" t="s">
        <v>1145</v>
      </c>
      <c r="M9" s="538" t="s">
        <v>1145</v>
      </c>
      <c r="N9" s="187" t="s">
        <v>73</v>
      </c>
      <c r="O9" s="588">
        <f>'RECETAS JARABES'!G98</f>
        <v>2074.0653388665546</v>
      </c>
      <c r="P9" s="588">
        <f>'Gtos Varios'!$B$22</f>
        <v>3070.542857142857</v>
      </c>
      <c r="Q9" s="598">
        <f>+LISTPROD[[#This Row],[PRECIO DE PRODUCCIÓN POR UND]]+LISTPROD[[#This Row],[TOTAL GASTOS VARIOS]]</f>
        <v>5144.6081960094116</v>
      </c>
      <c r="R9" s="591">
        <f>'RECETAS JARABES'!G103</f>
        <v>3390.7272499312671</v>
      </c>
      <c r="S9" s="387">
        <f>'RECETAS JARABES'!$H$103</f>
        <v>0.59</v>
      </c>
      <c r="T9" s="368">
        <f>'RECETAS JARABES'!$G$104</f>
        <v>9137.722588797822</v>
      </c>
      <c r="U9" s="435">
        <v>7500</v>
      </c>
      <c r="V9" s="589">
        <f>(LISTPROD[[#This Row],[PRECIO DE VENTA 1]]-LISTPROD[[#This Row],[COSTO TOTAL UNIDAD]])/LISTPROD[[#This Row],[COSTO TOTAL UNIDAD]]</f>
        <v>0.45783696527514522</v>
      </c>
      <c r="W9" s="435">
        <f>LISTPROD[[#This Row],[% GANANCIA]]*LISTPROD[[#This Row],[COSTO TOTAL UNIDAD]]</f>
        <v>2355.3918039905884</v>
      </c>
      <c r="X9" s="590">
        <f>+LISTPROD[[#This Row],[PRECIO DE VENTA 1]]-LISTPROD[[#This Row],[PRECIO VENTA POR RECETA]]</f>
        <v>-1637.722588797822</v>
      </c>
      <c r="Y9" s="435"/>
      <c r="Z9" s="589"/>
      <c r="AA9" s="590"/>
      <c r="AB9" s="590"/>
      <c r="AC9" s="435">
        <v>0</v>
      </c>
      <c r="AD9" s="590"/>
      <c r="AE9" s="590"/>
      <c r="AF9" s="590"/>
      <c r="AG9" s="590"/>
      <c r="AH9" s="88">
        <v>7500</v>
      </c>
      <c r="AI9" s="88">
        <v>0</v>
      </c>
      <c r="AJ9" s="88">
        <v>0</v>
      </c>
      <c r="AK9" s="88">
        <v>0</v>
      </c>
      <c r="AL9" s="40"/>
      <c r="AN9" t="s">
        <v>568</v>
      </c>
      <c r="AR9" s="1" t="s">
        <v>75</v>
      </c>
    </row>
    <row r="10" spans="1:44" ht="34.9" customHeight="1" thickBot="1" x14ac:dyDescent="0.3">
      <c r="A10" s="49" t="s">
        <v>76</v>
      </c>
      <c r="B10" s="9" t="s">
        <v>77</v>
      </c>
      <c r="C10" s="9" t="s">
        <v>77</v>
      </c>
      <c r="D10" s="240" t="s">
        <v>464</v>
      </c>
      <c r="E10" s="329" t="s">
        <v>654</v>
      </c>
      <c r="F10" s="329" t="s">
        <v>797</v>
      </c>
      <c r="G10" s="329" t="s">
        <v>642</v>
      </c>
      <c r="H10" s="645" t="s">
        <v>801</v>
      </c>
      <c r="I10" s="329" t="s">
        <v>655</v>
      </c>
      <c r="J10" s="623" t="s">
        <v>691</v>
      </c>
      <c r="K10" s="171"/>
      <c r="L10" s="337" t="s">
        <v>1146</v>
      </c>
      <c r="M10" s="538" t="s">
        <v>1150</v>
      </c>
      <c r="N10" s="187" t="s">
        <v>70</v>
      </c>
      <c r="O10" s="588">
        <f>'RECETAS JARABES'!G132</f>
        <v>1088.0282785913896</v>
      </c>
      <c r="P10" s="588">
        <f>'Gtos Varios'!$B$22</f>
        <v>3070.542857142857</v>
      </c>
      <c r="Q10" s="598">
        <f>+LISTPROD[[#This Row],[PRECIO DE PRODUCCIÓN POR UND]]+LISTPROD[[#This Row],[TOTAL GASTOS VARIOS]]</f>
        <v>4158.5711357342461</v>
      </c>
      <c r="R10" s="591">
        <f>'RECETAS JARABES'!G137</f>
        <v>3475.4995433717145</v>
      </c>
      <c r="S10" s="387">
        <f>'RECETAS JARABES'!$H$137</f>
        <v>0.73</v>
      </c>
      <c r="T10" s="368">
        <f>'RECETAS JARABES'!$G$138</f>
        <v>8236.4578219631039</v>
      </c>
      <c r="U10" s="435">
        <v>7000</v>
      </c>
      <c r="V10" s="589">
        <f>(LISTPROD[[#This Row],[PRECIO DE VENTA 1]]-LISTPROD[[#This Row],[COSTO TOTAL UNIDAD]])/LISTPROD[[#This Row],[COSTO TOTAL UNIDAD]]</f>
        <v>0.68327047236239358</v>
      </c>
      <c r="W10" s="435">
        <f>LISTPROD[[#This Row],[% GANANCIA]]*LISTPROD[[#This Row],[COSTO TOTAL UNIDAD]]</f>
        <v>2841.4288642657539</v>
      </c>
      <c r="X10" s="590">
        <f>+LISTPROD[[#This Row],[PRECIO DE VENTA 1]]-LISTPROD[[#This Row],[PRECIO VENTA POR RECETA]]</f>
        <v>-1236.4578219631039</v>
      </c>
      <c r="Y10" s="435"/>
      <c r="Z10" s="589"/>
      <c r="AA10" s="590"/>
      <c r="AB10" s="590"/>
      <c r="AC10" s="435">
        <v>0</v>
      </c>
      <c r="AD10" s="590"/>
      <c r="AE10" s="590"/>
      <c r="AF10" s="590"/>
      <c r="AG10" s="590"/>
      <c r="AH10" s="88">
        <v>7000</v>
      </c>
      <c r="AI10" s="88">
        <v>0</v>
      </c>
      <c r="AJ10" s="88">
        <v>0</v>
      </c>
      <c r="AK10" s="88">
        <v>0</v>
      </c>
      <c r="AL10" s="40"/>
      <c r="AN10" t="s">
        <v>304</v>
      </c>
      <c r="AR10" s="481" t="s">
        <v>78</v>
      </c>
    </row>
    <row r="11" spans="1:44" ht="34.9" customHeight="1" thickBot="1" x14ac:dyDescent="0.3">
      <c r="A11" s="49" t="s">
        <v>79</v>
      </c>
      <c r="B11" s="9" t="s">
        <v>80</v>
      </c>
      <c r="C11" s="171" t="s">
        <v>80</v>
      </c>
      <c r="D11" s="240" t="s">
        <v>464</v>
      </c>
      <c r="E11" s="329" t="s">
        <v>654</v>
      </c>
      <c r="F11" s="329"/>
      <c r="G11" s="329" t="s">
        <v>642</v>
      </c>
      <c r="H11" s="329"/>
      <c r="I11" s="329" t="s">
        <v>655</v>
      </c>
      <c r="J11" s="623" t="s">
        <v>487</v>
      </c>
      <c r="K11" s="171"/>
      <c r="L11" s="654"/>
      <c r="M11" s="654"/>
      <c r="N11" s="189" t="s">
        <v>74</v>
      </c>
      <c r="O11" s="588">
        <f>'RECETAS JARABES'!G167</f>
        <v>2134.0638814985091</v>
      </c>
      <c r="P11" s="588">
        <f>'Gtos Varios'!$B$22</f>
        <v>3070.542857142857</v>
      </c>
      <c r="Q11" s="598">
        <f>+LISTPROD[[#This Row],[PRECIO DE PRODUCCIÓN POR UND]]+LISTPROD[[#This Row],[TOTAL GASTOS VARIOS]]</f>
        <v>5204.6067386413661</v>
      </c>
      <c r="R11" s="510">
        <f>'RECETAS JARABES'!G172</f>
        <v>3368.0564512691349</v>
      </c>
      <c r="S11" s="387">
        <f>'RECETAS JARABES'!$H$172</f>
        <v>0.57999999999999996</v>
      </c>
      <c r="T11" s="368">
        <f>'RECETAS JARABES'!$G$173</f>
        <v>9175.0503327676433</v>
      </c>
      <c r="U11" s="435">
        <v>6000</v>
      </c>
      <c r="V11" s="589">
        <f>(LISTPROD[[#This Row],[PRECIO DE VENTA 1]]-LISTPROD[[#This Row],[COSTO TOTAL UNIDAD]])/LISTPROD[[#This Row],[COSTO TOTAL UNIDAD]]</f>
        <v>0.15282485330798826</v>
      </c>
      <c r="W11" s="435">
        <f>LISTPROD[[#This Row],[% GANANCIA]]*LISTPROD[[#This Row],[COSTO TOTAL UNIDAD]]</f>
        <v>795.39326135863394</v>
      </c>
      <c r="X11" s="590">
        <f>+LISTPROD[[#This Row],[PRECIO DE VENTA 1]]-LISTPROD[[#This Row],[PRECIO VENTA POR RECETA]]</f>
        <v>-3175.0503327676433</v>
      </c>
      <c r="Y11" s="435">
        <v>5000</v>
      </c>
      <c r="Z11" s="592">
        <f>(LISTPROD[[#This Row],[PRECIO DE VENTA2]]-LISTPROD[[#This Row],[COSTO TOTAL UNIDAD]])/LISTPROD[[#This Row],[COSTO TOTAL UNIDAD]]</f>
        <v>-3.9312622243343122E-2</v>
      </c>
      <c r="AA11" s="435">
        <f>+LISTPROD[[#This Row],[% GANANCIA2]]*LISTPROD[[#This Row],[COSTO TOTAL UNIDAD]]</f>
        <v>-204.60673864136606</v>
      </c>
      <c r="AB11" s="590">
        <f>LISTPROD[[#This Row],[PRECIO DE VENTA2]]-LISTPROD[[#This Row],[PRECIO VENTA POR RECETA]]</f>
        <v>-4175.0503327676433</v>
      </c>
      <c r="AC11" s="435">
        <v>5000</v>
      </c>
      <c r="AD11" s="592">
        <f>(LISTPROD[[#This Row],[PRECIO DE VENTA 3]]-LISTPROD[[#This Row],[COSTO TOTAL UNIDAD]])/LISTPROD[[#This Row],[COSTO TOTAL UNIDAD]]</f>
        <v>-3.9312622243343122E-2</v>
      </c>
      <c r="AE11" s="435">
        <f>LISTPROD[[#This Row],[% GANANCIA3]]*LISTPROD[[#This Row],[COSTO TOTAL UNIDAD]]</f>
        <v>-204.60673864136606</v>
      </c>
      <c r="AF11" s="590"/>
      <c r="AG11" s="590"/>
      <c r="AH11" s="88">
        <v>6000</v>
      </c>
      <c r="AI11" s="88">
        <v>5000</v>
      </c>
      <c r="AJ11" s="88">
        <v>5000</v>
      </c>
      <c r="AK11" s="88">
        <v>5000</v>
      </c>
      <c r="AL11" s="40"/>
      <c r="AN11" t="s">
        <v>304</v>
      </c>
      <c r="AR11" s="657" t="s">
        <v>81</v>
      </c>
    </row>
    <row r="12" spans="1:44" ht="34.9" customHeight="1" thickBot="1" x14ac:dyDescent="0.3">
      <c r="A12" s="49" t="s">
        <v>82</v>
      </c>
      <c r="B12" s="9" t="s">
        <v>83</v>
      </c>
      <c r="C12" s="171" t="s">
        <v>83</v>
      </c>
      <c r="D12" s="240" t="s">
        <v>671</v>
      </c>
      <c r="E12" s="538" t="s">
        <v>654</v>
      </c>
      <c r="F12" s="329"/>
      <c r="G12" s="329" t="s">
        <v>611</v>
      </c>
      <c r="H12" s="329"/>
      <c r="I12" s="329" t="s">
        <v>672</v>
      </c>
      <c r="J12" s="623"/>
      <c r="K12" s="171"/>
      <c r="L12" s="654"/>
      <c r="M12" s="654"/>
      <c r="N12" s="189" t="s">
        <v>74</v>
      </c>
      <c r="O12" s="588">
        <f>'RECETAS PASTILLAS'!G16</f>
        <v>2450</v>
      </c>
      <c r="P12" s="588">
        <f>'Gtos Varios'!$B$22</f>
        <v>3070.542857142857</v>
      </c>
      <c r="Q12" s="598">
        <f>+LISTPROD[[#This Row],[TOTAL GASTOS VARIOS]]+LISTPROD[[#This Row],[PRECIO DE PRODUCCIÓN POR UND]]</f>
        <v>5520.5428571428565</v>
      </c>
      <c r="R12" s="510">
        <f>'RECETAS PASTILLAS'!G21</f>
        <v>3367.6115000000004</v>
      </c>
      <c r="S12" s="387">
        <f>'RECETAS PASTILLAS'!H21</f>
        <v>0.55000000000000004</v>
      </c>
      <c r="T12" s="368">
        <f>'RECETAS PASTILLAS'!G22</f>
        <v>9490.5415000000012</v>
      </c>
      <c r="U12" s="435">
        <v>3200</v>
      </c>
      <c r="V12" s="592">
        <f>(LISTPROD[[#This Row],[PRECIO DE VENTA 1]]-LISTPROD[[#This Row],[COSTO TOTAL UNIDAD]])/LISTPROD[[#This Row],[COSTO TOTAL UNIDAD]]</f>
        <v>-0.42034686029841778</v>
      </c>
      <c r="W12" s="368">
        <f>LISTPROD[[#This Row],[% GANANCIA]]*LISTPROD[[#This Row],[COSTO TOTAL UNIDAD]]</f>
        <v>-2320.5428571428565</v>
      </c>
      <c r="X12" s="399"/>
      <c r="Y12" s="435">
        <v>3200</v>
      </c>
      <c r="Z12" s="592">
        <f>(LISTPROD[[#This Row],[PRECIO DE VENTA2]]-LISTPROD[[#This Row],[COSTO TOTAL UNIDAD]])/LISTPROD[[#This Row],[COSTO TOTAL UNIDAD]]</f>
        <v>-0.42034686029841778</v>
      </c>
      <c r="AA12" s="368">
        <f>LISTPROD[[#This Row],[PRECIO DE VENTA2]]*LISTPROD[[#This Row],[% GANANCIA2]]</f>
        <v>-1345.1099529549369</v>
      </c>
      <c r="AB12" s="590"/>
      <c r="AC12" s="435">
        <v>3200</v>
      </c>
      <c r="AD12" s="592">
        <f>(LISTPROD[[#This Row],[PRECIO DE VENTA 3]]-LISTPROD[[#This Row],[COSTO TOTAL UNIDAD]])/LISTPROD[[#This Row],[COSTO TOTAL UNIDAD]]</f>
        <v>-0.42034686029841778</v>
      </c>
      <c r="AE12" s="368">
        <f>+LISTPROD[[#This Row],[PRECIO DE VENTA 3]]*LISTPROD[[#This Row],[% GANANCIA3]]</f>
        <v>-1345.1099529549369</v>
      </c>
      <c r="AF12" s="399"/>
      <c r="AG12" s="593" t="s">
        <v>773</v>
      </c>
      <c r="AH12" s="88">
        <v>3200</v>
      </c>
      <c r="AI12" s="88">
        <v>3200</v>
      </c>
      <c r="AJ12" s="88">
        <v>3200</v>
      </c>
      <c r="AK12" s="88">
        <v>3200</v>
      </c>
      <c r="AL12" s="40"/>
      <c r="AN12" t="s">
        <v>315</v>
      </c>
      <c r="AR12" s="657" t="s">
        <v>84</v>
      </c>
    </row>
    <row r="13" spans="1:44" ht="34.9" customHeight="1" x14ac:dyDescent="0.25">
      <c r="A13" s="44" t="s">
        <v>85</v>
      </c>
      <c r="B13" s="19" t="s">
        <v>86</v>
      </c>
      <c r="C13" s="19" t="s">
        <v>1097</v>
      </c>
      <c r="D13" s="240" t="s">
        <v>464</v>
      </c>
      <c r="E13" s="329" t="s">
        <v>654</v>
      </c>
      <c r="F13" s="329" t="s">
        <v>797</v>
      </c>
      <c r="G13" s="329" t="s">
        <v>642</v>
      </c>
      <c r="H13" s="645" t="s">
        <v>801</v>
      </c>
      <c r="I13" s="329" t="s">
        <v>655</v>
      </c>
      <c r="J13" s="623" t="s">
        <v>691</v>
      </c>
      <c r="K13" s="171"/>
      <c r="L13" s="337" t="s">
        <v>1146</v>
      </c>
      <c r="M13" s="538" t="s">
        <v>1150</v>
      </c>
      <c r="N13" s="187" t="s">
        <v>70</v>
      </c>
      <c r="O13" s="588">
        <f>'RECETAS JARABES'!G200</f>
        <v>949.47360366506098</v>
      </c>
      <c r="P13" s="588">
        <f>'Gtos Varios'!$B$22</f>
        <v>3070.542857142857</v>
      </c>
      <c r="Q13" s="598">
        <f>+LISTPROD[[#This Row],[PRECIO DE PRODUCCIÓN POR UND]]+LISTPROD[[#This Row],[TOTAL GASTOS VARIOS]]</f>
        <v>4020.0164608079181</v>
      </c>
      <c r="R13" s="591">
        <f>'RECETAS JARABES'!G205</f>
        <v>3374.3546306754943</v>
      </c>
      <c r="S13" s="387">
        <f>'RECETAS JARABES'!H205</f>
        <v>0.73</v>
      </c>
      <c r="T13" s="368">
        <f>'RECETAS JARABES'!G206</f>
        <v>7996.7582343405547</v>
      </c>
      <c r="U13" s="435">
        <v>7000</v>
      </c>
      <c r="V13" s="589">
        <f>(LISTPROD[[#This Row],[PRECIO DE VENTA 1]]-LISTPROD[[#This Row],[COSTO TOTAL UNIDAD]])/LISTPROD[[#This Row],[COSTO TOTAL UNIDAD]]</f>
        <v>0.74128640224353293</v>
      </c>
      <c r="W13" s="435">
        <f>LISTPROD[[#This Row],[% GANANCIA]]*LISTPROD[[#This Row],[COSTO TOTAL UNIDAD]]</f>
        <v>2979.9835391920819</v>
      </c>
      <c r="X13" s="590">
        <f>+LISTPROD[[#This Row],[PRECIO DE VENTA 1]]-LISTPROD[[#This Row],[PRECIO VENTA POR RECETA]]</f>
        <v>-996.75823434055474</v>
      </c>
      <c r="Y13" s="435"/>
      <c r="Z13" s="589"/>
      <c r="AA13" s="435"/>
      <c r="AB13" s="590"/>
      <c r="AC13" s="435"/>
      <c r="AD13" s="592"/>
      <c r="AE13" s="435"/>
      <c r="AF13" s="590"/>
      <c r="AG13" s="590"/>
      <c r="AH13" s="88">
        <v>7000</v>
      </c>
      <c r="AI13" s="88">
        <v>0</v>
      </c>
      <c r="AJ13" s="88">
        <v>0</v>
      </c>
      <c r="AK13" s="88">
        <v>0</v>
      </c>
      <c r="AL13" s="40"/>
      <c r="AM13" s="626" t="s">
        <v>728</v>
      </c>
      <c r="AN13" t="s">
        <v>304</v>
      </c>
    </row>
    <row r="14" spans="1:44" ht="34.9" customHeight="1" x14ac:dyDescent="0.25">
      <c r="A14" s="44" t="s">
        <v>87</v>
      </c>
      <c r="B14" s="19" t="s">
        <v>88</v>
      </c>
      <c r="C14" s="160" t="s">
        <v>88</v>
      </c>
      <c r="D14" s="240" t="s">
        <v>464</v>
      </c>
      <c r="E14" s="329" t="s">
        <v>654</v>
      </c>
      <c r="F14" s="329"/>
      <c r="G14" s="329" t="s">
        <v>642</v>
      </c>
      <c r="H14" s="329"/>
      <c r="I14" s="329" t="s">
        <v>655</v>
      </c>
      <c r="J14" s="623" t="s">
        <v>487</v>
      </c>
      <c r="K14" s="171"/>
      <c r="L14" s="654"/>
      <c r="M14" s="654"/>
      <c r="N14" s="187" t="s">
        <v>74</v>
      </c>
      <c r="O14" s="588">
        <f>'RECETAS JARABES'!G232</f>
        <v>2388.8635636594613</v>
      </c>
      <c r="P14" s="588">
        <f>'Gtos Varios'!$B$22</f>
        <v>3070.542857142857</v>
      </c>
      <c r="Q14" s="598">
        <f>+LISTPROD[[#This Row],[PRECIO DE PRODUCCIÓN POR UND]]+LISTPROD[[#This Row],[TOTAL GASTOS VARIOS]]</f>
        <v>5459.4064208023183</v>
      </c>
      <c r="R14" s="591">
        <f>'RECETAS JARABES'!G237</f>
        <v>3333.9864600127039</v>
      </c>
      <c r="S14" s="387">
        <f>'RECETAS JARABES'!H237</f>
        <v>0.55000000000000004</v>
      </c>
      <c r="T14" s="368">
        <f>'RECETAS JARABES'!G238</f>
        <v>9395.780023672165</v>
      </c>
      <c r="U14" s="435">
        <v>6000</v>
      </c>
      <c r="V14" s="589">
        <f>(LISTPROD[[#This Row],[PRECIO DE VENTA 1]]-LISTPROD[[#This Row],[COSTO TOTAL UNIDAD]])/LISTPROD[[#This Row],[COSTO TOTAL UNIDAD]]</f>
        <v>9.9020577976723645E-2</v>
      </c>
      <c r="W14" s="435">
        <f>LISTPROD[[#This Row],[% GANANCIA]]*LISTPROD[[#This Row],[COSTO TOTAL UNIDAD]]</f>
        <v>540.59357919768172</v>
      </c>
      <c r="X14" s="590">
        <f>+LISTPROD[[#This Row],[PRECIO DE VENTA 1]]-LISTPROD[[#This Row],[PRECIO VENTA POR RECETA]]</f>
        <v>-3395.780023672165</v>
      </c>
      <c r="Y14" s="435">
        <v>5000</v>
      </c>
      <c r="Z14" s="592">
        <f>(LISTPROD[[#This Row],[PRECIO DE VENTA2]]-LISTPROD[[#This Row],[COSTO TOTAL UNIDAD]])/LISTPROD[[#This Row],[COSTO TOTAL UNIDAD]]</f>
        <v>-8.4149518352730296E-2</v>
      </c>
      <c r="AA14" s="435">
        <f>+LISTPROD[[#This Row],[% GANANCIA2]]*LISTPROD[[#This Row],[COSTO TOTAL UNIDAD]]</f>
        <v>-459.40642080231828</v>
      </c>
      <c r="AB14" s="590">
        <f>LISTPROD[[#This Row],[PRECIO DE VENTA2]]-LISTPROD[[#This Row],[PRECIO VENTA POR RECETA]]</f>
        <v>-4395.780023672165</v>
      </c>
      <c r="AC14" s="435">
        <v>5000</v>
      </c>
      <c r="AD14" s="592">
        <f>(LISTPROD[[#This Row],[PRECIO DE VENTA 3]]-LISTPROD[[#This Row],[COSTO TOTAL UNIDAD]])/LISTPROD[[#This Row],[COSTO TOTAL UNIDAD]]</f>
        <v>-8.4149518352730296E-2</v>
      </c>
      <c r="AE14" s="435">
        <f>LISTPROD[[#This Row],[% GANANCIA3]]*LISTPROD[[#This Row],[COSTO TOTAL UNIDAD]]</f>
        <v>-459.40642080231828</v>
      </c>
      <c r="AF14" s="590"/>
      <c r="AG14" s="590"/>
      <c r="AH14" s="88">
        <v>6000</v>
      </c>
      <c r="AI14" s="88">
        <v>5000</v>
      </c>
      <c r="AJ14" s="88">
        <v>5000</v>
      </c>
      <c r="AK14" s="88">
        <v>5000</v>
      </c>
      <c r="AL14" s="40"/>
      <c r="AN14" s="11" t="s">
        <v>305</v>
      </c>
    </row>
    <row r="15" spans="1:44" ht="34.9" customHeight="1" x14ac:dyDescent="0.25">
      <c r="A15" s="49" t="s">
        <v>89</v>
      </c>
      <c r="B15" s="9" t="s">
        <v>90</v>
      </c>
      <c r="C15" s="171" t="s">
        <v>90</v>
      </c>
      <c r="D15" s="240" t="s">
        <v>464</v>
      </c>
      <c r="E15" s="329" t="s">
        <v>654</v>
      </c>
      <c r="F15" s="329"/>
      <c r="G15" s="329" t="s">
        <v>642</v>
      </c>
      <c r="H15" s="329"/>
      <c r="I15" s="329" t="s">
        <v>655</v>
      </c>
      <c r="J15" s="623" t="s">
        <v>703</v>
      </c>
      <c r="K15" s="171"/>
      <c r="L15" s="654"/>
      <c r="M15" s="654"/>
      <c r="N15" s="189" t="s">
        <v>74</v>
      </c>
      <c r="O15" s="588">
        <f>'RECETAS JARABES'!G264</f>
        <v>984.66725751121487</v>
      </c>
      <c r="P15" s="588">
        <f>'Gtos Varios'!$B$22</f>
        <v>3070.542857142857</v>
      </c>
      <c r="Q15" s="598">
        <f>+LISTPROD[[#This Row],[PRECIO DE PRODUCCIÓN POR UND]]+LISTPROD[[#This Row],[TOTAL GASTOS VARIOS]]</f>
        <v>4055.2101146540717</v>
      </c>
      <c r="R15" s="510">
        <f>'RECETAS JARABES'!G269</f>
        <v>3353.4700254080744</v>
      </c>
      <c r="S15" s="387">
        <f>'RECETAS JARABES'!H269</f>
        <v>0.72</v>
      </c>
      <c r="T15" s="368">
        <f>'RECETAS JARABES'!G270</f>
        <v>8011.067282919289</v>
      </c>
      <c r="U15" s="435">
        <v>7000</v>
      </c>
      <c r="V15" s="589">
        <f>(LISTPROD[[#This Row],[PRECIO DE VENTA 1]]-LISTPROD[[#This Row],[COSTO TOTAL UNIDAD]])/LISTPROD[[#This Row],[COSTO TOTAL UNIDAD]]</f>
        <v>0.72617442797958021</v>
      </c>
      <c r="W15" s="435">
        <f>LISTPROD[[#This Row],[% GANANCIA]]*LISTPROD[[#This Row],[COSTO TOTAL UNIDAD]]</f>
        <v>2944.7898853459283</v>
      </c>
      <c r="X15" s="590">
        <f>+LISTPROD[[#This Row],[PRECIO DE VENTA 1]]-LISTPROD[[#This Row],[PRECIO VENTA POR RECETA]]</f>
        <v>-1011.067282919289</v>
      </c>
      <c r="Y15" s="435">
        <v>5000</v>
      </c>
      <c r="Z15" s="589">
        <f>(LISTPROD[[#This Row],[PRECIO DE VENTA2]]-LISTPROD[[#This Row],[COSTO TOTAL UNIDAD]])/LISTPROD[[#This Row],[COSTO TOTAL UNIDAD]]</f>
        <v>0.2329817342711287</v>
      </c>
      <c r="AA15" s="435">
        <f>+LISTPROD[[#This Row],[% GANANCIA2]]*LISTPROD[[#This Row],[COSTO TOTAL UNIDAD]]</f>
        <v>944.78988534592827</v>
      </c>
      <c r="AB15" s="590">
        <f>LISTPROD[[#This Row],[PRECIO DE VENTA2]]-LISTPROD[[#This Row],[PRECIO VENTA POR RECETA]]</f>
        <v>-3011.067282919289</v>
      </c>
      <c r="AC15" s="435">
        <v>5000</v>
      </c>
      <c r="AD15" s="592">
        <f>(LISTPROD[[#This Row],[PRECIO DE VENTA 3]]-LISTPROD[[#This Row],[COSTO TOTAL UNIDAD]])/LISTPROD[[#This Row],[COSTO TOTAL UNIDAD]]</f>
        <v>0.2329817342711287</v>
      </c>
      <c r="AE15" s="435">
        <f>LISTPROD[[#This Row],[% GANANCIA3]]*LISTPROD[[#This Row],[COSTO TOTAL UNIDAD]]</f>
        <v>944.78988534592827</v>
      </c>
      <c r="AF15" s="590"/>
      <c r="AG15" s="590"/>
      <c r="AH15" s="88">
        <v>7000</v>
      </c>
      <c r="AI15" s="88">
        <v>5000</v>
      </c>
      <c r="AJ15" s="88">
        <v>5000</v>
      </c>
      <c r="AK15" s="88">
        <v>5000</v>
      </c>
      <c r="AL15" s="40"/>
      <c r="AN15" t="s">
        <v>304</v>
      </c>
    </row>
    <row r="16" spans="1:44" ht="34.9" customHeight="1" x14ac:dyDescent="0.25">
      <c r="A16" s="44" t="s">
        <v>91</v>
      </c>
      <c r="B16" s="19" t="s">
        <v>788</v>
      </c>
      <c r="C16" s="19" t="s">
        <v>1098</v>
      </c>
      <c r="D16" s="240" t="s">
        <v>465</v>
      </c>
      <c r="E16" s="329" t="s">
        <v>654</v>
      </c>
      <c r="F16" s="329" t="s">
        <v>797</v>
      </c>
      <c r="G16" s="329" t="s">
        <v>642</v>
      </c>
      <c r="H16" s="329" t="s">
        <v>803</v>
      </c>
      <c r="I16" s="329" t="s">
        <v>747</v>
      </c>
      <c r="J16" s="658" t="s">
        <v>491</v>
      </c>
      <c r="K16" s="171"/>
      <c r="L16" s="538" t="s">
        <v>1145</v>
      </c>
      <c r="M16" s="538" t="s">
        <v>1145</v>
      </c>
      <c r="N16" s="187" t="s">
        <v>73</v>
      </c>
      <c r="O16" s="588">
        <f>'RECETAS JARABES'!G295</f>
        <v>2745.6158752301908</v>
      </c>
      <c r="P16" s="588">
        <f>'Gtos Varios'!$B$22</f>
        <v>3070.542857142857</v>
      </c>
      <c r="Q16" s="598">
        <f>+LISTPROD[[#This Row],[PRECIO DE PRODUCCIÓN POR UND]]+LISTPROD[[#This Row],[TOTAL GASTOS VARIOS]]</f>
        <v>5816.1587323730473</v>
      </c>
      <c r="R16" s="591">
        <f>'RECETAS JARABES'!$G$300</f>
        <v>3337.6438551196993</v>
      </c>
      <c r="S16" s="387">
        <f>'RECETAS JARABES'!H300</f>
        <v>0.52</v>
      </c>
      <c r="T16" s="368">
        <f>'RECETAS JARABES'!G301</f>
        <v>9756.1897303498899</v>
      </c>
      <c r="U16" s="435">
        <v>7500</v>
      </c>
      <c r="V16" s="589">
        <f>(LISTPROD[[#This Row],[PRECIO DE VENTA 1]]-LISTPROD[[#This Row],[COSTO TOTAL UNIDAD]])/LISTPROD[[#This Row],[COSTO TOTAL UNIDAD]]</f>
        <v>0.28951088598297758</v>
      </c>
      <c r="W16" s="435">
        <f>LISTPROD[[#This Row],[% GANANCIA]]*LISTPROD[[#This Row],[COSTO TOTAL UNIDAD]]</f>
        <v>1683.8412676269527</v>
      </c>
      <c r="X16" s="590">
        <f>+LISTPROD[[#This Row],[PRECIO DE VENTA 1]]-LISTPROD[[#This Row],[PRECIO VENTA POR RECETA]]</f>
        <v>-2256.1897303498899</v>
      </c>
      <c r="Y16" s="435">
        <v>0</v>
      </c>
      <c r="Z16" s="589"/>
      <c r="AA16" s="435">
        <f>+LISTPROD[[#This Row],[% GANANCIA2]]*LISTPROD[[#This Row],[COSTO TOTAL UNIDAD]]</f>
        <v>0</v>
      </c>
      <c r="AB16" s="590">
        <f>LISTPROD[[#This Row],[PRECIO DE VENTA2]]-LISTPROD[[#This Row],[PRECIO VENTA POR RECETA]]</f>
        <v>-9756.1897303498899</v>
      </c>
      <c r="AC16" s="435"/>
      <c r="AD16" s="592"/>
      <c r="AE16" s="435"/>
      <c r="AF16" s="590"/>
      <c r="AG16" s="590"/>
      <c r="AH16" s="88">
        <v>7500</v>
      </c>
      <c r="AI16" s="88">
        <v>0</v>
      </c>
      <c r="AJ16" s="88">
        <v>0</v>
      </c>
      <c r="AK16" s="88">
        <v>0</v>
      </c>
      <c r="AL16" s="40"/>
      <c r="AN16" t="s">
        <v>304</v>
      </c>
    </row>
    <row r="17" spans="1:40" ht="34.9" customHeight="1" x14ac:dyDescent="0.25">
      <c r="A17" s="49" t="s">
        <v>93</v>
      </c>
      <c r="B17" s="9" t="s">
        <v>323</v>
      </c>
      <c r="C17" s="171" t="s">
        <v>323</v>
      </c>
      <c r="D17" s="240" t="s">
        <v>517</v>
      </c>
      <c r="E17" s="329" t="s">
        <v>654</v>
      </c>
      <c r="F17" s="329" t="s">
        <v>797</v>
      </c>
      <c r="G17" s="329" t="s">
        <v>508</v>
      </c>
      <c r="H17" s="645" t="s">
        <v>812</v>
      </c>
      <c r="I17" s="329" t="s">
        <v>657</v>
      </c>
      <c r="J17" s="623"/>
      <c r="K17" s="171"/>
      <c r="L17" s="654"/>
      <c r="M17" s="654"/>
      <c r="N17" s="189" t="s">
        <v>73</v>
      </c>
      <c r="O17" s="357">
        <f>'RECETAS CAPS'!U19</f>
        <v>3943.7000000000003</v>
      </c>
      <c r="P17" s="588">
        <f>'Gtos Varios'!$B$22</f>
        <v>3070.542857142857</v>
      </c>
      <c r="Q17" s="422">
        <f>+LISTPROD[[#This Row],[TOTAL GASTOS VARIOS]]+LISTPROD[[#This Row],[PRECIO DE PRODUCCIÓN POR UND]]</f>
        <v>7014.2428571428572</v>
      </c>
      <c r="R17" s="422">
        <f>'RECETAS CAPS'!U25</f>
        <v>3351.3172</v>
      </c>
      <c r="S17" s="387">
        <f>'RECETAS CAPS'!V25</f>
        <v>0.44</v>
      </c>
      <c r="T17" s="620">
        <f>'RECETAS CAPS'!U26</f>
        <v>10967.947200000001</v>
      </c>
      <c r="U17" s="620">
        <v>10968</v>
      </c>
      <c r="V17" s="589">
        <f>(LISTPROD[[#This Row],[PRECIO DE VENTA 1]]-LISTPROD[[#This Row],[COSTO TOTAL UNIDAD]])/LISTPROD[[#This Row],[COSTO TOTAL UNIDAD]]</f>
        <v>0.56367554180575441</v>
      </c>
      <c r="W17" s="435">
        <f>LISTPROD[[#This Row],[% GANANCIA]]*LISTPROD[[#This Row],[COSTO TOTAL UNIDAD]]</f>
        <v>3953.7571428571428</v>
      </c>
      <c r="X17" s="393"/>
      <c r="Y17" s="435"/>
      <c r="Z17" s="589"/>
      <c r="AA17" s="435"/>
      <c r="AB17" s="590"/>
      <c r="AC17" s="435"/>
      <c r="AD17" s="393"/>
      <c r="AE17" s="393"/>
      <c r="AF17" s="393"/>
      <c r="AG17" s="393"/>
      <c r="AH17" s="88">
        <v>9600</v>
      </c>
      <c r="AI17" s="308">
        <v>0</v>
      </c>
      <c r="AJ17" s="308">
        <v>0</v>
      </c>
      <c r="AK17" s="308">
        <v>0</v>
      </c>
      <c r="AL17" s="40"/>
      <c r="AM17" s="626" t="s">
        <v>728</v>
      </c>
      <c r="AN17" s="7" t="s">
        <v>304</v>
      </c>
    </row>
    <row r="18" spans="1:40" ht="34.9" customHeight="1" x14ac:dyDescent="0.25">
      <c r="A18" s="44" t="s">
        <v>94</v>
      </c>
      <c r="B18" s="19" t="s">
        <v>95</v>
      </c>
      <c r="C18" s="160" t="s">
        <v>95</v>
      </c>
      <c r="D18" s="240" t="s">
        <v>464</v>
      </c>
      <c r="E18" s="329" t="s">
        <v>654</v>
      </c>
      <c r="F18" s="329"/>
      <c r="G18" s="329" t="s">
        <v>642</v>
      </c>
      <c r="H18" s="329"/>
      <c r="I18" s="329" t="s">
        <v>655</v>
      </c>
      <c r="J18" s="623" t="s">
        <v>487</v>
      </c>
      <c r="K18" s="171"/>
      <c r="L18" s="654"/>
      <c r="M18" s="654"/>
      <c r="N18" s="187" t="s">
        <v>74</v>
      </c>
      <c r="O18" s="588">
        <f>'RECETAS JARABES'!G327</f>
        <v>2482.1170653767663</v>
      </c>
      <c r="P18" s="588">
        <f>'Gtos Varios'!$B$22</f>
        <v>3070.542857142857</v>
      </c>
      <c r="Q18" s="598">
        <f>+LISTPROD[[#This Row],[PRECIO DE PRODUCCIÓN POR UND]]+LISTPROD[[#This Row],[TOTAL GASTOS VARIOS]]</f>
        <v>5552.6599225196233</v>
      </c>
      <c r="R18" s="591">
        <f>'RECETAS JARABES'!$G$332</f>
        <v>3323.7254153034537</v>
      </c>
      <c r="S18" s="387">
        <f>'RECETAS JARABES'!$H$332</f>
        <v>0.54</v>
      </c>
      <c r="T18" s="368">
        <f>'RECETAS JARABES'!$G$333</f>
        <v>9478.7724806802198</v>
      </c>
      <c r="U18" s="435">
        <v>6000</v>
      </c>
      <c r="V18" s="589">
        <f>(LISTPROD[[#This Row],[PRECIO DE VENTA 1]]-LISTPROD[[#This Row],[COSTO TOTAL UNIDAD]])/LISTPROD[[#This Row],[COSTO TOTAL UNIDAD]]</f>
        <v>8.0563204612283876E-2</v>
      </c>
      <c r="W18" s="435">
        <f>LISTPROD[[#This Row],[% GANANCIA]]*LISTPROD[[#This Row],[COSTO TOTAL UNIDAD]]</f>
        <v>447.34007748037675</v>
      </c>
      <c r="X18" s="590">
        <f>+LISTPROD[[#This Row],[PRECIO DE VENTA 1]]-LISTPROD[[#This Row],[PRECIO VENTA POR RECETA]]</f>
        <v>-3478.7724806802198</v>
      </c>
      <c r="Y18" s="435">
        <v>5000</v>
      </c>
      <c r="Z18" s="592">
        <f>(LISTPROD[[#This Row],[PRECIO DE VENTA2]]-LISTPROD[[#This Row],[COSTO TOTAL UNIDAD]])/LISTPROD[[#This Row],[COSTO TOTAL UNIDAD]]</f>
        <v>-9.9530662823096763E-2</v>
      </c>
      <c r="AA18" s="435">
        <f>+LISTPROD[[#This Row],[% GANANCIA2]]*LISTPROD[[#This Row],[COSTO TOTAL UNIDAD]]</f>
        <v>-552.65992251962325</v>
      </c>
      <c r="AB18" s="590">
        <f>LISTPROD[[#This Row],[PRECIO DE VENTA2]]-LISTPROD[[#This Row],[PRECIO VENTA POR RECETA]]</f>
        <v>-4478.7724806802198</v>
      </c>
      <c r="AC18" s="435">
        <v>5000</v>
      </c>
      <c r="AD18" s="592">
        <f>(LISTPROD[[#This Row],[PRECIO DE VENTA 3]]-LISTPROD[[#This Row],[COSTO TOTAL UNIDAD]])/LISTPROD[[#This Row],[COSTO TOTAL UNIDAD]]</f>
        <v>-9.9530662823096763E-2</v>
      </c>
      <c r="AE18" s="435">
        <f>LISTPROD[[#This Row],[% GANANCIA3]]*LISTPROD[[#This Row],[COSTO TOTAL UNIDAD]]</f>
        <v>-552.65992251962325</v>
      </c>
      <c r="AF18" s="590"/>
      <c r="AG18" s="590"/>
      <c r="AH18" s="88">
        <v>6000</v>
      </c>
      <c r="AI18" s="88">
        <v>5000</v>
      </c>
      <c r="AJ18" s="88">
        <v>5000</v>
      </c>
      <c r="AK18" s="88">
        <v>5000</v>
      </c>
      <c r="AL18" s="40"/>
      <c r="AN18" t="s">
        <v>304</v>
      </c>
    </row>
    <row r="19" spans="1:40" ht="34.9" customHeight="1" x14ac:dyDescent="0.25">
      <c r="A19" s="49" t="s">
        <v>97</v>
      </c>
      <c r="B19" s="9" t="s">
        <v>708</v>
      </c>
      <c r="C19" s="171" t="s">
        <v>708</v>
      </c>
      <c r="D19" s="240" t="s">
        <v>464</v>
      </c>
      <c r="E19" s="329" t="s">
        <v>654</v>
      </c>
      <c r="F19" s="329"/>
      <c r="G19" s="329" t="s">
        <v>642</v>
      </c>
      <c r="H19" s="329"/>
      <c r="I19" s="329" t="s">
        <v>655</v>
      </c>
      <c r="J19" s="623" t="s">
        <v>487</v>
      </c>
      <c r="K19" s="171"/>
      <c r="L19" s="654"/>
      <c r="M19" s="654"/>
      <c r="N19" s="189" t="s">
        <v>74</v>
      </c>
      <c r="O19" s="588">
        <f>'RECETAS JARABES'!G364</f>
        <v>2112.0478222634333</v>
      </c>
      <c r="P19" s="588">
        <f>'Gtos Varios'!$B$22</f>
        <v>3070.542857142857</v>
      </c>
      <c r="Q19" s="598">
        <f>+LISTPROD[[#This Row],[PRECIO DE PRODUCCIÓN POR UND]]+LISTPROD[[#This Row],[TOTAL GASTOS VARIOS]]</f>
        <v>5182.5906794062903</v>
      </c>
      <c r="R19" s="510">
        <f>'RECETAS JARABES'!$G$369</f>
        <v>3355.2871369127911</v>
      </c>
      <c r="S19" s="387">
        <f>'RECETAS JARABES'!H369</f>
        <v>0.57999999999999996</v>
      </c>
      <c r="T19" s="368">
        <f>'RECETAS JARABES'!G370</f>
        <v>9140.2649591762238</v>
      </c>
      <c r="U19" s="435">
        <v>6000</v>
      </c>
      <c r="V19" s="589">
        <f>(LISTPROD[[#This Row],[PRECIO DE VENTA 1]]-LISTPROD[[#This Row],[COSTO TOTAL UNIDAD]])/LISTPROD[[#This Row],[COSTO TOTAL UNIDAD]]</f>
        <v>0.15772214538219154</v>
      </c>
      <c r="W19" s="435">
        <f>LISTPROD[[#This Row],[% GANANCIA]]*LISTPROD[[#This Row],[COSTO TOTAL UNIDAD]]</f>
        <v>817.40932059370971</v>
      </c>
      <c r="X19" s="590">
        <f>+LISTPROD[[#This Row],[PRECIO DE VENTA 1]]-LISTPROD[[#This Row],[PRECIO VENTA POR RECETA]]</f>
        <v>-3140.2649591762238</v>
      </c>
      <c r="Y19" s="435">
        <v>5000</v>
      </c>
      <c r="Z19" s="592">
        <f>(LISTPROD[[#This Row],[PRECIO DE VENTA2]]-LISTPROD[[#This Row],[COSTO TOTAL UNIDAD]])/LISTPROD[[#This Row],[COSTO TOTAL UNIDAD]]</f>
        <v>-3.5231545514840389E-2</v>
      </c>
      <c r="AA19" s="435">
        <f>+LISTPROD[[#This Row],[% GANANCIA2]]*LISTPROD[[#This Row],[COSTO TOTAL UNIDAD]]</f>
        <v>-182.59067940629029</v>
      </c>
      <c r="AB19" s="590">
        <f>LISTPROD[[#This Row],[PRECIO DE VENTA2]]-LISTPROD[[#This Row],[PRECIO VENTA POR RECETA]]</f>
        <v>-4140.2649591762238</v>
      </c>
      <c r="AC19" s="435">
        <v>5000</v>
      </c>
      <c r="AD19" s="592">
        <f>(LISTPROD[[#This Row],[PRECIO DE VENTA 3]]-LISTPROD[[#This Row],[COSTO TOTAL UNIDAD]])/LISTPROD[[#This Row],[COSTO TOTAL UNIDAD]]</f>
        <v>-3.5231545514840389E-2</v>
      </c>
      <c r="AE19" s="435">
        <f>LISTPROD[[#This Row],[% GANANCIA3]]*LISTPROD[[#This Row],[COSTO TOTAL UNIDAD]]</f>
        <v>-182.59067940629029</v>
      </c>
      <c r="AF19" s="590"/>
      <c r="AG19" s="590"/>
      <c r="AH19" s="88">
        <v>6000</v>
      </c>
      <c r="AI19" s="88">
        <v>5000</v>
      </c>
      <c r="AJ19" s="88">
        <v>5000</v>
      </c>
      <c r="AK19" s="88">
        <v>5000</v>
      </c>
      <c r="AL19" s="40"/>
      <c r="AN19" t="s">
        <v>304</v>
      </c>
    </row>
    <row r="20" spans="1:40" ht="34.9" customHeight="1" x14ac:dyDescent="0.25">
      <c r="A20" s="44" t="s">
        <v>99</v>
      </c>
      <c r="B20" s="19" t="s">
        <v>1087</v>
      </c>
      <c r="C20" s="19" t="s">
        <v>1099</v>
      </c>
      <c r="D20" s="240" t="s">
        <v>464</v>
      </c>
      <c r="E20" s="329" t="s">
        <v>654</v>
      </c>
      <c r="F20" s="329" t="s">
        <v>797</v>
      </c>
      <c r="G20" s="329" t="s">
        <v>642</v>
      </c>
      <c r="H20" s="645" t="s">
        <v>801</v>
      </c>
      <c r="I20" s="329" t="s">
        <v>655</v>
      </c>
      <c r="J20" s="623" t="s">
        <v>691</v>
      </c>
      <c r="K20" s="171"/>
      <c r="L20" s="337" t="s">
        <v>1146</v>
      </c>
      <c r="M20" s="538" t="s">
        <v>1150</v>
      </c>
      <c r="N20" s="187" t="s">
        <v>70</v>
      </c>
      <c r="O20" s="588">
        <f>'RECETAS JARABES'!G396</f>
        <v>1054.3661993606204</v>
      </c>
      <c r="P20" s="588">
        <f>'Gtos Varios'!$B$22</f>
        <v>3070.542857142857</v>
      </c>
      <c r="Q20" s="598">
        <f>+LISTPROD[[#This Row],[PRECIO DE PRODUCCIÓN POR UND]]+LISTPROD[[#This Row],[TOTAL GASTOS VARIOS]]</f>
        <v>4124.9090565034776</v>
      </c>
      <c r="R20" s="591">
        <f>'RECETAS JARABES'!G401</f>
        <v>3450.9262255332528</v>
      </c>
      <c r="S20" s="387">
        <f>'RECETAS JARABES'!H401</f>
        <v>0.73</v>
      </c>
      <c r="T20" s="368">
        <f>'RECETAS JARABES'!G402</f>
        <v>8178.2224248938728</v>
      </c>
      <c r="U20" s="435">
        <v>7000</v>
      </c>
      <c r="V20" s="589">
        <f>(LISTPROD[[#This Row],[PRECIO DE VENTA 1]]-LISTPROD[[#This Row],[COSTO TOTAL UNIDAD]])/LISTPROD[[#This Row],[COSTO TOTAL UNIDAD]]</f>
        <v>0.69700711072976318</v>
      </c>
      <c r="W20" s="435">
        <f>LISTPROD[[#This Row],[% GANANCIA]]*LISTPROD[[#This Row],[COSTO TOTAL UNIDAD]]</f>
        <v>2875.0909434965224</v>
      </c>
      <c r="X20" s="590">
        <f>+LISTPROD[[#This Row],[PRECIO DE VENTA 1]]-LISTPROD[[#This Row],[PRECIO VENTA POR RECETA]]</f>
        <v>-1178.2224248938728</v>
      </c>
      <c r="Y20" s="435"/>
      <c r="Z20" s="589"/>
      <c r="AA20" s="435"/>
      <c r="AB20" s="590"/>
      <c r="AC20" s="435"/>
      <c r="AD20" s="592"/>
      <c r="AE20" s="435"/>
      <c r="AF20" s="590"/>
      <c r="AG20" s="590"/>
      <c r="AH20" s="88">
        <v>7000</v>
      </c>
      <c r="AI20" s="88">
        <v>0</v>
      </c>
      <c r="AJ20" s="88">
        <v>0</v>
      </c>
      <c r="AK20" s="88">
        <v>0</v>
      </c>
      <c r="AL20" s="40"/>
      <c r="AM20" s="626" t="s">
        <v>728</v>
      </c>
      <c r="AN20" t="s">
        <v>304</v>
      </c>
    </row>
    <row r="21" spans="1:40" ht="34.9" customHeight="1" x14ac:dyDescent="0.25">
      <c r="A21" s="44" t="s">
        <v>100</v>
      </c>
      <c r="B21" s="19" t="s">
        <v>789</v>
      </c>
      <c r="C21" s="19" t="s">
        <v>1100</v>
      </c>
      <c r="D21" s="240" t="s">
        <v>465</v>
      </c>
      <c r="E21" s="329" t="s">
        <v>654</v>
      </c>
      <c r="F21" s="329" t="s">
        <v>797</v>
      </c>
      <c r="G21" s="329" t="s">
        <v>642</v>
      </c>
      <c r="H21" s="329" t="s">
        <v>803</v>
      </c>
      <c r="I21" s="329" t="s">
        <v>747</v>
      </c>
      <c r="J21" s="623" t="s">
        <v>491</v>
      </c>
      <c r="K21" s="171"/>
      <c r="L21" s="538" t="s">
        <v>1145</v>
      </c>
      <c r="M21" s="538" t="s">
        <v>1145</v>
      </c>
      <c r="N21" s="187" t="s">
        <v>73</v>
      </c>
      <c r="O21" s="588">
        <f>'RECETAS JARABES'!G426</f>
        <v>2060.4126852301906</v>
      </c>
      <c r="P21" s="588">
        <f>'Gtos Varios'!$B$22</f>
        <v>3070.542857142857</v>
      </c>
      <c r="Q21" s="598">
        <f>+LISTPROD[[#This Row],[PRECIO DE PRODUCCIÓN POR UND]]+LISTPROD[[#This Row],[TOTAL GASTOS VARIOS]]</f>
        <v>5130.9555423730471</v>
      </c>
      <c r="R21" s="591">
        <f>'RECETAS JARABES'!G431</f>
        <v>3210.6719037289072</v>
      </c>
      <c r="S21" s="387">
        <f>'RECETAS JARABES'!H431</f>
        <v>0.56000000000000005</v>
      </c>
      <c r="T21" s="368">
        <f>'RECETAS JARABES'!G432</f>
        <v>8944.0145889590985</v>
      </c>
      <c r="U21" s="435">
        <v>7500</v>
      </c>
      <c r="V21" s="589">
        <f>(LISTPROD[[#This Row],[PRECIO DE VENTA 1]]-LISTPROD[[#This Row],[COSTO TOTAL UNIDAD]])/LISTPROD[[#This Row],[COSTO TOTAL UNIDAD]]</f>
        <v>0.4617160367231089</v>
      </c>
      <c r="W21" s="435">
        <f>LISTPROD[[#This Row],[% GANANCIA]]*LISTPROD[[#This Row],[COSTO TOTAL UNIDAD]]</f>
        <v>2369.0444576269529</v>
      </c>
      <c r="X21" s="590">
        <f>+LISTPROD[[#This Row],[PRECIO DE VENTA 1]]-LISTPROD[[#This Row],[PRECIO VENTA POR RECETA]]</f>
        <v>-1444.0145889590985</v>
      </c>
      <c r="Y21" s="435"/>
      <c r="Z21" s="589"/>
      <c r="AA21" s="435"/>
      <c r="AB21" s="590"/>
      <c r="AC21" s="435"/>
      <c r="AD21" s="592"/>
      <c r="AE21" s="435"/>
      <c r="AF21" s="590"/>
      <c r="AG21" s="590"/>
      <c r="AH21" s="88">
        <v>7500</v>
      </c>
      <c r="AI21" s="88">
        <v>0</v>
      </c>
      <c r="AJ21" s="88">
        <v>0</v>
      </c>
      <c r="AK21" s="88">
        <v>0</v>
      </c>
      <c r="AL21" s="40"/>
      <c r="AN21" t="s">
        <v>568</v>
      </c>
    </row>
    <row r="22" spans="1:40" ht="34.9" customHeight="1" x14ac:dyDescent="0.25">
      <c r="A22" s="44" t="s">
        <v>102</v>
      </c>
      <c r="B22" s="19" t="s">
        <v>103</v>
      </c>
      <c r="C22" s="160" t="s">
        <v>103</v>
      </c>
      <c r="D22" s="240" t="s">
        <v>464</v>
      </c>
      <c r="E22" s="329" t="s">
        <v>654</v>
      </c>
      <c r="F22" s="329"/>
      <c r="G22" s="329" t="s">
        <v>642</v>
      </c>
      <c r="H22" s="329"/>
      <c r="I22" s="329" t="s">
        <v>655</v>
      </c>
      <c r="J22" s="623" t="s">
        <v>487</v>
      </c>
      <c r="K22" s="171"/>
      <c r="L22" s="654"/>
      <c r="M22" s="654"/>
      <c r="N22" s="187" t="s">
        <v>74</v>
      </c>
      <c r="O22" s="588">
        <f>'RECETAS JARABES'!G460</f>
        <v>2662.4345504221592</v>
      </c>
      <c r="P22" s="588">
        <f>'Gtos Varios'!$B$22</f>
        <v>3070.542857142857</v>
      </c>
      <c r="Q22" s="598">
        <f>+LISTPROD[[#This Row],[PRECIO DE PRODUCCIÓN POR UND]]+LISTPROD[[#This Row],[TOTAL GASTOS VARIOS]]</f>
        <v>5732.9774075650166</v>
      </c>
      <c r="R22" s="591">
        <f>'RECETAS JARABES'!G465</f>
        <v>3357.743211723744</v>
      </c>
      <c r="S22" s="387">
        <f>'RECETAS JARABES'!H465</f>
        <v>0.53</v>
      </c>
      <c r="T22" s="368">
        <f>'RECETAS JARABES'!G466</f>
        <v>9693.1077621459026</v>
      </c>
      <c r="U22" s="435">
        <v>6000</v>
      </c>
      <c r="V22" s="589">
        <f>(LISTPROD[[#This Row],[PRECIO DE VENTA 1]]-LISTPROD[[#This Row],[COSTO TOTAL UNIDAD]])/LISTPROD[[#This Row],[COSTO TOTAL UNIDAD]]</f>
        <v>4.6576599461674251E-2</v>
      </c>
      <c r="W22" s="435">
        <f>LISTPROD[[#This Row],[% GANANCIA]]*LISTPROD[[#This Row],[COSTO TOTAL UNIDAD]]</f>
        <v>267.02259243498338</v>
      </c>
      <c r="X22" s="590">
        <f>+LISTPROD[[#This Row],[PRECIO DE VENTA 1]]-LISTPROD[[#This Row],[PRECIO VENTA POR RECETA]]</f>
        <v>-3693.1077621459026</v>
      </c>
      <c r="Y22" s="435">
        <v>5000</v>
      </c>
      <c r="Z22" s="592">
        <f>(LISTPROD[[#This Row],[PRECIO DE VENTA2]]-LISTPROD[[#This Row],[COSTO TOTAL UNIDAD]])/LISTPROD[[#This Row],[COSTO TOTAL UNIDAD]]</f>
        <v>-0.12785283378193812</v>
      </c>
      <c r="AA22" s="435">
        <f>+LISTPROD[[#This Row],[% GANANCIA2]]*LISTPROD[[#This Row],[COSTO TOTAL UNIDAD]]</f>
        <v>-732.97740756501662</v>
      </c>
      <c r="AB22" s="590">
        <f>LISTPROD[[#This Row],[PRECIO DE VENTA2]]-LISTPROD[[#This Row],[PRECIO VENTA POR RECETA]]</f>
        <v>-4693.1077621459026</v>
      </c>
      <c r="AC22" s="435">
        <v>5000</v>
      </c>
      <c r="AD22" s="592">
        <f>(LISTPROD[[#This Row],[PRECIO DE VENTA 3]]-LISTPROD[[#This Row],[COSTO TOTAL UNIDAD]])/LISTPROD[[#This Row],[COSTO TOTAL UNIDAD]]</f>
        <v>-0.12785283378193812</v>
      </c>
      <c r="AE22" s="435">
        <f>LISTPROD[[#This Row],[% GANANCIA3]]*LISTPROD[[#This Row],[COSTO TOTAL UNIDAD]]</f>
        <v>-732.97740756501662</v>
      </c>
      <c r="AF22" s="590"/>
      <c r="AG22" s="590"/>
      <c r="AH22" s="88">
        <v>6000</v>
      </c>
      <c r="AI22" s="88">
        <v>5000</v>
      </c>
      <c r="AJ22" s="88">
        <v>5000</v>
      </c>
      <c r="AK22" s="88">
        <v>5000</v>
      </c>
      <c r="AL22" s="40"/>
      <c r="AN22" t="s">
        <v>304</v>
      </c>
    </row>
    <row r="23" spans="1:40" ht="34.9" customHeight="1" x14ac:dyDescent="0.25">
      <c r="A23" s="49" t="s">
        <v>104</v>
      </c>
      <c r="B23" s="9" t="s">
        <v>466</v>
      </c>
      <c r="C23" s="171" t="s">
        <v>466</v>
      </c>
      <c r="D23" s="240" t="s">
        <v>1057</v>
      </c>
      <c r="E23" s="329" t="s">
        <v>654</v>
      </c>
      <c r="F23" s="329"/>
      <c r="G23" s="329" t="s">
        <v>644</v>
      </c>
      <c r="H23" s="329"/>
      <c r="I23" s="329" t="s">
        <v>663</v>
      </c>
      <c r="J23" s="623"/>
      <c r="K23" s="171"/>
      <c r="L23" s="654"/>
      <c r="M23" s="654"/>
      <c r="N23" s="189" t="s">
        <v>74</v>
      </c>
      <c r="O23" s="588">
        <f>'RECETAS GOTAS'!$K$151</f>
        <v>1796.5759257</v>
      </c>
      <c r="P23" s="588">
        <f>'Gtos Varios'!B$22</f>
        <v>3070.542857142857</v>
      </c>
      <c r="Q23" s="598">
        <f>+LISTPROD[[#This Row],[TOTAL GASTOS VARIOS]]+LISTPROD[[#This Row],[PRECIO DE PRODUCCIÓN POR UND]]</f>
        <v>4867.1187828428574</v>
      </c>
      <c r="R23" s="510">
        <f>'RECETAS GOTAS'!$K$156</f>
        <v>3391.0936739339995</v>
      </c>
      <c r="S23" s="387">
        <f>'RECETAS GOTAS'!L156</f>
        <v>0.62</v>
      </c>
      <c r="T23" s="368">
        <f>'RECETAS GOTAS'!$K$157</f>
        <v>8860.5995996339989</v>
      </c>
      <c r="U23" s="435">
        <v>3500</v>
      </c>
      <c r="V23" s="592">
        <f>(LISTPROD[[#This Row],[PRECIO DE VENTA 1]]-LISTPROD[[#This Row],[COSTO TOTAL UNIDAD]])/LISTPROD[[#This Row],[COSTO TOTAL UNIDAD]]</f>
        <v>-0.2808887236658586</v>
      </c>
      <c r="W23" s="435">
        <f>LISTPROD[[#This Row],[% GANANCIA]]*LISTPROD[[#This Row],[COSTO TOTAL UNIDAD]]</f>
        <v>-1367.1187828428574</v>
      </c>
      <c r="X23" s="393"/>
      <c r="Y23" s="435"/>
      <c r="Z23" s="589"/>
      <c r="AA23" s="435"/>
      <c r="AB23" s="590"/>
      <c r="AC23" s="435">
        <v>0</v>
      </c>
      <c r="AD23" s="393"/>
      <c r="AE23" s="393"/>
      <c r="AF23" s="393"/>
      <c r="AG23" s="393"/>
      <c r="AH23" s="88">
        <v>3500</v>
      </c>
      <c r="AI23" s="88">
        <v>0</v>
      </c>
      <c r="AJ23" s="88">
        <v>0</v>
      </c>
      <c r="AK23" s="88">
        <v>0</v>
      </c>
      <c r="AL23" s="40"/>
      <c r="AN23" t="s">
        <v>568</v>
      </c>
    </row>
    <row r="24" spans="1:40" ht="34.9" customHeight="1" x14ac:dyDescent="0.25">
      <c r="A24" s="49" t="s">
        <v>1137</v>
      </c>
      <c r="B24" s="9" t="s">
        <v>1138</v>
      </c>
      <c r="C24" s="9" t="s">
        <v>1101</v>
      </c>
      <c r="D24" s="240" t="s">
        <v>1139</v>
      </c>
      <c r="E24" s="329" t="s">
        <v>654</v>
      </c>
      <c r="F24" s="329"/>
      <c r="G24" s="329" t="s">
        <v>644</v>
      </c>
      <c r="H24" s="329"/>
      <c r="I24" s="329" t="s">
        <v>663</v>
      </c>
      <c r="J24" s="623"/>
      <c r="K24" s="171"/>
      <c r="L24" s="538" t="s">
        <v>1145</v>
      </c>
      <c r="M24" s="538" t="s">
        <v>1145</v>
      </c>
      <c r="N24" s="189" t="s">
        <v>74</v>
      </c>
      <c r="O24" s="588">
        <f>'RECETAS GOTAS'!K152</f>
        <v>0</v>
      </c>
      <c r="P24" s="588">
        <f>'Gtos Varios'!$B$22</f>
        <v>3070.542857142857</v>
      </c>
      <c r="Q24" s="598">
        <f>+LISTPROD[[#This Row],[TOTAL GASTOS VARIOS]]+LISTPROD[[#This Row],[PRECIO DE PRODUCCIÓN POR UND]]</f>
        <v>3070.542857142857</v>
      </c>
      <c r="R24" s="510">
        <f>'RECETAS GOTAS'!K157</f>
        <v>8860.5995996339989</v>
      </c>
      <c r="S24" s="387" t="str">
        <f>'RECETAS GOTAS'!L157</f>
        <v>PRECIO DE VENTA</v>
      </c>
      <c r="T24" s="368">
        <f>'RECETAS GOTAS'!K158</f>
        <v>0</v>
      </c>
      <c r="U24" s="435">
        <v>3500</v>
      </c>
      <c r="V24" s="592">
        <f>(LISTPROD[[#This Row],[PRECIO DE VENTA 1]]-LISTPROD[[#This Row],[COSTO TOTAL UNIDAD]])/LISTPROD[[#This Row],[COSTO TOTAL UNIDAD]]</f>
        <v>0.13986358856972714</v>
      </c>
      <c r="W24" s="435">
        <f>LISTPROD[[#This Row],[% GANANCIA]]*LISTPROD[[#This Row],[COSTO TOTAL UNIDAD]]</f>
        <v>429.45714285714297</v>
      </c>
      <c r="X24" s="393"/>
      <c r="Y24" s="435"/>
      <c r="Z24" s="589"/>
      <c r="AA24" s="435"/>
      <c r="AB24" s="590"/>
      <c r="AC24" s="435">
        <v>0</v>
      </c>
      <c r="AD24" s="393"/>
      <c r="AE24" s="393"/>
      <c r="AF24" s="393"/>
      <c r="AG24" s="393"/>
      <c r="AH24" s="88">
        <v>3500</v>
      </c>
      <c r="AI24" s="88">
        <v>0</v>
      </c>
      <c r="AJ24" s="88">
        <v>0</v>
      </c>
      <c r="AK24" s="88">
        <v>0</v>
      </c>
      <c r="AL24" s="40"/>
      <c r="AN24" t="s">
        <v>568</v>
      </c>
    </row>
    <row r="25" spans="1:40" ht="34.9" customHeight="1" x14ac:dyDescent="0.25">
      <c r="A25" s="44" t="s">
        <v>105</v>
      </c>
      <c r="B25" s="19" t="s">
        <v>467</v>
      </c>
      <c r="C25" s="160" t="s">
        <v>467</v>
      </c>
      <c r="D25" s="240" t="s">
        <v>1057</v>
      </c>
      <c r="E25" s="332" t="s">
        <v>654</v>
      </c>
      <c r="F25" s="329"/>
      <c r="G25" s="329" t="s">
        <v>644</v>
      </c>
      <c r="H25" s="329"/>
      <c r="I25" s="329" t="s">
        <v>663</v>
      </c>
      <c r="J25" s="624"/>
      <c r="K25" s="160"/>
      <c r="L25" s="336"/>
      <c r="M25" s="336"/>
      <c r="N25" s="187" t="s">
        <v>74</v>
      </c>
      <c r="O25" s="588">
        <f>'RECETAS GOTAS'!K182</f>
        <v>1796.5759257</v>
      </c>
      <c r="P25" s="594">
        <f>'Gtos Varios'!$B$22</f>
        <v>3070.542857142857</v>
      </c>
      <c r="Q25" s="598">
        <f>+LISTPROD[[#This Row],[TOTAL GASTOS VARIOS]]+LISTPROD[[#This Row],[PRECIO DE PRODUCCIÓN POR UND]]</f>
        <v>4867.1187828428574</v>
      </c>
      <c r="R25" s="591">
        <f>'RECETAS GOTAS'!K187</f>
        <v>3391.0936739339995</v>
      </c>
      <c r="S25" s="387">
        <f>'RECETAS GOTAS'!L187</f>
        <v>0.62</v>
      </c>
      <c r="T25" s="368">
        <f>'RECETAS GOTAS'!K188</f>
        <v>8860.5995996339989</v>
      </c>
      <c r="U25" s="435">
        <v>2000</v>
      </c>
      <c r="V25" s="592">
        <f>(LISTPROD[[#This Row],[PRECIO DE VENTA 1]]-LISTPROD[[#This Row],[COSTO TOTAL UNIDAD]])/LISTPROD[[#This Row],[COSTO TOTAL UNIDAD]]</f>
        <v>-0.58907927066620491</v>
      </c>
      <c r="W25" s="435">
        <f>LISTPROD[[#This Row],[% GANANCIA]]*LISTPROD[[#This Row],[COSTO TOTAL UNIDAD]]</f>
        <v>-2867.1187828428574</v>
      </c>
      <c r="X25" s="393"/>
      <c r="Y25" s="435">
        <v>5000</v>
      </c>
      <c r="Z25" s="589">
        <f>(LISTPROD[[#This Row],[PRECIO DE VENTA2]]-LISTPROD[[#This Row],[COSTO TOTAL UNIDAD]])/LISTPROD[[#This Row],[COSTO TOTAL UNIDAD]]</f>
        <v>2.7301823334487722E-2</v>
      </c>
      <c r="AA25" s="435">
        <f>LISTPROD[[#This Row],[PRECIO DE VENTA2]]*LISTPROD[[#This Row],[% GANANCIA2]]</f>
        <v>136.50911667243861</v>
      </c>
      <c r="AB25" s="590">
        <f>LISTPROD[[#This Row],[PRECIO DE VENTA2]]-LISTPROD[[#This Row],[PRECIO VENTA POR RECETA]]</f>
        <v>-3860.5995996339989</v>
      </c>
      <c r="AC25" s="435">
        <v>5000</v>
      </c>
      <c r="AD25" s="589">
        <f>(LISTPROD[[#This Row],[PRECIO DE VENTA 3]]-LISTPROD[[#This Row],[COSTO TOTAL UNIDAD]])/LISTPROD[[#This Row],[COSTO TOTAL UNIDAD]]</f>
        <v>2.7301823334487722E-2</v>
      </c>
      <c r="AE25" s="435">
        <f>LISTPROD[[#This Row],[% GANANCIA3]]*LISTPROD[[#This Row],[COSTO TOTAL UNIDAD]]</f>
        <v>132.8812171571426</v>
      </c>
      <c r="AF25" s="393"/>
      <c r="AG25" s="393"/>
      <c r="AH25" s="88">
        <v>2000</v>
      </c>
      <c r="AI25" s="88">
        <v>5000</v>
      </c>
      <c r="AJ25" s="88">
        <v>5000</v>
      </c>
      <c r="AK25" s="88">
        <v>5000</v>
      </c>
      <c r="AL25" s="40"/>
      <c r="AN25" s="11" t="s">
        <v>305</v>
      </c>
    </row>
    <row r="26" spans="1:40" ht="34.9" customHeight="1" x14ac:dyDescent="0.25">
      <c r="A26" s="44" t="s">
        <v>106</v>
      </c>
      <c r="B26" s="19" t="s">
        <v>107</v>
      </c>
      <c r="C26" s="160" t="s">
        <v>107</v>
      </c>
      <c r="D26" s="240" t="s">
        <v>464</v>
      </c>
      <c r="E26" s="329" t="s">
        <v>654</v>
      </c>
      <c r="F26" s="329"/>
      <c r="G26" s="329" t="s">
        <v>642</v>
      </c>
      <c r="H26" s="329"/>
      <c r="I26" s="329" t="s">
        <v>655</v>
      </c>
      <c r="J26" s="623" t="s">
        <v>487</v>
      </c>
      <c r="K26" s="171"/>
      <c r="L26" s="654"/>
      <c r="M26" s="654"/>
      <c r="N26" s="187" t="s">
        <v>74</v>
      </c>
      <c r="O26" s="588">
        <f>'RECETAS JARABES'!G495</f>
        <v>2152.3623532634333</v>
      </c>
      <c r="P26" s="588">
        <f>'Gtos Varios'!$B$22</f>
        <v>3070.542857142857</v>
      </c>
      <c r="Q26" s="598">
        <f>+LISTPROD[[#This Row],[PRECIO DE PRODUCCIÓN POR UND]]+LISTPROD[[#This Row],[TOTAL GASTOS VARIOS]]</f>
        <v>5222.9052104062903</v>
      </c>
      <c r="R26" s="591">
        <f>'RECETAS JARABES'!G500</f>
        <v>3378.6695648927912</v>
      </c>
      <c r="S26" s="387">
        <f>'RECETAS JARABES'!H500</f>
        <v>0.57999999999999996</v>
      </c>
      <c r="T26" s="368">
        <f>'RECETAS JARABES'!G501</f>
        <v>9203.9619181562248</v>
      </c>
      <c r="U26" s="435">
        <v>6000</v>
      </c>
      <c r="V26" s="589"/>
      <c r="W26" s="435">
        <f>LISTPROD[[#This Row],[% GANANCIA]]*LISTPROD[[#This Row],[COSTO TOTAL UNIDAD]]</f>
        <v>0</v>
      </c>
      <c r="X26" s="590">
        <f>+LISTPROD[[#This Row],[PRECIO DE VENTA 1]]-LISTPROD[[#This Row],[PRECIO VENTA POR RECETA]]</f>
        <v>-3203.9619181562248</v>
      </c>
      <c r="Y26" s="435">
        <v>5000</v>
      </c>
      <c r="Z26" s="589">
        <f>(LISTPROD[[#This Row],[PRECIO DE VENTA2]]-LISTPROD[[#This Row],[COSTO TOTAL UNIDAD]])/LISTPROD[[#This Row],[COSTO TOTAL UNIDAD]]</f>
        <v>-4.2678394768139102E-2</v>
      </c>
      <c r="AA26" s="435">
        <f>+LISTPROD[[#This Row],[% GANANCIA2]]*LISTPROD[[#This Row],[COSTO TOTAL UNIDAD]]</f>
        <v>-222.90521040629028</v>
      </c>
      <c r="AB26" s="590">
        <f>LISTPROD[[#This Row],[PRECIO DE VENTA2]]-LISTPROD[[#This Row],[PRECIO VENTA POR RECETA]]</f>
        <v>-4203.9619181562248</v>
      </c>
      <c r="AC26" s="435">
        <v>5000</v>
      </c>
      <c r="AD26" s="592">
        <f>(LISTPROD[[#This Row],[PRECIO DE VENTA 3]]-LISTPROD[[#This Row],[COSTO TOTAL UNIDAD]])/LISTPROD[[#This Row],[COSTO TOTAL UNIDAD]]</f>
        <v>-4.2678394768139102E-2</v>
      </c>
      <c r="AE26" s="435">
        <f>LISTPROD[[#This Row],[% GANANCIA3]]*LISTPROD[[#This Row],[COSTO TOTAL UNIDAD]]</f>
        <v>-222.90521040629028</v>
      </c>
      <c r="AF26" s="590"/>
      <c r="AG26" s="590"/>
      <c r="AH26" s="88">
        <v>6000</v>
      </c>
      <c r="AI26" s="88">
        <v>5000</v>
      </c>
      <c r="AJ26" s="88">
        <v>5000</v>
      </c>
      <c r="AK26" s="88">
        <v>5000</v>
      </c>
      <c r="AL26" s="40"/>
      <c r="AN26" t="s">
        <v>304</v>
      </c>
    </row>
    <row r="27" spans="1:40" ht="34.9" customHeight="1" x14ac:dyDescent="0.25">
      <c r="A27" s="44" t="s">
        <v>108</v>
      </c>
      <c r="B27" s="19" t="s">
        <v>109</v>
      </c>
      <c r="C27" s="160" t="s">
        <v>109</v>
      </c>
      <c r="D27" s="240" t="s">
        <v>464</v>
      </c>
      <c r="E27" s="329" t="s">
        <v>654</v>
      </c>
      <c r="F27" s="329"/>
      <c r="G27" s="329" t="s">
        <v>642</v>
      </c>
      <c r="H27" s="329"/>
      <c r="I27" s="329" t="s">
        <v>655</v>
      </c>
      <c r="J27" s="623" t="s">
        <v>487</v>
      </c>
      <c r="K27" s="171"/>
      <c r="L27" s="654"/>
      <c r="M27" s="654"/>
      <c r="N27" s="187" t="s">
        <v>74</v>
      </c>
      <c r="O27" s="588">
        <f>'RECETAS JARABES'!G529</f>
        <v>2179.2611832158141</v>
      </c>
      <c r="P27" s="588">
        <f>'Gtos Varios'!$B$22</f>
        <v>3070.542857142857</v>
      </c>
      <c r="Q27" s="598">
        <f>+LISTPROD[[#This Row],[PRECIO DE PRODUCCIÓN POR UND]]+LISTPROD[[#This Row],[TOTAL GASTOS VARIOS]]</f>
        <v>5249.804040358671</v>
      </c>
      <c r="R27" s="591">
        <f>'RECETAS JARABES'!$G$534</f>
        <v>3394.2708862651716</v>
      </c>
      <c r="S27" s="387">
        <f>'RECETAS JARABES'!$H$534</f>
        <v>0.57999999999999996</v>
      </c>
      <c r="T27" s="368">
        <f>'RECETAS JARABES'!$G$535</f>
        <v>9246.4620694809855</v>
      </c>
      <c r="U27" s="435">
        <v>6000</v>
      </c>
      <c r="V27" s="589">
        <f>(LISTPROD[[#This Row],[PRECIO DE VENTA 1]]-LISTPROD[[#This Row],[COSTO TOTAL UNIDAD]])/LISTPROD[[#This Row],[COSTO TOTAL UNIDAD]]</f>
        <v>0.14289980233054089</v>
      </c>
      <c r="W27" s="435">
        <f>LISTPROD[[#This Row],[% GANANCIA]]*LISTPROD[[#This Row],[COSTO TOTAL UNIDAD]]</f>
        <v>750.19595964132907</v>
      </c>
      <c r="X27" s="590">
        <f>+LISTPROD[[#This Row],[PRECIO DE VENTA 1]]-LISTPROD[[#This Row],[PRECIO VENTA POR RECETA]]</f>
        <v>-3246.4620694809855</v>
      </c>
      <c r="Y27" s="435">
        <v>5000</v>
      </c>
      <c r="Z27" s="592">
        <f>(LISTPROD[[#This Row],[PRECIO DE VENTA2]]-LISTPROD[[#This Row],[COSTO TOTAL UNIDAD]])/LISTPROD[[#This Row],[COSTO TOTAL UNIDAD]]</f>
        <v>-4.7583498057882596E-2</v>
      </c>
      <c r="AA27" s="435">
        <f>+LISTPROD[[#This Row],[% GANANCIA2]]*LISTPROD[[#This Row],[COSTO TOTAL UNIDAD]]</f>
        <v>-249.80404035867105</v>
      </c>
      <c r="AB27" s="590">
        <f>LISTPROD[[#This Row],[PRECIO DE VENTA2]]-LISTPROD[[#This Row],[PRECIO VENTA POR RECETA]]</f>
        <v>-4246.4620694809855</v>
      </c>
      <c r="AC27" s="435">
        <v>5000</v>
      </c>
      <c r="AD27" s="592">
        <f>(LISTPROD[[#This Row],[PRECIO DE VENTA 3]]-LISTPROD[[#This Row],[COSTO TOTAL UNIDAD]])/LISTPROD[[#This Row],[COSTO TOTAL UNIDAD]]</f>
        <v>-4.7583498057882596E-2</v>
      </c>
      <c r="AE27" s="435">
        <f>LISTPROD[[#This Row],[% GANANCIA3]]*LISTPROD[[#This Row],[COSTO TOTAL UNIDAD]]</f>
        <v>-249.80404035867105</v>
      </c>
      <c r="AF27" s="590"/>
      <c r="AG27" s="590"/>
      <c r="AH27" s="88">
        <v>6000</v>
      </c>
      <c r="AI27" s="88">
        <v>5000</v>
      </c>
      <c r="AJ27" s="88">
        <v>5000</v>
      </c>
      <c r="AK27" s="88">
        <v>5000</v>
      </c>
      <c r="AL27" s="40"/>
      <c r="AN27" t="s">
        <v>304</v>
      </c>
    </row>
    <row r="28" spans="1:40" ht="34.9" customHeight="1" x14ac:dyDescent="0.25">
      <c r="A28" s="49" t="s">
        <v>110</v>
      </c>
      <c r="B28" s="9" t="s">
        <v>111</v>
      </c>
      <c r="C28" s="9" t="s">
        <v>1102</v>
      </c>
      <c r="D28" s="240" t="s">
        <v>464</v>
      </c>
      <c r="E28" s="329" t="s">
        <v>654</v>
      </c>
      <c r="F28" s="329" t="s">
        <v>797</v>
      </c>
      <c r="G28" s="329" t="s">
        <v>642</v>
      </c>
      <c r="H28" s="645" t="s">
        <v>801</v>
      </c>
      <c r="I28" s="329" t="s">
        <v>655</v>
      </c>
      <c r="J28" s="623" t="s">
        <v>491</v>
      </c>
      <c r="K28" s="551" t="s">
        <v>505</v>
      </c>
      <c r="L28" s="538" t="s">
        <v>1145</v>
      </c>
      <c r="M28" s="538"/>
      <c r="N28" s="189" t="s">
        <v>73</v>
      </c>
      <c r="O28" s="588">
        <f>'RECETAS JARABES'!G562</f>
        <v>2122.6344122634332</v>
      </c>
      <c r="P28" s="588">
        <f>'Gtos Varios'!$B$22</f>
        <v>3070.542857142857</v>
      </c>
      <c r="Q28" s="598">
        <f>+LISTPROD[[#This Row],[PRECIO DE PRODUCCIÓN POR UND]]+LISTPROD[[#This Row],[TOTAL GASTOS VARIOS]]</f>
        <v>5193.1772694062902</v>
      </c>
      <c r="R28" s="510">
        <f>'RECETAS JARABES'!$G$567</f>
        <v>3303.4717149901567</v>
      </c>
      <c r="S28" s="387">
        <f>'RECETAS JARABES'!$H$567</f>
        <v>0.56999999999999995</v>
      </c>
      <c r="T28" s="368">
        <f>'RECETAS JARABES'!$G$568</f>
        <v>9099.0361272535902</v>
      </c>
      <c r="U28" s="435">
        <v>6000</v>
      </c>
      <c r="V28" s="589">
        <f>(LISTPROD[[#This Row],[PRECIO DE VENTA 1]]-LISTPROD[[#This Row],[COSTO TOTAL UNIDAD]])/LISTPROD[[#This Row],[COSTO TOTAL UNIDAD]]</f>
        <v>0.15536206232489147</v>
      </c>
      <c r="W28" s="435">
        <f>LISTPROD[[#This Row],[% GANANCIA]]*LISTPROD[[#This Row],[COSTO TOTAL UNIDAD]]</f>
        <v>806.82273059370971</v>
      </c>
      <c r="X28" s="590">
        <f>+LISTPROD[[#This Row],[PRECIO DE VENTA 1]]-LISTPROD[[#This Row],[PRECIO VENTA POR RECETA]]</f>
        <v>-3099.0361272535902</v>
      </c>
      <c r="Y28" s="435">
        <v>5000</v>
      </c>
      <c r="Z28" s="592">
        <f>(LISTPROD[[#This Row],[PRECIO DE VENTA2]]-LISTPROD[[#This Row],[COSTO TOTAL UNIDAD]])/LISTPROD[[#This Row],[COSTO TOTAL UNIDAD]]</f>
        <v>-3.7198281395923766E-2</v>
      </c>
      <c r="AA28" s="435">
        <f>+LISTPROD[[#This Row],[% GANANCIA2]]*LISTPROD[[#This Row],[COSTO TOTAL UNIDAD]]</f>
        <v>-193.17726940629018</v>
      </c>
      <c r="AB28" s="590">
        <f>LISTPROD[[#This Row],[PRECIO DE VENTA2]]-LISTPROD[[#This Row],[PRECIO VENTA POR RECETA]]</f>
        <v>-4099.0361272535902</v>
      </c>
      <c r="AC28" s="435">
        <v>5000</v>
      </c>
      <c r="AD28" s="592">
        <f>(LISTPROD[[#This Row],[PRECIO DE VENTA 3]]-LISTPROD[[#This Row],[COSTO TOTAL UNIDAD]])/LISTPROD[[#This Row],[COSTO TOTAL UNIDAD]]</f>
        <v>-3.7198281395923766E-2</v>
      </c>
      <c r="AE28" s="435">
        <f>LISTPROD[[#This Row],[% GANANCIA3]]*LISTPROD[[#This Row],[COSTO TOTAL UNIDAD]]</f>
        <v>-193.17726940629018</v>
      </c>
      <c r="AF28" s="590"/>
      <c r="AG28" s="590"/>
      <c r="AH28" s="88">
        <v>6000</v>
      </c>
      <c r="AI28" s="88">
        <v>5000</v>
      </c>
      <c r="AJ28" s="88">
        <v>5000</v>
      </c>
      <c r="AK28" s="88">
        <v>5000</v>
      </c>
      <c r="AL28" s="40"/>
      <c r="AN28" t="s">
        <v>568</v>
      </c>
    </row>
    <row r="29" spans="1:40" ht="34.9" customHeight="1" x14ac:dyDescent="0.25">
      <c r="A29" s="49" t="s">
        <v>112</v>
      </c>
      <c r="B29" s="9" t="s">
        <v>113</v>
      </c>
      <c r="C29" s="171" t="s">
        <v>113</v>
      </c>
      <c r="D29" s="240" t="s">
        <v>464</v>
      </c>
      <c r="E29" s="329" t="s">
        <v>654</v>
      </c>
      <c r="F29" s="329"/>
      <c r="G29" s="329" t="s">
        <v>642</v>
      </c>
      <c r="H29" s="329"/>
      <c r="I29" s="329" t="s">
        <v>655</v>
      </c>
      <c r="J29" s="623" t="s">
        <v>487</v>
      </c>
      <c r="K29" s="171"/>
      <c r="L29" s="654"/>
      <c r="M29" s="654"/>
      <c r="N29" s="189" t="s">
        <v>74</v>
      </c>
      <c r="O29" s="588">
        <f>'RECETAS JARABES'!G595</f>
        <v>2072.6344122634332</v>
      </c>
      <c r="P29" s="588">
        <f>'Gtos Varios'!$B$22</f>
        <v>3070.542857142857</v>
      </c>
      <c r="Q29" s="598">
        <f>+LISTPROD[[#This Row],[PRECIO DE PRODUCCIÓN POR UND]]+LISTPROD[[#This Row],[TOTAL GASTOS VARIOS]]</f>
        <v>5143.1772694062902</v>
      </c>
      <c r="R29" s="510">
        <f>'RECETAS JARABES'!G600</f>
        <v>3389.8830032354253</v>
      </c>
      <c r="S29" s="387">
        <f>'RECETAS JARABES'!H600</f>
        <v>0.59</v>
      </c>
      <c r="T29" s="368">
        <f>'RECETAS JARABES'!G601</f>
        <v>9135.4474154988584</v>
      </c>
      <c r="U29" s="435">
        <v>6000</v>
      </c>
      <c r="V29" s="589">
        <f>(LISTPROD[[#This Row],[PRECIO DE VENTA 1]]-LISTPROD[[#This Row],[COSTO TOTAL UNIDAD]])/LISTPROD[[#This Row],[COSTO TOTAL UNIDAD]]</f>
        <v>0.16659404988632998</v>
      </c>
      <c r="W29" s="435">
        <f>LISTPROD[[#This Row],[% GANANCIA]]*LISTPROD[[#This Row],[COSTO TOTAL UNIDAD]]</f>
        <v>856.82273059370993</v>
      </c>
      <c r="X29" s="590">
        <f>+LISTPROD[[#This Row],[PRECIO DE VENTA 1]]-LISTPROD[[#This Row],[PRECIO VENTA POR RECETA]]</f>
        <v>-3135.4474154988584</v>
      </c>
      <c r="Y29" s="435">
        <v>5000</v>
      </c>
      <c r="Z29" s="592">
        <f>(LISTPROD[[#This Row],[PRECIO DE VENTA2]]-LISTPROD[[#This Row],[COSTO TOTAL UNIDAD]])/LISTPROD[[#This Row],[COSTO TOTAL UNIDAD]]</f>
        <v>-2.7838291761391697E-2</v>
      </c>
      <c r="AA29" s="435">
        <f>+LISTPROD[[#This Row],[% GANANCIA2]]*LISTPROD[[#This Row],[COSTO TOTAL UNIDAD]]</f>
        <v>-143.17726940629018</v>
      </c>
      <c r="AB29" s="590">
        <f>LISTPROD[[#This Row],[PRECIO DE VENTA2]]-LISTPROD[[#This Row],[PRECIO VENTA POR RECETA]]</f>
        <v>-4135.4474154988584</v>
      </c>
      <c r="AC29" s="435">
        <v>5000</v>
      </c>
      <c r="AD29" s="592">
        <f>(LISTPROD[[#This Row],[PRECIO DE VENTA 3]]-LISTPROD[[#This Row],[COSTO TOTAL UNIDAD]])/LISTPROD[[#This Row],[COSTO TOTAL UNIDAD]]</f>
        <v>-2.7838291761391697E-2</v>
      </c>
      <c r="AE29" s="435">
        <f>LISTPROD[[#This Row],[% GANANCIA3]]*LISTPROD[[#This Row],[COSTO TOTAL UNIDAD]]</f>
        <v>-143.17726940629018</v>
      </c>
      <c r="AF29" s="590"/>
      <c r="AG29" s="590"/>
      <c r="AH29" s="88">
        <v>6000</v>
      </c>
      <c r="AI29" s="88">
        <v>5000</v>
      </c>
      <c r="AJ29" s="88">
        <v>5000</v>
      </c>
      <c r="AK29" s="88">
        <v>5000</v>
      </c>
      <c r="AL29" s="40"/>
      <c r="AN29" t="s">
        <v>304</v>
      </c>
    </row>
    <row r="30" spans="1:40" ht="34.9" customHeight="1" x14ac:dyDescent="0.25">
      <c r="A30" s="44" t="s">
        <v>114</v>
      </c>
      <c r="B30" s="19" t="s">
        <v>115</v>
      </c>
      <c r="C30" s="160" t="s">
        <v>115</v>
      </c>
      <c r="D30" s="240" t="s">
        <v>464</v>
      </c>
      <c r="E30" s="329" t="s">
        <v>654</v>
      </c>
      <c r="F30" s="329"/>
      <c r="G30" s="329" t="s">
        <v>642</v>
      </c>
      <c r="H30" s="329"/>
      <c r="I30" s="329" t="s">
        <v>655</v>
      </c>
      <c r="J30" s="623" t="s">
        <v>487</v>
      </c>
      <c r="K30" s="171"/>
      <c r="L30" s="654"/>
      <c r="M30" s="654"/>
      <c r="N30" s="187" t="s">
        <v>74</v>
      </c>
      <c r="O30" s="588">
        <f>'RECETAS JARABES'!G629</f>
        <v>2115.1796642634331</v>
      </c>
      <c r="P30" s="588">
        <f>'Gtos Varios'!$B$22</f>
        <v>3070.542857142857</v>
      </c>
      <c r="Q30" s="598">
        <f>+LISTPROD[[#This Row],[PRECIO DE PRODUCCIÓN POR UND]]+LISTPROD[[#This Row],[TOTAL GASTOS VARIOS]]</f>
        <v>5185.7225214062901</v>
      </c>
      <c r="R30" s="591">
        <f>'RECETAS JARABES'!G634</f>
        <v>3357.1036052727909</v>
      </c>
      <c r="S30" s="387">
        <f>'RECETAS JARABES'!H634</f>
        <v>0.57999999999999996</v>
      </c>
      <c r="T30" s="368">
        <f>'RECETAS JARABES'!G635</f>
        <v>9145.2132695362234</v>
      </c>
      <c r="U30" s="435">
        <v>6000</v>
      </c>
      <c r="V30" s="589">
        <f>(LISTPROD[[#This Row],[PRECIO DE VENTA 1]]-LISTPROD[[#This Row],[COSTO TOTAL UNIDAD]])/LISTPROD[[#This Row],[COSTO TOTAL UNIDAD]]</f>
        <v>0.1570229558624533</v>
      </c>
      <c r="W30" s="435">
        <f>LISTPROD[[#This Row],[% GANANCIA]]*LISTPROD[[#This Row],[COSTO TOTAL UNIDAD]]</f>
        <v>814.27747859370993</v>
      </c>
      <c r="X30" s="590">
        <f>+LISTPROD[[#This Row],[PRECIO DE VENTA 1]]-LISTPROD[[#This Row],[PRECIO VENTA POR RECETA]]</f>
        <v>-3145.2132695362234</v>
      </c>
      <c r="Y30" s="435">
        <v>5000</v>
      </c>
      <c r="Z30" s="589">
        <f>(LISTPROD[[#This Row],[PRECIO DE VENTA2]]-LISTPROD[[#This Row],[COSTO TOTAL UNIDAD]])/LISTPROD[[#This Row],[COSTO TOTAL UNIDAD]]</f>
        <v>-3.5814203447955585E-2</v>
      </c>
      <c r="AA30" s="435">
        <f>+LISTPROD[[#This Row],[% GANANCIA2]]*LISTPROD[[#This Row],[COSTO TOTAL UNIDAD]]</f>
        <v>-185.72252140629007</v>
      </c>
      <c r="AB30" s="590">
        <f>LISTPROD[[#This Row],[PRECIO DE VENTA2]]-LISTPROD[[#This Row],[PRECIO VENTA POR RECETA]]</f>
        <v>-4145.2132695362234</v>
      </c>
      <c r="AC30" s="435">
        <v>5000</v>
      </c>
      <c r="AD30" s="592">
        <f>(LISTPROD[[#This Row],[PRECIO DE VENTA 3]]-LISTPROD[[#This Row],[COSTO TOTAL UNIDAD]])/LISTPROD[[#This Row],[COSTO TOTAL UNIDAD]]</f>
        <v>-3.5814203447955585E-2</v>
      </c>
      <c r="AE30" s="435">
        <f>LISTPROD[[#This Row],[% GANANCIA3]]*LISTPROD[[#This Row],[COSTO TOTAL UNIDAD]]</f>
        <v>-185.72252140629007</v>
      </c>
      <c r="AF30" s="590"/>
      <c r="AG30" s="590"/>
      <c r="AH30" s="88">
        <v>6000</v>
      </c>
      <c r="AI30" s="88">
        <v>5000</v>
      </c>
      <c r="AJ30" s="88">
        <v>5000</v>
      </c>
      <c r="AK30" s="88">
        <v>5000</v>
      </c>
      <c r="AL30" s="40"/>
      <c r="AN30" t="s">
        <v>304</v>
      </c>
    </row>
    <row r="31" spans="1:40" ht="34.9" customHeight="1" x14ac:dyDescent="0.25">
      <c r="A31" s="44" t="s">
        <v>324</v>
      </c>
      <c r="B31" s="19" t="s">
        <v>1058</v>
      </c>
      <c r="C31" s="160" t="s">
        <v>1058</v>
      </c>
      <c r="D31" s="240" t="s">
        <v>780</v>
      </c>
      <c r="E31" s="337" t="s">
        <v>654</v>
      </c>
      <c r="F31" s="329"/>
      <c r="G31" s="329" t="s">
        <v>611</v>
      </c>
      <c r="H31" s="329"/>
      <c r="I31" s="329" t="s">
        <v>673</v>
      </c>
      <c r="J31" s="624"/>
      <c r="K31" s="160"/>
      <c r="L31" s="336"/>
      <c r="M31" s="336"/>
      <c r="N31" s="187" t="s">
        <v>74</v>
      </c>
      <c r="O31" s="588">
        <f>'RECETAS PASTILLAS'!R16</f>
        <v>4900</v>
      </c>
      <c r="P31" s="588">
        <f>'Gtos Varios'!$B$22</f>
        <v>3070.542857142857</v>
      </c>
      <c r="Q31" s="598">
        <f>+LISTPROD[[#This Row],[TOTAL GASTOS VARIOS]]+LISTPROD[[#This Row],[PRECIO DE PRODUCCIÓN POR UND]]</f>
        <v>7970.5428571428565</v>
      </c>
      <c r="R31" s="591">
        <f>'RECETAS PASTILLAS'!R48</f>
        <v>3257.7134000000001</v>
      </c>
      <c r="S31" s="387">
        <f>'RECETAS PASTILLAS'!S48</f>
        <v>0.38</v>
      </c>
      <c r="T31" s="368">
        <f>'RECETAS PASTILLAS'!R49</f>
        <v>11830.643400000001</v>
      </c>
      <c r="U31" s="435">
        <v>10500</v>
      </c>
      <c r="V31" s="589">
        <f>(LISTPROD[[#This Row],[PRECIO DE VENTA 1]]-LISTPROD[[#This Row],[COSTO TOTAL UNIDAD]])/LISTPROD[[#This Row],[COSTO TOTAL UNIDAD]]</f>
        <v>0.31735067337231027</v>
      </c>
      <c r="W31" s="435">
        <f>LISTPROD[[#This Row],[% GANANCIA]]*LISTPROD[[#This Row],[COSTO TOTAL UNIDAD]]</f>
        <v>2529.4571428571435</v>
      </c>
      <c r="X31" s="590"/>
      <c r="Y31" s="435"/>
      <c r="Z31" s="589"/>
      <c r="AA31" s="435"/>
      <c r="AB31" s="590"/>
      <c r="AC31" s="435"/>
      <c r="AD31" s="590"/>
      <c r="AE31" s="590"/>
      <c r="AF31" s="590"/>
      <c r="AG31" s="593" t="s">
        <v>773</v>
      </c>
      <c r="AH31" s="88">
        <v>10500</v>
      </c>
      <c r="AI31" s="88">
        <v>0</v>
      </c>
      <c r="AJ31" s="88">
        <v>0</v>
      </c>
      <c r="AK31" s="88">
        <v>0</v>
      </c>
      <c r="AL31" s="40"/>
      <c r="AN31" s="11" t="s">
        <v>305</v>
      </c>
    </row>
    <row r="32" spans="1:40" ht="34.9" customHeight="1" x14ac:dyDescent="0.25">
      <c r="A32" s="44" t="s">
        <v>116</v>
      </c>
      <c r="B32" s="19" t="s">
        <v>468</v>
      </c>
      <c r="C32" s="160" t="s">
        <v>468</v>
      </c>
      <c r="D32" s="240" t="s">
        <v>1057</v>
      </c>
      <c r="E32" s="329" t="s">
        <v>654</v>
      </c>
      <c r="F32" s="329"/>
      <c r="G32" s="329" t="s">
        <v>644</v>
      </c>
      <c r="H32" s="329"/>
      <c r="I32" s="329" t="s">
        <v>663</v>
      </c>
      <c r="J32" s="623"/>
      <c r="K32" s="171"/>
      <c r="L32" s="654"/>
      <c r="M32" s="654"/>
      <c r="N32" s="187" t="s">
        <v>74</v>
      </c>
      <c r="O32" s="594">
        <f>'RECETAS GOTAS'!K92</f>
        <v>2006</v>
      </c>
      <c r="P32" s="594">
        <f>'Gtos Varios'!$B$22</f>
        <v>3070.542857142857</v>
      </c>
      <c r="Q32" s="591">
        <f>+LISTPROD[[#This Row],[TOTAL GASTOS VARIOS]]+LISTPROD[[#This Row],[PRECIO DE PRODUCCIÓN POR UND]]</f>
        <v>5076.5428571428565</v>
      </c>
      <c r="R32" s="591">
        <f>'RECETAS GOTAS'!K97</f>
        <v>3350.5686999999998</v>
      </c>
      <c r="S32" s="387">
        <f>'RECETAS GOTAS'!L97</f>
        <v>0.59</v>
      </c>
      <c r="T32" s="368">
        <f>'RECETAS GOTAS'!K98</f>
        <v>9029.4987000000001</v>
      </c>
      <c r="U32" s="435">
        <v>600</v>
      </c>
      <c r="V32" s="592">
        <f>(LISTPROD[[#This Row],[PRECIO DE VENTA 1]]-LISTPROD[[#This Row],[COSTO TOTAL UNIDAD]])/LISTPROD[[#This Row],[COSTO TOTAL UNIDAD]]</f>
        <v>-0.88180933030915298</v>
      </c>
      <c r="W32" s="435">
        <f>LISTPROD[[#This Row],[% GANANCIA]]*LISTPROD[[#This Row],[COSTO TOTAL UNIDAD]]</f>
        <v>-4476.5428571428565</v>
      </c>
      <c r="X32" s="393"/>
      <c r="Y32" s="435"/>
      <c r="Z32" s="589"/>
      <c r="AA32" s="435"/>
      <c r="AB32" s="590"/>
      <c r="AC32" s="435">
        <v>0</v>
      </c>
      <c r="AD32" s="393"/>
      <c r="AE32" s="393"/>
      <c r="AF32" s="393"/>
      <c r="AG32" s="393"/>
      <c r="AH32" s="88">
        <v>600</v>
      </c>
      <c r="AI32" s="88">
        <v>0</v>
      </c>
      <c r="AJ32" s="88">
        <v>0</v>
      </c>
      <c r="AK32" s="88">
        <v>0</v>
      </c>
      <c r="AL32" s="40"/>
      <c r="AN32" s="11" t="s">
        <v>305</v>
      </c>
    </row>
    <row r="33" spans="1:40" ht="34.9" customHeight="1" x14ac:dyDescent="0.25">
      <c r="A33" s="44" t="s">
        <v>117</v>
      </c>
      <c r="B33" s="19" t="s">
        <v>118</v>
      </c>
      <c r="C33" s="160" t="s">
        <v>118</v>
      </c>
      <c r="D33" s="240" t="s">
        <v>464</v>
      </c>
      <c r="E33" s="329" t="s">
        <v>654</v>
      </c>
      <c r="F33" s="329"/>
      <c r="G33" s="329" t="s">
        <v>642</v>
      </c>
      <c r="H33" s="329"/>
      <c r="I33" s="329" t="s">
        <v>655</v>
      </c>
      <c r="J33" s="623" t="s">
        <v>487</v>
      </c>
      <c r="K33" s="171"/>
      <c r="L33" s="654"/>
      <c r="M33" s="654"/>
      <c r="N33" s="187" t="s">
        <v>74</v>
      </c>
      <c r="O33" s="588">
        <f>'RECETAS JARABES'!G664</f>
        <v>2127.7343455967666</v>
      </c>
      <c r="P33" s="588">
        <f>'Gtos Varios'!$B$22</f>
        <v>3070.542857142857</v>
      </c>
      <c r="Q33" s="598">
        <f>+LISTPROD[[#This Row],[PRECIO DE PRODUCCIÓN POR UND]]+LISTPROD[[#This Row],[TOTAL GASTOS VARIOS]]</f>
        <v>5198.277202739624</v>
      </c>
      <c r="R33" s="591">
        <f>'RECETAS JARABES'!G669</f>
        <v>3364.3853204461238</v>
      </c>
      <c r="S33" s="387">
        <f>'RECETAS JARABES'!H669</f>
        <v>0.57999999999999996</v>
      </c>
      <c r="T33" s="368">
        <f>'RECETAS JARABES'!G670</f>
        <v>9165.0496660428907</v>
      </c>
      <c r="U33" s="435">
        <v>6000</v>
      </c>
      <c r="V33" s="589">
        <f>(LISTPROD[[#This Row],[PRECIO DE VENTA 1]]-LISTPROD[[#This Row],[COSTO TOTAL UNIDAD]])/LISTPROD[[#This Row],[COSTO TOTAL UNIDAD]]</f>
        <v>0.15422855803800684</v>
      </c>
      <c r="W33" s="435">
        <f>LISTPROD[[#This Row],[% GANANCIA]]*LISTPROD[[#This Row],[COSTO TOTAL UNIDAD]]</f>
        <v>801.72279726037596</v>
      </c>
      <c r="X33" s="590">
        <f>+LISTPROD[[#This Row],[PRECIO DE VENTA 1]]-LISTPROD[[#This Row],[PRECIO VENTA POR RECETA]]</f>
        <v>-3165.0496660428907</v>
      </c>
      <c r="Y33" s="435">
        <v>5000</v>
      </c>
      <c r="Z33" s="589">
        <f>(LISTPROD[[#This Row],[PRECIO DE VENTA2]]-LISTPROD[[#This Row],[COSTO TOTAL UNIDAD]])/LISTPROD[[#This Row],[COSTO TOTAL UNIDAD]]</f>
        <v>-3.8142868301660963E-2</v>
      </c>
      <c r="AA33" s="435">
        <f>+LISTPROD[[#This Row],[% GANANCIA2]]*LISTPROD[[#This Row],[COSTO TOTAL UNIDAD]]</f>
        <v>-198.27720273962402</v>
      </c>
      <c r="AB33" s="590">
        <f>LISTPROD[[#This Row],[PRECIO DE VENTA2]]-LISTPROD[[#This Row],[PRECIO VENTA POR RECETA]]</f>
        <v>-4165.0496660428907</v>
      </c>
      <c r="AC33" s="435">
        <v>5000</v>
      </c>
      <c r="AD33" s="592">
        <f>(LISTPROD[[#This Row],[PRECIO DE VENTA 3]]-LISTPROD[[#This Row],[COSTO TOTAL UNIDAD]])/LISTPROD[[#This Row],[COSTO TOTAL UNIDAD]]</f>
        <v>-3.8142868301660963E-2</v>
      </c>
      <c r="AE33" s="435">
        <f>LISTPROD[[#This Row],[% GANANCIA3]]*LISTPROD[[#This Row],[COSTO TOTAL UNIDAD]]</f>
        <v>-198.27720273962402</v>
      </c>
      <c r="AF33" s="590"/>
      <c r="AG33" s="590"/>
      <c r="AH33" s="88">
        <v>6000</v>
      </c>
      <c r="AI33" s="88">
        <v>5000</v>
      </c>
      <c r="AJ33" s="88">
        <v>5000</v>
      </c>
      <c r="AK33" s="88">
        <v>5000</v>
      </c>
      <c r="AL33" s="40"/>
      <c r="AN33" t="s">
        <v>304</v>
      </c>
    </row>
    <row r="34" spans="1:40" ht="34.9" customHeight="1" x14ac:dyDescent="0.25">
      <c r="A34" s="44" t="s">
        <v>119</v>
      </c>
      <c r="B34" s="19" t="s">
        <v>120</v>
      </c>
      <c r="C34" s="160" t="s">
        <v>120</v>
      </c>
      <c r="D34" s="240" t="s">
        <v>464</v>
      </c>
      <c r="E34" s="329" t="s">
        <v>654</v>
      </c>
      <c r="F34" s="329"/>
      <c r="G34" s="329" t="s">
        <v>642</v>
      </c>
      <c r="H34" s="329"/>
      <c r="I34" s="329" t="s">
        <v>655</v>
      </c>
      <c r="J34" s="623" t="s">
        <v>487</v>
      </c>
      <c r="K34" s="171"/>
      <c r="L34" s="654"/>
      <c r="M34" s="654"/>
      <c r="N34" s="187" t="s">
        <v>74</v>
      </c>
      <c r="O34" s="588">
        <f>'RECETAS JARABES'!G699</f>
        <v>3065.3275255967665</v>
      </c>
      <c r="P34" s="588">
        <f>'Gtos Varios'!$B$22</f>
        <v>3070.542857142857</v>
      </c>
      <c r="Q34" s="598">
        <f>+LISTPROD[[#This Row],[PRECIO DE PRODUCCIÓN POR UND]]+LISTPROD[[#This Row],[TOTAL GASTOS VARIOS]]</f>
        <v>6135.8703827396239</v>
      </c>
      <c r="R34" s="591">
        <f>'RECETAS JARABES'!G704</f>
        <v>3006.5764875424156</v>
      </c>
      <c r="S34" s="387">
        <f>'RECETAS JARABES'!H704</f>
        <v>0.49</v>
      </c>
      <c r="T34" s="368">
        <f>'RECETAS JARABES'!G705</f>
        <v>9142.4468702820395</v>
      </c>
      <c r="U34" s="435">
        <v>6000</v>
      </c>
      <c r="V34" s="589">
        <f>(LISTPROD[[#This Row],[PRECIO DE VENTA 1]]-LISTPROD[[#This Row],[COSTO TOTAL UNIDAD]])/LISTPROD[[#This Row],[COSTO TOTAL UNIDAD]]</f>
        <v>-2.2143620100227523E-2</v>
      </c>
      <c r="W34" s="435">
        <f>LISTPROD[[#This Row],[% GANANCIA]]*LISTPROD[[#This Row],[COSTO TOTAL UNIDAD]]</f>
        <v>-135.87038273962389</v>
      </c>
      <c r="X34" s="590">
        <f>+LISTPROD[[#This Row],[PRECIO DE VENTA 1]]-LISTPROD[[#This Row],[PRECIO VENTA POR RECETA]]</f>
        <v>-3142.4468702820395</v>
      </c>
      <c r="Y34" s="435">
        <v>5000</v>
      </c>
      <c r="Z34" s="592">
        <f>(LISTPROD[[#This Row],[PRECIO DE VENTA2]]-LISTPROD[[#This Row],[COSTO TOTAL UNIDAD]])/LISTPROD[[#This Row],[COSTO TOTAL UNIDAD]]</f>
        <v>-0.18511968341685628</v>
      </c>
      <c r="AA34" s="435">
        <f>+LISTPROD[[#This Row],[% GANANCIA2]]*LISTPROD[[#This Row],[COSTO TOTAL UNIDAD]]</f>
        <v>-1135.8703827396239</v>
      </c>
      <c r="AB34" s="590">
        <f>LISTPROD[[#This Row],[PRECIO DE VENTA2]]-LISTPROD[[#This Row],[PRECIO VENTA POR RECETA]]</f>
        <v>-4142.4468702820395</v>
      </c>
      <c r="AC34" s="435">
        <v>5000</v>
      </c>
      <c r="AD34" s="592">
        <f>(LISTPROD[[#This Row],[PRECIO DE VENTA 3]]-LISTPROD[[#This Row],[COSTO TOTAL UNIDAD]])/LISTPROD[[#This Row],[COSTO TOTAL UNIDAD]]</f>
        <v>-0.18511968341685628</v>
      </c>
      <c r="AE34" s="435">
        <f>LISTPROD[[#This Row],[% GANANCIA3]]*LISTPROD[[#This Row],[COSTO TOTAL UNIDAD]]</f>
        <v>-1135.8703827396239</v>
      </c>
      <c r="AF34" s="590"/>
      <c r="AG34" s="590"/>
      <c r="AH34" s="88">
        <v>6000</v>
      </c>
      <c r="AI34" s="88">
        <v>5000</v>
      </c>
      <c r="AJ34" s="88">
        <v>5000</v>
      </c>
      <c r="AK34" s="88">
        <v>5000</v>
      </c>
      <c r="AL34" s="40"/>
      <c r="AN34" t="s">
        <v>304</v>
      </c>
    </row>
    <row r="35" spans="1:40" ht="34.9" customHeight="1" x14ac:dyDescent="0.25">
      <c r="A35" s="44" t="s">
        <v>121</v>
      </c>
      <c r="B35" s="19" t="s">
        <v>325</v>
      </c>
      <c r="C35" s="19" t="s">
        <v>513</v>
      </c>
      <c r="D35" s="240" t="s">
        <v>517</v>
      </c>
      <c r="E35" s="329" t="s">
        <v>654</v>
      </c>
      <c r="F35" s="329" t="s">
        <v>797</v>
      </c>
      <c r="G35" s="329" t="s">
        <v>508</v>
      </c>
      <c r="H35" s="645" t="s">
        <v>812</v>
      </c>
      <c r="I35" s="329" t="s">
        <v>657</v>
      </c>
      <c r="J35" s="624"/>
      <c r="K35" s="160"/>
      <c r="L35" s="538" t="s">
        <v>1145</v>
      </c>
      <c r="M35" s="538" t="s">
        <v>1145</v>
      </c>
      <c r="N35" s="187" t="s">
        <v>73</v>
      </c>
      <c r="O35" s="594">
        <f>'RECETAS CAPS'!AI19</f>
        <v>2926.25</v>
      </c>
      <c r="P35" s="588">
        <f>'Gtos Varios'!$B$22</f>
        <v>3070.542857142857</v>
      </c>
      <c r="Q35" s="510">
        <f>+LISTPROD[[#This Row],[TOTAL GASTOS VARIOS]]+LISTPROD[[#This Row],[PRECIO DE PRODUCCIÓN POR UND]]</f>
        <v>5996.7928571428565</v>
      </c>
      <c r="R35" s="591">
        <f>'RECETAS CAPS'!AI25</f>
        <v>3365.5818000000004</v>
      </c>
      <c r="S35" s="386">
        <f>'RECETAS CAPS'!AJ25</f>
        <v>0.51</v>
      </c>
      <c r="T35" s="659">
        <f>'RECETAS CAPS'!AI26</f>
        <v>9964.7618000000002</v>
      </c>
      <c r="U35" s="361">
        <v>9055.1572142857131</v>
      </c>
      <c r="V35" s="589">
        <f>(LISTPROD[[#This Row],[PRECIO DE VENTA 1]]-LISTPROD[[#This Row],[COSTO TOTAL UNIDAD]])/LISTPROD[[#This Row],[COSTO TOTAL UNIDAD]]</f>
        <v>0.5099999999999999</v>
      </c>
      <c r="W35" s="435">
        <f>LISTPROD[[#This Row],[% GANANCIA]]*LISTPROD[[#This Row],[COSTO TOTAL UNIDAD]]</f>
        <v>3058.3643571428561</v>
      </c>
      <c r="X35" s="395"/>
      <c r="Y35" s="432"/>
      <c r="Z35" s="589"/>
      <c r="AA35" s="435"/>
      <c r="AB35" s="590"/>
      <c r="AC35" s="432"/>
      <c r="AD35" s="395"/>
      <c r="AE35" s="395"/>
      <c r="AF35" s="395"/>
      <c r="AG35" s="395"/>
      <c r="AH35" s="184">
        <v>8700</v>
      </c>
      <c r="AI35" s="88">
        <v>0</v>
      </c>
      <c r="AJ35" s="88">
        <v>0</v>
      </c>
      <c r="AK35" s="88">
        <v>0</v>
      </c>
      <c r="AL35" s="40"/>
      <c r="AM35" s="626" t="s">
        <v>728</v>
      </c>
      <c r="AN35" t="s">
        <v>304</v>
      </c>
    </row>
    <row r="36" spans="1:40" ht="34.9" customHeight="1" x14ac:dyDescent="0.25">
      <c r="A36" s="44" t="s">
        <v>122</v>
      </c>
      <c r="B36" s="19" t="s">
        <v>123</v>
      </c>
      <c r="C36" s="19" t="s">
        <v>1103</v>
      </c>
      <c r="D36" s="240" t="s">
        <v>465</v>
      </c>
      <c r="E36" s="329" t="s">
        <v>654</v>
      </c>
      <c r="F36" s="329" t="s">
        <v>797</v>
      </c>
      <c r="G36" s="329" t="s">
        <v>642</v>
      </c>
      <c r="H36" s="329" t="s">
        <v>803</v>
      </c>
      <c r="I36" s="329" t="s">
        <v>747</v>
      </c>
      <c r="J36" s="623" t="s">
        <v>491</v>
      </c>
      <c r="K36" s="171"/>
      <c r="L36" s="538" t="s">
        <v>1145</v>
      </c>
      <c r="M36" s="538" t="s">
        <v>1145</v>
      </c>
      <c r="N36" s="187" t="s">
        <v>73</v>
      </c>
      <c r="O36" s="588">
        <f>'RECETAS JARABES'!G730</f>
        <v>2202.7729406847361</v>
      </c>
      <c r="P36" s="588">
        <f>'Gtos Varios'!$B$22</f>
        <v>3070.542857142857</v>
      </c>
      <c r="Q36" s="598">
        <f>+LISTPROD[[#This Row],[PRECIO DE PRODUCCIÓN POR UND]]+LISTPROD[[#This Row],[TOTAL GASTOS VARIOS]]</f>
        <v>5273.3157978275931</v>
      </c>
      <c r="R36" s="591">
        <f>'RECETAS JARABES'!G735</f>
        <v>3005.7900047617277</v>
      </c>
      <c r="S36" s="387">
        <f>'RECETAS JARABES'!H735</f>
        <v>0.56999999999999995</v>
      </c>
      <c r="T36" s="368">
        <f>'RECETAS JARABES'!G736</f>
        <v>8279.1058025893217</v>
      </c>
      <c r="U36" s="435">
        <v>7500</v>
      </c>
      <c r="V36" s="589">
        <f>(LISTPROD[[#This Row],[PRECIO DE VENTA 1]]-LISTPROD[[#This Row],[COSTO TOTAL UNIDAD]])/LISTPROD[[#This Row],[COSTO TOTAL UNIDAD]]</f>
        <v>0.42225504550471199</v>
      </c>
      <c r="W36" s="435">
        <f>LISTPROD[[#This Row],[% GANANCIA]]*LISTPROD[[#This Row],[COSTO TOTAL UNIDAD]]</f>
        <v>2226.6842021724069</v>
      </c>
      <c r="X36" s="590">
        <f>+LISTPROD[[#This Row],[PRECIO DE VENTA 1]]-LISTPROD[[#This Row],[PRECIO VENTA POR RECETA]]</f>
        <v>-779.10580258932168</v>
      </c>
      <c r="Y36" s="435">
        <v>5000</v>
      </c>
      <c r="Z36" s="592">
        <f>(LISTPROD[[#This Row],[PRECIO DE VENTA2]]-LISTPROD[[#This Row],[COSTO TOTAL UNIDAD]])/LISTPROD[[#This Row],[COSTO TOTAL UNIDAD]]</f>
        <v>-5.1829969663525342E-2</v>
      </c>
      <c r="AA36" s="435">
        <f>+LISTPROD[[#This Row],[% GANANCIA2]]*LISTPROD[[#This Row],[COSTO TOTAL UNIDAD]]</f>
        <v>-273.31579782759309</v>
      </c>
      <c r="AB36" s="590">
        <f>LISTPROD[[#This Row],[PRECIO DE VENTA2]]-LISTPROD[[#This Row],[PRECIO VENTA POR RECETA]]</f>
        <v>-3279.1058025893217</v>
      </c>
      <c r="AC36" s="435">
        <v>2000</v>
      </c>
      <c r="AD36" s="592">
        <f>(LISTPROD[[#This Row],[PRECIO DE VENTA 3]]-LISTPROD[[#This Row],[COSTO TOTAL UNIDAD]])/LISTPROD[[#This Row],[COSTO TOTAL UNIDAD]]</f>
        <v>-0.62073198786541017</v>
      </c>
      <c r="AE36" s="435">
        <f>LISTPROD[[#This Row],[% GANANCIA3]]*LISTPROD[[#This Row],[COSTO TOTAL UNIDAD]]</f>
        <v>-3273.3157978275931</v>
      </c>
      <c r="AF36" s="590"/>
      <c r="AG36" s="590"/>
      <c r="AH36" s="88">
        <v>7500</v>
      </c>
      <c r="AI36" s="88">
        <v>5000</v>
      </c>
      <c r="AJ36" s="88">
        <v>2000</v>
      </c>
      <c r="AK36" s="88">
        <v>2000</v>
      </c>
      <c r="AL36" s="40"/>
      <c r="AN36" t="s">
        <v>304</v>
      </c>
    </row>
    <row r="37" spans="1:40" ht="34.9" customHeight="1" x14ac:dyDescent="0.25">
      <c r="A37" s="44" t="s">
        <v>124</v>
      </c>
      <c r="B37" s="19" t="s">
        <v>790</v>
      </c>
      <c r="C37" s="19" t="s">
        <v>1104</v>
      </c>
      <c r="D37" s="240" t="s">
        <v>465</v>
      </c>
      <c r="E37" s="329" t="s">
        <v>654</v>
      </c>
      <c r="F37" s="329" t="s">
        <v>797</v>
      </c>
      <c r="G37" s="329" t="s">
        <v>642</v>
      </c>
      <c r="H37" s="329" t="s">
        <v>803</v>
      </c>
      <c r="I37" s="329" t="s">
        <v>747</v>
      </c>
      <c r="J37" s="623" t="s">
        <v>491</v>
      </c>
      <c r="K37" s="171"/>
      <c r="L37" s="538" t="s">
        <v>1145</v>
      </c>
      <c r="M37" s="538" t="s">
        <v>1145</v>
      </c>
      <c r="N37" s="187" t="s">
        <v>73</v>
      </c>
      <c r="O37" s="588">
        <f>'RECETAS JARABES'!G761</f>
        <v>2202.7729406847361</v>
      </c>
      <c r="P37" s="588">
        <f>'Gtos Varios'!$B$22</f>
        <v>3070.542857142857</v>
      </c>
      <c r="Q37" s="598">
        <f>+LISTPROD[[#This Row],[PRECIO DE PRODUCCIÓN POR UND]]+LISTPROD[[#This Row],[TOTAL GASTOS VARIOS]]</f>
        <v>5273.3157978275931</v>
      </c>
      <c r="R37" s="591">
        <f>'RECETAS JARABES'!G766</f>
        <v>3005.7900047617277</v>
      </c>
      <c r="S37" s="387">
        <f>'RECETAS JARABES'!H766</f>
        <v>0.56999999999999995</v>
      </c>
      <c r="T37" s="368">
        <f>'RECETAS JARABES'!G767</f>
        <v>8279.1058025893217</v>
      </c>
      <c r="U37" s="435">
        <v>7500</v>
      </c>
      <c r="V37" s="589">
        <f>(LISTPROD[[#This Row],[PRECIO DE VENTA 1]]-LISTPROD[[#This Row],[COSTO TOTAL UNIDAD]])/LISTPROD[[#This Row],[COSTO TOTAL UNIDAD]]</f>
        <v>0.42225504550471199</v>
      </c>
      <c r="W37" s="435">
        <f>LISTPROD[[#This Row],[% GANANCIA]]*LISTPROD[[#This Row],[COSTO TOTAL UNIDAD]]</f>
        <v>2226.6842021724069</v>
      </c>
      <c r="X37" s="590">
        <f>+LISTPROD[[#This Row],[PRECIO DE VENTA 1]]-LISTPROD[[#This Row],[PRECIO VENTA POR RECETA]]</f>
        <v>-779.10580258932168</v>
      </c>
      <c r="Y37" s="435"/>
      <c r="Z37" s="589"/>
      <c r="AA37" s="435"/>
      <c r="AB37" s="590"/>
      <c r="AC37" s="435"/>
      <c r="AD37" s="592"/>
      <c r="AE37" s="435"/>
      <c r="AF37" s="590"/>
      <c r="AG37" s="590"/>
      <c r="AH37" s="88">
        <v>7500</v>
      </c>
      <c r="AI37" s="88">
        <v>0</v>
      </c>
      <c r="AJ37" s="88">
        <v>0</v>
      </c>
      <c r="AK37" s="88">
        <v>0</v>
      </c>
      <c r="AL37" s="40"/>
      <c r="AN37" s="11" t="s">
        <v>568</v>
      </c>
    </row>
    <row r="38" spans="1:40" ht="34.9" customHeight="1" x14ac:dyDescent="0.25">
      <c r="A38" s="44" t="s">
        <v>126</v>
      </c>
      <c r="B38" s="19" t="s">
        <v>127</v>
      </c>
      <c r="C38" s="160" t="s">
        <v>127</v>
      </c>
      <c r="D38" s="240" t="s">
        <v>781</v>
      </c>
      <c r="E38" s="337" t="s">
        <v>654</v>
      </c>
      <c r="F38" s="329"/>
      <c r="G38" s="329" t="s">
        <v>611</v>
      </c>
      <c r="H38" s="329"/>
      <c r="I38" s="329" t="s">
        <v>782</v>
      </c>
      <c r="J38" s="551"/>
      <c r="K38" s="160"/>
      <c r="L38" s="336"/>
      <c r="M38" s="336"/>
      <c r="N38" s="187" t="s">
        <v>74</v>
      </c>
      <c r="O38" s="588">
        <f>'RECETAS PASTILLAS'!G45</f>
        <v>4670</v>
      </c>
      <c r="P38" s="588">
        <f>'Gtos Varios'!$B$22</f>
        <v>3070.542857142857</v>
      </c>
      <c r="Q38" s="598">
        <f>+LISTPROD[[#This Row],[TOTAL GASTOS VARIOS]]+LISTPROD[[#This Row],[PRECIO DE PRODUCCIÓN POR UND]]</f>
        <v>7740.5428571428565</v>
      </c>
      <c r="R38" s="591">
        <f>'RECETAS PASTILLAS'!G50</f>
        <v>3253.7427000000002</v>
      </c>
      <c r="S38" s="387">
        <f>'RECETAS PASTILLAS'!H50</f>
        <v>0.39</v>
      </c>
      <c r="T38" s="368">
        <f>'RECETAS PASTILLAS'!G51</f>
        <v>11596.672700000001</v>
      </c>
      <c r="U38" s="435">
        <v>7000</v>
      </c>
      <c r="V38" s="592">
        <f>(LISTPROD[[#This Row],[PRECIO DE VENTA 1]]-LISTPROD[[#This Row],[COSTO TOTAL UNIDAD]])/LISTPROD[[#This Row],[COSTO TOTAL UNIDAD]]</f>
        <v>-9.5670661710695742E-2</v>
      </c>
      <c r="W38" s="368">
        <f>LISTPROD[[#This Row],[% GANANCIA]]*LISTPROD[[#This Row],[COSTO TOTAL UNIDAD]]</f>
        <v>-740.54285714285652</v>
      </c>
      <c r="X38" s="590"/>
      <c r="Y38" s="435">
        <v>7000</v>
      </c>
      <c r="Z38" s="592">
        <f>(LISTPROD[[#This Row],[PRECIO DE VENTA2]]-LISTPROD[[#This Row],[COSTO TOTAL UNIDAD]])/LISTPROD[[#This Row],[COSTO TOTAL UNIDAD]]</f>
        <v>-9.5670661710695742E-2</v>
      </c>
      <c r="AA38" s="368">
        <f>LISTPROD[[#This Row],[PRECIO DE VENTA2]]*LISTPROD[[#This Row],[% GANANCIA2]]</f>
        <v>-669.69463197487016</v>
      </c>
      <c r="AB38" s="590"/>
      <c r="AC38" s="435">
        <v>7000</v>
      </c>
      <c r="AD38" s="592">
        <f>(LISTPROD[[#This Row],[PRECIO DE VENTA 3]]-LISTPROD[[#This Row],[COSTO TOTAL UNIDAD]])/LISTPROD[[#This Row],[COSTO TOTAL UNIDAD]]</f>
        <v>-9.5670661710695742E-2</v>
      </c>
      <c r="AE38" s="368">
        <f>+LISTPROD[[#This Row],[PRECIO DE VENTA 3]]*LISTPROD[[#This Row],[% GANANCIA3]]</f>
        <v>-669.69463197487016</v>
      </c>
      <c r="AF38" s="590"/>
      <c r="AG38" s="593" t="s">
        <v>773</v>
      </c>
      <c r="AH38" s="88">
        <v>7000</v>
      </c>
      <c r="AI38" s="88">
        <v>7000</v>
      </c>
      <c r="AJ38" s="88">
        <v>7000</v>
      </c>
      <c r="AK38" s="88">
        <v>7000</v>
      </c>
      <c r="AL38" s="40"/>
      <c r="AN38" t="s">
        <v>304</v>
      </c>
    </row>
    <row r="39" spans="1:40" ht="34.9" customHeight="1" x14ac:dyDescent="0.25">
      <c r="A39" s="44" t="s">
        <v>128</v>
      </c>
      <c r="B39" s="19" t="s">
        <v>129</v>
      </c>
      <c r="C39" s="160" t="s">
        <v>129</v>
      </c>
      <c r="D39" s="240" t="s">
        <v>464</v>
      </c>
      <c r="E39" s="329" t="s">
        <v>654</v>
      </c>
      <c r="F39" s="329"/>
      <c r="G39" s="329" t="s">
        <v>642</v>
      </c>
      <c r="H39" s="329"/>
      <c r="I39" s="329" t="s">
        <v>655</v>
      </c>
      <c r="J39" s="623" t="s">
        <v>689</v>
      </c>
      <c r="K39" s="171"/>
      <c r="L39" s="654"/>
      <c r="M39" s="654"/>
      <c r="N39" s="187" t="s">
        <v>74</v>
      </c>
      <c r="O39" s="588">
        <f>'RECETAS JARABES'!G794</f>
        <v>2122.6344122634332</v>
      </c>
      <c r="P39" s="588">
        <f>'Gtos Varios'!$B$22</f>
        <v>3070.542857142857</v>
      </c>
      <c r="Q39" s="598">
        <f>+LISTPROD[[#This Row],[PRECIO DE PRODUCCIÓN POR UND]]+LISTPROD[[#This Row],[TOTAL GASTOS VARIOS]]</f>
        <v>5193.1772694062902</v>
      </c>
      <c r="R39" s="591">
        <f>'RECETAS JARABES'!G799</f>
        <v>2960.1110435615851</v>
      </c>
      <c r="S39" s="387">
        <f>'RECETAS JARABES'!H799</f>
        <v>0.56999999999999995</v>
      </c>
      <c r="T39" s="368">
        <f>'RECETAS JARABES'!G800</f>
        <v>8153.2883129678758</v>
      </c>
      <c r="U39" s="435">
        <v>7000</v>
      </c>
      <c r="V39" s="589">
        <f>(LISTPROD[[#This Row],[PRECIO DE VENTA 1]]-LISTPROD[[#This Row],[COSTO TOTAL UNIDAD]])/LISTPROD[[#This Row],[COSTO TOTAL UNIDAD]]</f>
        <v>0.34792240604570673</v>
      </c>
      <c r="W39" s="435">
        <f>LISTPROD[[#This Row],[% GANANCIA]]*LISTPROD[[#This Row],[COSTO TOTAL UNIDAD]]</f>
        <v>1806.8227305937098</v>
      </c>
      <c r="X39" s="590">
        <f>+LISTPROD[[#This Row],[PRECIO DE VENTA 1]]-LISTPROD[[#This Row],[PRECIO VENTA POR RECETA]]</f>
        <v>-1153.2883129678758</v>
      </c>
      <c r="Y39" s="435"/>
      <c r="Z39" s="589"/>
      <c r="AA39" s="435"/>
      <c r="AB39" s="590"/>
      <c r="AC39" s="435"/>
      <c r="AD39" s="592"/>
      <c r="AE39" s="435"/>
      <c r="AF39" s="590"/>
      <c r="AG39" s="590"/>
      <c r="AH39" s="88">
        <v>7000</v>
      </c>
      <c r="AI39" s="88">
        <v>0</v>
      </c>
      <c r="AJ39" s="88">
        <v>0</v>
      </c>
      <c r="AK39" s="88">
        <v>0</v>
      </c>
      <c r="AL39" s="40"/>
      <c r="AN39" t="s">
        <v>304</v>
      </c>
    </row>
    <row r="40" spans="1:40" ht="34.9" customHeight="1" x14ac:dyDescent="0.25">
      <c r="A40" s="49" t="s">
        <v>130</v>
      </c>
      <c r="B40" s="9" t="s">
        <v>131</v>
      </c>
      <c r="C40" s="171" t="s">
        <v>131</v>
      </c>
      <c r="D40" s="240" t="s">
        <v>464</v>
      </c>
      <c r="E40" s="329" t="s">
        <v>654</v>
      </c>
      <c r="F40" s="329"/>
      <c r="G40" s="329" t="s">
        <v>642</v>
      </c>
      <c r="H40" s="329"/>
      <c r="I40" s="329" t="s">
        <v>655</v>
      </c>
      <c r="J40" s="623" t="s">
        <v>689</v>
      </c>
      <c r="K40" s="171"/>
      <c r="L40" s="654"/>
      <c r="M40" s="654"/>
      <c r="N40" s="187" t="s">
        <v>74</v>
      </c>
      <c r="O40" s="588">
        <f>'RECETAS JARABES'!G826</f>
        <v>2016.5143089300998</v>
      </c>
      <c r="P40" s="588">
        <f>'Gtos Varios'!$B$22</f>
        <v>3070.542857142857</v>
      </c>
      <c r="Q40" s="598">
        <f>+LISTPROD[[#This Row],[PRECIO DE PRODUCCIÓN POR UND]]+LISTPROD[[#This Row],[TOTAL GASTOS VARIOS]]</f>
        <v>5087.0571660729565</v>
      </c>
      <c r="R40" s="591">
        <f>'RECETAS JARABES'!G831</f>
        <v>2899.6225846615848</v>
      </c>
      <c r="S40" s="387">
        <f>'RECETAS JARABES'!H831</f>
        <v>0.56999999999999995</v>
      </c>
      <c r="T40" s="368">
        <f>'RECETAS JARABES'!G832</f>
        <v>7986.6797507345418</v>
      </c>
      <c r="U40" s="435">
        <v>7000</v>
      </c>
      <c r="V40" s="589">
        <f>(LISTPROD[[#This Row],[PRECIO DE VENTA 1]]-LISTPROD[[#This Row],[COSTO TOTAL UNIDAD]])/LISTPROD[[#This Row],[COSTO TOTAL UNIDAD]]</f>
        <v>0.37604115139200872</v>
      </c>
      <c r="W40" s="435">
        <f>LISTPROD[[#This Row],[% GANANCIA]]*LISTPROD[[#This Row],[COSTO TOTAL UNIDAD]]</f>
        <v>1912.9428339270435</v>
      </c>
      <c r="X40" s="590">
        <f>+LISTPROD[[#This Row],[PRECIO DE VENTA 1]]-LISTPROD[[#This Row],[PRECIO VENTA POR RECETA]]</f>
        <v>-986.67975073454181</v>
      </c>
      <c r="Y40" s="435"/>
      <c r="Z40" s="589"/>
      <c r="AA40" s="435"/>
      <c r="AB40" s="590"/>
      <c r="AC40" s="435"/>
      <c r="AD40" s="592"/>
      <c r="AE40" s="435"/>
      <c r="AF40" s="590"/>
      <c r="AG40" s="590"/>
      <c r="AH40" s="88">
        <v>7000</v>
      </c>
      <c r="AI40" s="88">
        <v>0</v>
      </c>
      <c r="AJ40" s="88">
        <v>0</v>
      </c>
      <c r="AK40" s="88">
        <v>0</v>
      </c>
      <c r="AL40" s="40"/>
      <c r="AN40" t="s">
        <v>304</v>
      </c>
    </row>
    <row r="41" spans="1:40" s="156" customFormat="1" ht="34.9" customHeight="1" x14ac:dyDescent="0.25">
      <c r="A41" s="582" t="s">
        <v>132</v>
      </c>
      <c r="B41" s="583" t="s">
        <v>133</v>
      </c>
      <c r="C41" s="160" t="s">
        <v>133</v>
      </c>
      <c r="D41" s="595" t="s">
        <v>464</v>
      </c>
      <c r="E41" s="538" t="s">
        <v>654</v>
      </c>
      <c r="F41" s="329"/>
      <c r="G41" s="538" t="s">
        <v>642</v>
      </c>
      <c r="H41" s="538"/>
      <c r="I41" s="538" t="s">
        <v>655</v>
      </c>
      <c r="J41" s="623" t="s">
        <v>487</v>
      </c>
      <c r="K41" s="596"/>
      <c r="L41" s="538"/>
      <c r="M41" s="538"/>
      <c r="N41" s="584" t="s">
        <v>74</v>
      </c>
      <c r="O41" s="597">
        <f>'RECETAS JARABES'!G861</f>
        <v>2158.4707705967667</v>
      </c>
      <c r="P41" s="588">
        <f>'Gtos Varios'!$B$22</f>
        <v>3070.542857142857</v>
      </c>
      <c r="Q41" s="598">
        <f>+LISTPROD[[#This Row],[PRECIO DE PRODUCCIÓN POR UND]]+LISTPROD[[#This Row],[TOTAL GASTOS VARIOS]]</f>
        <v>5229.0136277396232</v>
      </c>
      <c r="R41" s="598">
        <f>'RECETAS JARABES'!$G$866</f>
        <v>3032.8279040889811</v>
      </c>
      <c r="S41" s="387">
        <f>'RECETAS JARABES'!$H$866</f>
        <v>0.57999999999999996</v>
      </c>
      <c r="T41" s="368">
        <f>'RECETAS JARABES'!$G$867</f>
        <v>8261.8415318286043</v>
      </c>
      <c r="U41" s="435">
        <v>6000</v>
      </c>
      <c r="V41" s="589">
        <f>(LISTPROD[[#This Row],[PRECIO DE VENTA 1]]-LISTPROD[[#This Row],[COSTO TOTAL UNIDAD]])/LISTPROD[[#This Row],[COSTO TOTAL UNIDAD]]</f>
        <v>0.14744394012865783</v>
      </c>
      <c r="W41" s="435">
        <f>LISTPROD[[#This Row],[% GANANCIA]]*LISTPROD[[#This Row],[COSTO TOTAL UNIDAD]]</f>
        <v>770.98637226037692</v>
      </c>
      <c r="X41" s="399">
        <f>+LISTPROD[[#This Row],[PRECIO DE VENTA 1]]-LISTPROD[[#This Row],[PRECIO VENTA POR RECETA]]</f>
        <v>-2261.8415318286043</v>
      </c>
      <c r="Y41" s="435">
        <v>6000</v>
      </c>
      <c r="Z41" s="589">
        <f>(LISTPROD[[#This Row],[PRECIO DE VENTA2]]-LISTPROD[[#This Row],[COSTO TOTAL UNIDAD]])/LISTPROD[[#This Row],[COSTO TOTAL UNIDAD]]</f>
        <v>0.14744394012865783</v>
      </c>
      <c r="AA41" s="435">
        <f>+LISTPROD[[#This Row],[% GANANCIA2]]*LISTPROD[[#This Row],[COSTO TOTAL UNIDAD]]</f>
        <v>770.98637226037692</v>
      </c>
      <c r="AB41" s="399">
        <f>LISTPROD[[#This Row],[PRECIO DE VENTA2]]-LISTPROD[[#This Row],[PRECIO VENTA POR RECETA]]</f>
        <v>-2261.8415318286043</v>
      </c>
      <c r="AC41" s="435">
        <v>6000</v>
      </c>
      <c r="AD41" s="589">
        <f>(LISTPROD[[#This Row],[PRECIO DE VENTA 3]]-LISTPROD[[#This Row],[COSTO TOTAL UNIDAD]])/LISTPROD[[#This Row],[COSTO TOTAL UNIDAD]]</f>
        <v>0.14744394012865783</v>
      </c>
      <c r="AE41" s="435">
        <f>LISTPROD[[#This Row],[% GANANCIA3]]*LISTPROD[[#This Row],[COSTO TOTAL UNIDAD]]</f>
        <v>770.98637226037692</v>
      </c>
      <c r="AF41" s="399"/>
      <c r="AG41" s="399"/>
      <c r="AH41" s="310">
        <v>6000</v>
      </c>
      <c r="AI41" s="310">
        <v>6000</v>
      </c>
      <c r="AJ41" s="310">
        <v>6000</v>
      </c>
      <c r="AK41" s="310">
        <v>6000</v>
      </c>
      <c r="AL41" s="585" t="s">
        <v>326</v>
      </c>
      <c r="AM41" s="629"/>
      <c r="AN41" s="156" t="s">
        <v>304</v>
      </c>
    </row>
    <row r="42" spans="1:40" ht="34.9" customHeight="1" x14ac:dyDescent="0.25">
      <c r="A42" s="44" t="s">
        <v>134</v>
      </c>
      <c r="B42" s="19" t="s">
        <v>135</v>
      </c>
      <c r="C42" s="19" t="s">
        <v>1105</v>
      </c>
      <c r="D42" s="240" t="s">
        <v>464</v>
      </c>
      <c r="E42" s="329" t="s">
        <v>654</v>
      </c>
      <c r="F42" s="329" t="s">
        <v>797</v>
      </c>
      <c r="G42" s="329" t="s">
        <v>642</v>
      </c>
      <c r="H42" s="645" t="s">
        <v>801</v>
      </c>
      <c r="I42" s="329" t="s">
        <v>655</v>
      </c>
      <c r="J42" s="623" t="s">
        <v>491</v>
      </c>
      <c r="K42" s="171"/>
      <c r="L42" s="538" t="s">
        <v>1145</v>
      </c>
      <c r="M42" s="538"/>
      <c r="N42" s="187" t="s">
        <v>73</v>
      </c>
      <c r="O42" s="597">
        <f>'RECETAS JARABES'!G896</f>
        <v>2149.8837122634332</v>
      </c>
      <c r="P42" s="588">
        <f>'Gtos Varios'!$B$22</f>
        <v>3070.542857142857</v>
      </c>
      <c r="Q42" s="598">
        <f>+LISTPROD[[#This Row],[PRECIO DE PRODUCCIÓN POR UND]]+LISTPROD[[#This Row],[TOTAL GASTOS VARIOS]]</f>
        <v>5220.4265694062906</v>
      </c>
      <c r="R42" s="591">
        <f>'RECETAS JARABES'!G901</f>
        <v>2975.6431445615854</v>
      </c>
      <c r="S42" s="387">
        <f>'RECETAS JARABES'!H901</f>
        <v>0.56999999999999995</v>
      </c>
      <c r="T42" s="368">
        <f>'RECETAS JARABES'!G902</f>
        <v>8196.0697139678759</v>
      </c>
      <c r="U42" s="435">
        <v>6000</v>
      </c>
      <c r="V42" s="589">
        <f>(LISTPROD[[#This Row],[PRECIO DE VENTA 1]]-LISTPROD[[#This Row],[COSTO TOTAL UNIDAD]])/LISTPROD[[#This Row],[COSTO TOTAL UNIDAD]]</f>
        <v>0.14933136597731492</v>
      </c>
      <c r="W42" s="435">
        <f>LISTPROD[[#This Row],[% GANANCIA]]*LISTPROD[[#This Row],[COSTO TOTAL UNIDAD]]</f>
        <v>779.57343059370942</v>
      </c>
      <c r="X42" s="590">
        <f>+LISTPROD[[#This Row],[PRECIO DE VENTA 1]]-LISTPROD[[#This Row],[PRECIO VENTA POR RECETA]]</f>
        <v>-2196.0697139678759</v>
      </c>
      <c r="Y42" s="435">
        <v>5000</v>
      </c>
      <c r="Z42" s="589">
        <f>(LISTPROD[[#This Row],[PRECIO DE VENTA2]]-LISTPROD[[#This Row],[COSTO TOTAL UNIDAD]])/LISTPROD[[#This Row],[COSTO TOTAL UNIDAD]]</f>
        <v>-4.2223861685570893E-2</v>
      </c>
      <c r="AA42" s="435">
        <f>+LISTPROD[[#This Row],[% GANANCIA2]]*LISTPROD[[#This Row],[COSTO TOTAL UNIDAD]]</f>
        <v>-220.42656940629058</v>
      </c>
      <c r="AB42" s="590">
        <f>LISTPROD[[#This Row],[PRECIO DE VENTA2]]-LISTPROD[[#This Row],[PRECIO VENTA POR RECETA]]</f>
        <v>-3196.0697139678759</v>
      </c>
      <c r="AC42" s="435">
        <v>5000</v>
      </c>
      <c r="AD42" s="592">
        <f>(LISTPROD[[#This Row],[PRECIO DE VENTA 3]]-LISTPROD[[#This Row],[COSTO TOTAL UNIDAD]])/LISTPROD[[#This Row],[COSTO TOTAL UNIDAD]]</f>
        <v>-4.2223861685570893E-2</v>
      </c>
      <c r="AE42" s="435">
        <f>LISTPROD[[#This Row],[% GANANCIA3]]*LISTPROD[[#This Row],[COSTO TOTAL UNIDAD]]</f>
        <v>-220.42656940629058</v>
      </c>
      <c r="AF42" s="590"/>
      <c r="AG42" s="590"/>
      <c r="AH42" s="88">
        <v>6000</v>
      </c>
      <c r="AI42" s="88">
        <v>5000</v>
      </c>
      <c r="AJ42" s="88">
        <v>5000</v>
      </c>
      <c r="AK42" s="88">
        <v>5000</v>
      </c>
      <c r="AL42" s="40"/>
      <c r="AN42" t="s">
        <v>304</v>
      </c>
    </row>
    <row r="43" spans="1:40" ht="34.9" customHeight="1" x14ac:dyDescent="0.25">
      <c r="A43" s="44" t="s">
        <v>136</v>
      </c>
      <c r="B43" s="19" t="s">
        <v>137</v>
      </c>
      <c r="C43" s="160" t="s">
        <v>137</v>
      </c>
      <c r="D43" s="240" t="s">
        <v>464</v>
      </c>
      <c r="E43" s="329" t="s">
        <v>654</v>
      </c>
      <c r="F43" s="329"/>
      <c r="G43" s="329" t="s">
        <v>642</v>
      </c>
      <c r="H43" s="329"/>
      <c r="I43" s="329" t="s">
        <v>655</v>
      </c>
      <c r="J43" s="660"/>
      <c r="K43" s="171"/>
      <c r="L43" s="654"/>
      <c r="M43" s="654"/>
      <c r="N43" s="187" t="s">
        <v>74</v>
      </c>
      <c r="O43" s="588">
        <f>'RECETAS JARABES'!G930</f>
        <v>3086.5143089300996</v>
      </c>
      <c r="P43" s="588">
        <f>'Gtos Varios'!$B$22</f>
        <v>3070.542857142857</v>
      </c>
      <c r="Q43" s="598">
        <f>+LISTPROD[[#This Row],[PRECIO DE PRODUCCIÓN POR UND]]+LISTPROD[[#This Row],[TOTAL GASTOS VARIOS]]</f>
        <v>6157.0571660729565</v>
      </c>
      <c r="R43" s="591">
        <f>'RECETAS JARABES'!G935</f>
        <v>2893.8168680542894</v>
      </c>
      <c r="S43" s="387">
        <f>'RECETAS JARABES'!H935</f>
        <v>0.47</v>
      </c>
      <c r="T43" s="368">
        <f>'RECETAS JARABES'!G936</f>
        <v>9050.874034127246</v>
      </c>
      <c r="U43" s="435">
        <v>7000</v>
      </c>
      <c r="V43" s="589">
        <f>(LISTPROD[[#This Row],[PRECIO DE VENTA 1]]-LISTPROD[[#This Row],[COSTO TOTAL UNIDAD]])/LISTPROD[[#This Row],[COSTO TOTAL UNIDAD]]</f>
        <v>0.13690677399779322</v>
      </c>
      <c r="W43" s="435">
        <f>LISTPROD[[#This Row],[% GANANCIA]]*LISTPROD[[#This Row],[COSTO TOTAL UNIDAD]]</f>
        <v>842.94283392704347</v>
      </c>
      <c r="X43" s="590">
        <f>+LISTPROD[[#This Row],[PRECIO DE VENTA 1]]-LISTPROD[[#This Row],[PRECIO VENTA POR RECETA]]</f>
        <v>-2050.874034127246</v>
      </c>
      <c r="Y43" s="435">
        <v>10000</v>
      </c>
      <c r="Z43" s="589">
        <f>(LISTPROD[[#This Row],[PRECIO DE VENTA2]]-LISTPROD[[#This Row],[COSTO TOTAL UNIDAD]])/LISTPROD[[#This Row],[COSTO TOTAL UNIDAD]]</f>
        <v>0.62415253428256179</v>
      </c>
      <c r="AA43" s="435">
        <f>+LISTPROD[[#This Row],[% GANANCIA2]]*LISTPROD[[#This Row],[COSTO TOTAL UNIDAD]]</f>
        <v>3842.9428339270439</v>
      </c>
      <c r="AB43" s="590">
        <f>LISTPROD[[#This Row],[PRECIO DE VENTA2]]-LISTPROD[[#This Row],[PRECIO VENTA POR RECETA]]</f>
        <v>949.12596587275402</v>
      </c>
      <c r="AC43" s="435">
        <v>10000</v>
      </c>
      <c r="AD43" s="592">
        <f>(LISTPROD[[#This Row],[PRECIO DE VENTA 3]]-LISTPROD[[#This Row],[COSTO TOTAL UNIDAD]])/LISTPROD[[#This Row],[COSTO TOTAL UNIDAD]]</f>
        <v>0.62415253428256179</v>
      </c>
      <c r="AE43" s="435">
        <f>LISTPROD[[#This Row],[% GANANCIA3]]*LISTPROD[[#This Row],[COSTO TOTAL UNIDAD]]</f>
        <v>3842.9428339270439</v>
      </c>
      <c r="AF43" s="590"/>
      <c r="AG43" s="590"/>
      <c r="AH43" s="88">
        <v>7000</v>
      </c>
      <c r="AI43" s="88">
        <v>10000</v>
      </c>
      <c r="AJ43" s="88">
        <v>10000</v>
      </c>
      <c r="AK43" s="88">
        <v>10000</v>
      </c>
      <c r="AL43" s="40" t="s">
        <v>327</v>
      </c>
      <c r="AN43" s="11" t="s">
        <v>305</v>
      </c>
    </row>
    <row r="44" spans="1:40" ht="34.9" customHeight="1" x14ac:dyDescent="0.25">
      <c r="A44" s="44" t="s">
        <v>138</v>
      </c>
      <c r="B44" s="19" t="s">
        <v>139</v>
      </c>
      <c r="C44" s="160" t="s">
        <v>139</v>
      </c>
      <c r="D44" s="240" t="s">
        <v>1057</v>
      </c>
      <c r="E44" s="332" t="s">
        <v>654</v>
      </c>
      <c r="F44" s="329"/>
      <c r="G44" s="329" t="s">
        <v>644</v>
      </c>
      <c r="H44" s="329"/>
      <c r="I44" s="329" t="s">
        <v>663</v>
      </c>
      <c r="J44" s="624"/>
      <c r="K44" s="160"/>
      <c r="L44" s="336"/>
      <c r="M44" s="336"/>
      <c r="N44" s="187" t="s">
        <v>74</v>
      </c>
      <c r="O44" s="588">
        <f>'RECETAS GOTAS'!K243</f>
        <v>1796.5759257</v>
      </c>
      <c r="P44" s="594">
        <f>'Gtos Varios'!$B$22</f>
        <v>3070.542857142857</v>
      </c>
      <c r="Q44" s="591">
        <f>+LISTPROD[[#This Row],[TOTAL GASTOS VARIOS]]+LISTPROD[[#This Row],[PRECIO DE PRODUCCIÓN POR UND]]</f>
        <v>4867.1187828428574</v>
      </c>
      <c r="R44" s="591">
        <f>'RECETAS GOTAS'!K248</f>
        <v>3391.0936739339995</v>
      </c>
      <c r="S44" s="387">
        <f>'RECETAS GOTAS'!L248</f>
        <v>0.62</v>
      </c>
      <c r="T44" s="649">
        <f>'RECETAS GOTAS'!K249</f>
        <v>8860.5995996339989</v>
      </c>
      <c r="U44" s="435">
        <v>2000</v>
      </c>
      <c r="V44" s="589">
        <f>(LISTPROD[[#This Row],[PRECIO DE VENTA 1]]-LISTPROD[[#This Row],[COSTO TOTAL UNIDAD]])/LISTPROD[[#This Row],[COSTO TOTAL UNIDAD]]</f>
        <v>-0.58907927066620491</v>
      </c>
      <c r="W44" s="435">
        <f>LISTPROD[[#This Row],[% GANANCIA]]*LISTPROD[[#This Row],[COSTO TOTAL UNIDAD]]</f>
        <v>-2867.1187828428574</v>
      </c>
      <c r="X44" s="393"/>
      <c r="Y44" s="435">
        <v>2000</v>
      </c>
      <c r="Z44" s="589">
        <f>(LISTPROD[[#This Row],[PRECIO DE VENTA2]]-LISTPROD[[#This Row],[COSTO TOTAL UNIDAD]])/LISTPROD[[#This Row],[COSTO TOTAL UNIDAD]]</f>
        <v>-0.58907927066620491</v>
      </c>
      <c r="AA44" s="435">
        <f>LISTPROD[[#This Row],[PRECIO DE VENTA2]]*LISTPROD[[#This Row],[% GANANCIA2]]</f>
        <v>-1178.1585413324099</v>
      </c>
      <c r="AB44" s="590">
        <f>LISTPROD[[#This Row],[PRECIO DE VENTA2]]-LISTPROD[[#This Row],[PRECIO VENTA POR RECETA]]</f>
        <v>-6860.5995996339989</v>
      </c>
      <c r="AC44" s="435">
        <v>2000</v>
      </c>
      <c r="AD44" s="592">
        <f>(LISTPROD[[#This Row],[PRECIO DE VENTA 3]]-LISTPROD[[#This Row],[COSTO TOTAL UNIDAD]])/LISTPROD[[#This Row],[COSTO TOTAL UNIDAD]]</f>
        <v>-0.58907927066620491</v>
      </c>
      <c r="AE44" s="435">
        <f>LISTPROD[[#This Row],[% GANANCIA3]]*LISTPROD[[#This Row],[COSTO TOTAL UNIDAD]]</f>
        <v>-2867.1187828428574</v>
      </c>
      <c r="AF44" s="393"/>
      <c r="AG44" s="393"/>
      <c r="AH44" s="88">
        <v>2000</v>
      </c>
      <c r="AI44" s="88">
        <v>2000</v>
      </c>
      <c r="AJ44" s="88">
        <v>2000</v>
      </c>
      <c r="AK44" s="88">
        <v>2000</v>
      </c>
      <c r="AL44" s="40"/>
      <c r="AN44" s="11" t="s">
        <v>305</v>
      </c>
    </row>
    <row r="45" spans="1:40" ht="34.9" customHeight="1" x14ac:dyDescent="0.25">
      <c r="A45" s="49" t="s">
        <v>140</v>
      </c>
      <c r="B45" s="9" t="s">
        <v>141</v>
      </c>
      <c r="C45" s="171" t="s">
        <v>141</v>
      </c>
      <c r="D45" s="240" t="s">
        <v>464</v>
      </c>
      <c r="E45" s="329" t="s">
        <v>654</v>
      </c>
      <c r="F45" s="329"/>
      <c r="G45" s="329" t="s">
        <v>642</v>
      </c>
      <c r="H45" s="329"/>
      <c r="I45" s="329" t="s">
        <v>655</v>
      </c>
      <c r="J45" s="623" t="s">
        <v>689</v>
      </c>
      <c r="K45" s="171"/>
      <c r="L45" s="654"/>
      <c r="M45" s="654"/>
      <c r="N45" s="189" t="s">
        <v>74</v>
      </c>
      <c r="O45" s="588">
        <f>'RECETAS JARABES'!G964</f>
        <v>2102.6257583349793</v>
      </c>
      <c r="P45" s="594">
        <f>'Gtos Varios'!$B$22</f>
        <v>3070.542857142857</v>
      </c>
      <c r="Q45" s="598">
        <f>+LISTPROD[[#This Row],[PRECIO DE PRODUCCIÓN POR UND]]+LISTPROD[[#This Row],[TOTAL GASTOS VARIOS]]</f>
        <v>5173.1686154778363</v>
      </c>
      <c r="R45" s="510">
        <f>'RECETAS JARABES'!G969</f>
        <v>3234.3112246675887</v>
      </c>
      <c r="S45" s="387">
        <f>'RECETAS JARABES'!H969</f>
        <v>0.56000000000000005</v>
      </c>
      <c r="T45" s="368">
        <f>'RECETAS JARABES'!G970</f>
        <v>9009.8669830025683</v>
      </c>
      <c r="U45" s="435">
        <v>7000</v>
      </c>
      <c r="V45" s="589">
        <f>(LISTPROD[[#This Row],[PRECIO DE VENTA 1]]-LISTPROD[[#This Row],[COSTO TOTAL UNIDAD]])/LISTPROD[[#This Row],[COSTO TOTAL UNIDAD]]</f>
        <v>0.35313586706924349</v>
      </c>
      <c r="W45" s="435">
        <f>LISTPROD[[#This Row],[% GANANCIA]]*LISTPROD[[#This Row],[COSTO TOTAL UNIDAD]]</f>
        <v>1826.8313845221635</v>
      </c>
      <c r="X45" s="590">
        <f>+LISTPROD[[#This Row],[PRECIO DE VENTA 1]]-LISTPROD[[#This Row],[PRECIO VENTA POR RECETA]]</f>
        <v>-2009.8669830025683</v>
      </c>
      <c r="Y45" s="435"/>
      <c r="Z45" s="589"/>
      <c r="AA45" s="435"/>
      <c r="AB45" s="590"/>
      <c r="AC45" s="435"/>
      <c r="AD45" s="592"/>
      <c r="AE45" s="435"/>
      <c r="AF45" s="590"/>
      <c r="AG45" s="590"/>
      <c r="AH45" s="88">
        <v>7000</v>
      </c>
      <c r="AI45" s="88">
        <v>0</v>
      </c>
      <c r="AJ45" s="88">
        <v>0</v>
      </c>
      <c r="AK45" s="88">
        <v>0</v>
      </c>
      <c r="AL45" s="40"/>
      <c r="AN45" t="s">
        <v>304</v>
      </c>
    </row>
    <row r="46" spans="1:40" ht="34.9" customHeight="1" x14ac:dyDescent="0.25">
      <c r="A46" s="44" t="s">
        <v>142</v>
      </c>
      <c r="B46" s="19" t="s">
        <v>542</v>
      </c>
      <c r="C46" s="160" t="s">
        <v>542</v>
      </c>
      <c r="D46" s="661" t="s">
        <v>469</v>
      </c>
      <c r="E46" s="337" t="s">
        <v>654</v>
      </c>
      <c r="F46" s="329"/>
      <c r="G46" s="337" t="s">
        <v>647</v>
      </c>
      <c r="H46" s="337"/>
      <c r="I46" s="337"/>
      <c r="J46" s="624"/>
      <c r="K46" s="160"/>
      <c r="L46" s="336"/>
      <c r="M46" s="336"/>
      <c r="N46" s="187" t="s">
        <v>74</v>
      </c>
      <c r="O46" s="594">
        <f>'RECETAS UNGUENTOS'!G22</f>
        <v>1710.8404615384616</v>
      </c>
      <c r="P46" s="588">
        <f>'Gtos Varios'!$B$22</f>
        <v>3070.542857142857</v>
      </c>
      <c r="Q46" s="598">
        <f>+LISTPROD[[#This Row],[PRECIO DE PRODUCCIÓN POR UND]]+LISTPROD[[#This Row],[TOTAL GASTOS VARIOS]]</f>
        <v>4781.383318681319</v>
      </c>
      <c r="R46" s="591">
        <f>'RECETAS UNGUENTOS'!G27</f>
        <v>3391.7753907692304</v>
      </c>
      <c r="S46" s="387">
        <f>'RECETAS UNGUENTOS'!H27</f>
        <v>0.63</v>
      </c>
      <c r="T46" s="368">
        <f>'RECETAS UNGUENTOS'!G28</f>
        <v>8775.5458523076923</v>
      </c>
      <c r="U46" s="435">
        <v>6000</v>
      </c>
      <c r="V46" s="589">
        <f>(LISTPROD[[#This Row],[PRECIO DE VENTA 1]]-LISTPROD[[#This Row],[COSTO TOTAL UNIDAD]])/LISTPROD[[#This Row],[COSTO TOTAL UNIDAD]]</f>
        <v>0.25486697051822427</v>
      </c>
      <c r="W46" s="435">
        <f>LISTPROD[[#This Row],[% GANANCIA]]*LISTPROD[[#This Row],[COSTO TOTAL UNIDAD]]</f>
        <v>1218.616681318681</v>
      </c>
      <c r="X46" s="393"/>
      <c r="Y46" s="435">
        <v>0</v>
      </c>
      <c r="Z46" s="589">
        <f>(LISTPROD[[#This Row],[PRECIO DE VENTA2]]-LISTPROD[[#This Row],[COSTO TOTAL UNIDAD]])/LISTPROD[[#This Row],[COSTO TOTAL UNIDAD]]</f>
        <v>-1</v>
      </c>
      <c r="AA46" s="435">
        <f>LISTPROD[[#This Row],[PRECIO DE VENTA2]]*LISTPROD[[#This Row],[% GANANCIA2]]</f>
        <v>0</v>
      </c>
      <c r="AB46" s="590">
        <f>LISTPROD[[#This Row],[PRECIO DE VENTA2]]-LISTPROD[[#This Row],[PRECIO VENTA POR RECETA]]</f>
        <v>-8775.5458523076923</v>
      </c>
      <c r="AC46" s="435">
        <v>0</v>
      </c>
      <c r="AD46" s="393"/>
      <c r="AE46" s="393"/>
      <c r="AF46" s="393"/>
      <c r="AG46" s="393"/>
      <c r="AH46" s="88">
        <v>6000</v>
      </c>
      <c r="AI46" s="88">
        <v>0</v>
      </c>
      <c r="AJ46" s="88">
        <v>0</v>
      </c>
      <c r="AK46" s="88">
        <v>0</v>
      </c>
      <c r="AL46" s="40"/>
      <c r="AN46" t="s">
        <v>304</v>
      </c>
    </row>
    <row r="47" spans="1:40" ht="34.9" customHeight="1" x14ac:dyDescent="0.25">
      <c r="A47" s="49" t="s">
        <v>143</v>
      </c>
      <c r="B47" s="9" t="s">
        <v>791</v>
      </c>
      <c r="C47" s="9" t="s">
        <v>1106</v>
      </c>
      <c r="D47" s="240" t="s">
        <v>465</v>
      </c>
      <c r="E47" s="329" t="s">
        <v>654</v>
      </c>
      <c r="F47" s="329" t="s">
        <v>797</v>
      </c>
      <c r="G47" s="329" t="s">
        <v>642</v>
      </c>
      <c r="H47" s="329" t="s">
        <v>803</v>
      </c>
      <c r="I47" s="329" t="s">
        <v>747</v>
      </c>
      <c r="J47" s="623" t="s">
        <v>491</v>
      </c>
      <c r="K47" s="171"/>
      <c r="L47" s="538" t="s">
        <v>1145</v>
      </c>
      <c r="M47" s="538" t="s">
        <v>1145</v>
      </c>
      <c r="N47" s="189" t="s">
        <v>73</v>
      </c>
      <c r="O47" s="588">
        <f>'RECETAS JARABES'!G994</f>
        <v>2056.7813461392816</v>
      </c>
      <c r="P47" s="588">
        <f>'Gtos Varios'!$B$22</f>
        <v>3070.542857142857</v>
      </c>
      <c r="Q47" s="598">
        <f>+LISTPROD[[#This Row],[PRECIO DE PRODUCCIÓN POR UND]]+LISTPROD[[#This Row],[TOTAL GASTOS VARIOS]]</f>
        <v>5127.3242032821381</v>
      </c>
      <c r="R47" s="510">
        <f>'RECETAS JARABES'!G999</f>
        <v>3380.5296942221762</v>
      </c>
      <c r="S47" s="387">
        <f>'RECETAS JARABES'!H999</f>
        <v>0.59</v>
      </c>
      <c r="T47" s="368">
        <f>'RECETAS JARABES'!G1000</f>
        <v>9110.2410403614576</v>
      </c>
      <c r="U47" s="435">
        <v>7500</v>
      </c>
      <c r="V47" s="589">
        <f>(LISTPROD[[#This Row],[PRECIO DE VENTA 1]]-LISTPROD[[#This Row],[COSTO TOTAL UNIDAD]])/LISTPROD[[#This Row],[COSTO TOTAL UNIDAD]]</f>
        <v>0.46275127194005955</v>
      </c>
      <c r="W47" s="435">
        <f>LISTPROD[[#This Row],[% GANANCIA]]*LISTPROD[[#This Row],[COSTO TOTAL UNIDAD]]</f>
        <v>2372.6757967178619</v>
      </c>
      <c r="X47" s="590">
        <f>+LISTPROD[[#This Row],[PRECIO DE VENTA 1]]-LISTPROD[[#This Row],[PRECIO VENTA POR RECETA]]</f>
        <v>-1610.2410403614576</v>
      </c>
      <c r="Y47" s="435"/>
      <c r="Z47" s="589"/>
      <c r="AA47" s="435"/>
      <c r="AB47" s="590"/>
      <c r="AC47" s="435"/>
      <c r="AD47" s="592"/>
      <c r="AE47" s="435"/>
      <c r="AF47" s="590"/>
      <c r="AG47" s="590"/>
      <c r="AH47" s="88">
        <v>7500</v>
      </c>
      <c r="AI47" s="88">
        <v>0</v>
      </c>
      <c r="AJ47" s="88">
        <v>0</v>
      </c>
      <c r="AK47" s="88">
        <v>0</v>
      </c>
      <c r="AL47" s="40"/>
      <c r="AN47" t="s">
        <v>304</v>
      </c>
    </row>
    <row r="48" spans="1:40" ht="34.9" customHeight="1" x14ac:dyDescent="0.25">
      <c r="A48" s="49" t="s">
        <v>145</v>
      </c>
      <c r="B48" s="9" t="s">
        <v>146</v>
      </c>
      <c r="C48" s="171" t="s">
        <v>146</v>
      </c>
      <c r="D48" s="240" t="s">
        <v>464</v>
      </c>
      <c r="E48" s="329" t="s">
        <v>654</v>
      </c>
      <c r="F48" s="329"/>
      <c r="G48" s="329" t="s">
        <v>642</v>
      </c>
      <c r="H48" s="329"/>
      <c r="I48" s="329" t="s">
        <v>655</v>
      </c>
      <c r="J48" s="623" t="s">
        <v>714</v>
      </c>
      <c r="K48" s="171"/>
      <c r="L48" s="654"/>
      <c r="M48" s="654"/>
      <c r="N48" s="187" t="s">
        <v>74</v>
      </c>
      <c r="O48" s="588">
        <f>'RECETAS JARABES'!G1025</f>
        <v>2302.3862320434332</v>
      </c>
      <c r="P48" s="588">
        <f>'Gtos Varios'!$B$22</f>
        <v>3070.542857142857</v>
      </c>
      <c r="Q48" s="598">
        <f>+LISTPROD[[#This Row],[PRECIO DE PRODUCCIÓN POR UND]]+LISTPROD[[#This Row],[TOTAL GASTOS VARIOS]]</f>
        <v>5372.9290891862902</v>
      </c>
      <c r="R48" s="591">
        <f>'RECETAS JARABES'!G1030</f>
        <v>3286.4239276238886</v>
      </c>
      <c r="S48" s="387">
        <f>'RECETAS JARABES'!H1030</f>
        <v>0.55000000000000004</v>
      </c>
      <c r="T48" s="368">
        <f>'RECETAS JARABES'!G1031</f>
        <v>9261.7401596673226</v>
      </c>
      <c r="U48" s="435">
        <v>6000</v>
      </c>
      <c r="V48" s="589">
        <f>(LISTPROD[[#This Row],[PRECIO DE VENTA 1]]-LISTPROD[[#This Row],[COSTO TOTAL UNIDAD]])/LISTPROD[[#This Row],[COSTO TOTAL UNIDAD]]</f>
        <v>0.11670932193685016</v>
      </c>
      <c r="W48" s="435">
        <f>LISTPROD[[#This Row],[% GANANCIA]]*LISTPROD[[#This Row],[COSTO TOTAL UNIDAD]]</f>
        <v>627.07091081370982</v>
      </c>
      <c r="X48" s="590">
        <f>+LISTPROD[[#This Row],[PRECIO DE VENTA 1]]-LISTPROD[[#This Row],[PRECIO VENTA POR RECETA]]</f>
        <v>-3261.7401596673226</v>
      </c>
      <c r="Y48" s="435">
        <v>5000</v>
      </c>
      <c r="Z48" s="592">
        <f>(LISTPROD[[#This Row],[PRECIO DE VENTA2]]-LISTPROD[[#This Row],[COSTO TOTAL UNIDAD]])/LISTPROD[[#This Row],[COSTO TOTAL UNIDAD]]</f>
        <v>-6.9408898385958206E-2</v>
      </c>
      <c r="AA48" s="435">
        <f>+LISTPROD[[#This Row],[% GANANCIA2]]*LISTPROD[[#This Row],[COSTO TOTAL UNIDAD]]</f>
        <v>-372.92908918629018</v>
      </c>
      <c r="AB48" s="590">
        <f>LISTPROD[[#This Row],[PRECIO DE VENTA2]]-LISTPROD[[#This Row],[PRECIO VENTA POR RECETA]]</f>
        <v>-4261.7401596673226</v>
      </c>
      <c r="AC48" s="435">
        <v>5000</v>
      </c>
      <c r="AD48" s="592">
        <f>(LISTPROD[[#This Row],[PRECIO DE VENTA 3]]-LISTPROD[[#This Row],[COSTO TOTAL UNIDAD]])/LISTPROD[[#This Row],[COSTO TOTAL UNIDAD]]</f>
        <v>-6.9408898385958206E-2</v>
      </c>
      <c r="AE48" s="435">
        <f>LISTPROD[[#This Row],[% GANANCIA3]]*LISTPROD[[#This Row],[COSTO TOTAL UNIDAD]]</f>
        <v>-372.92908918629018</v>
      </c>
      <c r="AF48" s="590"/>
      <c r="AG48" s="590"/>
      <c r="AH48" s="88">
        <v>6000</v>
      </c>
      <c r="AI48" s="88">
        <v>5000</v>
      </c>
      <c r="AJ48" s="88">
        <v>5000</v>
      </c>
      <c r="AK48" s="88">
        <v>5000</v>
      </c>
      <c r="AL48" s="40"/>
      <c r="AN48" s="11" t="s">
        <v>305</v>
      </c>
    </row>
    <row r="49" spans="1:40" ht="34.9" customHeight="1" x14ac:dyDescent="0.25">
      <c r="A49" s="44" t="s">
        <v>147</v>
      </c>
      <c r="B49" s="19" t="s">
        <v>483</v>
      </c>
      <c r="C49" s="160" t="s">
        <v>483</v>
      </c>
      <c r="D49" s="240" t="s">
        <v>780</v>
      </c>
      <c r="E49" s="337" t="s">
        <v>654</v>
      </c>
      <c r="F49" s="329"/>
      <c r="G49" s="329" t="s">
        <v>611</v>
      </c>
      <c r="H49" s="329"/>
      <c r="I49" s="329" t="s">
        <v>673</v>
      </c>
      <c r="J49" s="551"/>
      <c r="K49" s="160"/>
      <c r="L49" s="336"/>
      <c r="M49" s="336"/>
      <c r="N49" s="187" t="s">
        <v>74</v>
      </c>
      <c r="O49" s="588">
        <f>'RECETAS PASTILLAS'!G70</f>
        <v>4950</v>
      </c>
      <c r="P49" s="588">
        <f>'Gtos Varios'!$B$22</f>
        <v>3070.542857142857</v>
      </c>
      <c r="Q49" s="598">
        <f>+LISTPROD[[#This Row],[TOTAL GASTOS VARIOS]]+LISTPROD[[#This Row],[PRECIO DE PRODUCCIÓN POR UND]]</f>
        <v>8020.5428571428565</v>
      </c>
      <c r="R49" s="591">
        <f>'RECETAS PASTILLAS'!G75</f>
        <v>3276.7134000000001</v>
      </c>
      <c r="S49" s="387">
        <f>'RECETAS PASTILLAS'!H75</f>
        <v>0.38</v>
      </c>
      <c r="T49" s="368">
        <f>'RECETAS PASTILLAS'!G76</f>
        <v>11899.643400000001</v>
      </c>
      <c r="U49" s="435">
        <v>10500</v>
      </c>
      <c r="V49" s="589">
        <f>(LISTPROD[[#This Row],[PRECIO DE VENTA 1]]-LISTPROD[[#This Row],[COSTO TOTAL UNIDAD]])/LISTPROD[[#This Row],[COSTO TOTAL UNIDAD]]</f>
        <v>0.30913831981447648</v>
      </c>
      <c r="W49" s="435">
        <f>LISTPROD[[#This Row],[% GANANCIA]]*LISTPROD[[#This Row],[COSTO TOTAL UNIDAD]]</f>
        <v>2479.4571428571435</v>
      </c>
      <c r="X49" s="590"/>
      <c r="Y49" s="435"/>
      <c r="Z49" s="589"/>
      <c r="AA49" s="435"/>
      <c r="AB49" s="590"/>
      <c r="AC49" s="435">
        <v>0</v>
      </c>
      <c r="AD49" s="590"/>
      <c r="AE49" s="590"/>
      <c r="AF49" s="590"/>
      <c r="AG49" s="590"/>
      <c r="AH49" s="88">
        <v>10500</v>
      </c>
      <c r="AI49" s="88">
        <v>0</v>
      </c>
      <c r="AJ49" s="88">
        <v>0</v>
      </c>
      <c r="AK49" s="88">
        <v>0</v>
      </c>
      <c r="AL49" s="40"/>
      <c r="AN49" s="11" t="s">
        <v>568</v>
      </c>
    </row>
    <row r="50" spans="1:40" ht="34.9" customHeight="1" x14ac:dyDescent="0.25">
      <c r="A50" s="44" t="s">
        <v>148</v>
      </c>
      <c r="B50" s="19" t="s">
        <v>149</v>
      </c>
      <c r="C50" s="19" t="s">
        <v>149</v>
      </c>
      <c r="D50" s="240" t="s">
        <v>464</v>
      </c>
      <c r="E50" s="329" t="s">
        <v>654</v>
      </c>
      <c r="F50" s="329" t="s">
        <v>797</v>
      </c>
      <c r="G50" s="329" t="s">
        <v>642</v>
      </c>
      <c r="H50" s="645" t="s">
        <v>801</v>
      </c>
      <c r="I50" s="329" t="s">
        <v>655</v>
      </c>
      <c r="J50" s="623" t="s">
        <v>691</v>
      </c>
      <c r="K50" s="171"/>
      <c r="L50" s="337" t="s">
        <v>1146</v>
      </c>
      <c r="M50" s="538" t="s">
        <v>1150</v>
      </c>
      <c r="N50" s="187" t="s">
        <v>70</v>
      </c>
      <c r="O50" s="588">
        <f>'RECETAS JARABES'!G1055</f>
        <v>944.32325167291867</v>
      </c>
      <c r="P50" s="588">
        <f>'Gtos Varios'!$B$22</f>
        <v>3070.542857142857</v>
      </c>
      <c r="Q50" s="598">
        <f>+LISTPROD[[#This Row],[PRECIO DE PRODUCCIÓN POR UND]]+LISTPROD[[#This Row],[TOTAL GASTOS VARIOS]]</f>
        <v>4014.8661088157755</v>
      </c>
      <c r="R50" s="591">
        <f>'RECETAS JARABES'!G1060</f>
        <v>3370.5948737212307</v>
      </c>
      <c r="S50" s="387">
        <f>'RECETAS JARABES'!H1060</f>
        <v>0.73</v>
      </c>
      <c r="T50" s="368">
        <f>'RECETAS JARABES'!G1061</f>
        <v>7987.84812539415</v>
      </c>
      <c r="U50" s="435">
        <v>7000</v>
      </c>
      <c r="V50" s="589">
        <f>(LISTPROD[[#This Row],[PRECIO DE VENTA 1]]-LISTPROD[[#This Row],[COSTO TOTAL UNIDAD]])/LISTPROD[[#This Row],[COSTO TOTAL UNIDAD]]</f>
        <v>0.74352015989512521</v>
      </c>
      <c r="W50" s="435">
        <f>LISTPROD[[#This Row],[% GANANCIA]]*LISTPROD[[#This Row],[COSTO TOTAL UNIDAD]]</f>
        <v>2985.1338911842245</v>
      </c>
      <c r="X50" s="590">
        <f>+LISTPROD[[#This Row],[PRECIO DE VENTA 1]]-LISTPROD[[#This Row],[PRECIO VENTA POR RECETA]]</f>
        <v>-987.84812539414997</v>
      </c>
      <c r="Y50" s="435"/>
      <c r="Z50" s="589"/>
      <c r="AA50" s="435"/>
      <c r="AB50" s="590"/>
      <c r="AC50" s="435"/>
      <c r="AD50" s="592"/>
      <c r="AE50" s="435"/>
      <c r="AF50" s="590"/>
      <c r="AG50" s="590"/>
      <c r="AH50" s="88">
        <v>7000</v>
      </c>
      <c r="AI50" s="88">
        <v>0</v>
      </c>
      <c r="AJ50" s="88">
        <v>0</v>
      </c>
      <c r="AK50" s="88">
        <v>0</v>
      </c>
      <c r="AL50" s="40"/>
      <c r="AM50" s="626" t="s">
        <v>728</v>
      </c>
      <c r="AN50" s="11" t="s">
        <v>305</v>
      </c>
    </row>
    <row r="51" spans="1:40" ht="34.9" customHeight="1" x14ac:dyDescent="0.25">
      <c r="A51" s="49" t="s">
        <v>150</v>
      </c>
      <c r="B51" s="9" t="s">
        <v>151</v>
      </c>
      <c r="C51" s="171" t="s">
        <v>151</v>
      </c>
      <c r="D51" s="240" t="s">
        <v>464</v>
      </c>
      <c r="E51" s="329" t="s">
        <v>654</v>
      </c>
      <c r="F51" s="329"/>
      <c r="G51" s="329" t="s">
        <v>642</v>
      </c>
      <c r="H51" s="329"/>
      <c r="I51" s="329" t="s">
        <v>655</v>
      </c>
      <c r="J51" s="623" t="s">
        <v>487</v>
      </c>
      <c r="K51" s="171"/>
      <c r="L51" s="654"/>
      <c r="M51" s="654"/>
      <c r="N51" s="187" t="s">
        <v>74</v>
      </c>
      <c r="O51" s="588">
        <f>'RECETAS JARABES'!G1088</f>
        <v>2103.0103389300998</v>
      </c>
      <c r="P51" s="588">
        <f>'Gtos Varios'!$B$22</f>
        <v>3070.542857142857</v>
      </c>
      <c r="Q51" s="598">
        <f>+LISTPROD[[#This Row],[PRECIO DE PRODUCCIÓN POR UND]]+LISTPROD[[#This Row],[TOTAL GASTOS VARIOS]]</f>
        <v>5173.5531960729568</v>
      </c>
      <c r="R51" s="591">
        <f>'RECETAS JARABES'!G1093</f>
        <v>3350.0453965794577</v>
      </c>
      <c r="S51" s="387">
        <f>'RECETAS JARABES'!H1093</f>
        <v>0.57999999999999996</v>
      </c>
      <c r="T51" s="368">
        <f>'RECETAS JARABES'!G1094</f>
        <v>9125.9857355095573</v>
      </c>
      <c r="U51" s="435">
        <v>6000</v>
      </c>
      <c r="V51" s="589">
        <f>(LISTPROD[[#This Row],[PRECIO DE VENTA 1]]-LISTPROD[[#This Row],[COSTO TOTAL UNIDAD]])/LISTPROD[[#This Row],[COSTO TOTAL UNIDAD]]</f>
        <v>0.15974452617098184</v>
      </c>
      <c r="W51" s="435">
        <f>LISTPROD[[#This Row],[% GANANCIA]]*LISTPROD[[#This Row],[COSTO TOTAL UNIDAD]]</f>
        <v>826.44680392704322</v>
      </c>
      <c r="X51" s="590">
        <f>+LISTPROD[[#This Row],[PRECIO DE VENTA 1]]-LISTPROD[[#This Row],[PRECIO VENTA POR RECETA]]</f>
        <v>-3125.9857355095573</v>
      </c>
      <c r="Y51" s="435">
        <v>5000</v>
      </c>
      <c r="Z51" s="592">
        <f>(LISTPROD[[#This Row],[PRECIO DE VENTA2]]-LISTPROD[[#This Row],[COSTO TOTAL UNIDAD]])/LISTPROD[[#This Row],[COSTO TOTAL UNIDAD]]</f>
        <v>-3.3546228190848459E-2</v>
      </c>
      <c r="AA51" s="435">
        <f>+LISTPROD[[#This Row],[% GANANCIA2]]*LISTPROD[[#This Row],[COSTO TOTAL UNIDAD]]</f>
        <v>-173.55319607295678</v>
      </c>
      <c r="AB51" s="590">
        <f>LISTPROD[[#This Row],[PRECIO DE VENTA2]]-LISTPROD[[#This Row],[PRECIO VENTA POR RECETA]]</f>
        <v>-4125.9857355095573</v>
      </c>
      <c r="AC51" s="435">
        <v>5000</v>
      </c>
      <c r="AD51" s="592">
        <f>(LISTPROD[[#This Row],[PRECIO DE VENTA 3]]-LISTPROD[[#This Row],[COSTO TOTAL UNIDAD]])/LISTPROD[[#This Row],[COSTO TOTAL UNIDAD]]</f>
        <v>-3.3546228190848459E-2</v>
      </c>
      <c r="AE51" s="435">
        <f>LISTPROD[[#This Row],[% GANANCIA3]]*LISTPROD[[#This Row],[COSTO TOTAL UNIDAD]]</f>
        <v>-173.55319607295678</v>
      </c>
      <c r="AF51" s="590"/>
      <c r="AG51" s="590"/>
      <c r="AH51" s="88">
        <v>6000</v>
      </c>
      <c r="AI51" s="88">
        <v>5000</v>
      </c>
      <c r="AJ51" s="88">
        <v>5000</v>
      </c>
      <c r="AK51" s="88">
        <v>5000</v>
      </c>
      <c r="AL51" s="40"/>
      <c r="AN51" t="s">
        <v>304</v>
      </c>
    </row>
    <row r="52" spans="1:40" ht="34.9" customHeight="1" x14ac:dyDescent="0.25">
      <c r="A52" s="44" t="s">
        <v>152</v>
      </c>
      <c r="B52" s="19" t="s">
        <v>153</v>
      </c>
      <c r="C52" s="160" t="s">
        <v>153</v>
      </c>
      <c r="D52" s="240" t="s">
        <v>464</v>
      </c>
      <c r="E52" s="329" t="s">
        <v>654</v>
      </c>
      <c r="F52" s="329"/>
      <c r="G52" s="329" t="s">
        <v>642</v>
      </c>
      <c r="H52" s="329"/>
      <c r="I52" s="329" t="s">
        <v>655</v>
      </c>
      <c r="J52" s="623"/>
      <c r="K52" s="171"/>
      <c r="L52" s="654"/>
      <c r="M52" s="654"/>
      <c r="N52" s="187" t="s">
        <v>74</v>
      </c>
      <c r="O52" s="597">
        <f>'RECETAS JARABES'!G1123</f>
        <v>1447.7343455967666</v>
      </c>
      <c r="P52" s="588">
        <f>'Gtos Varios'!$B$22</f>
        <v>3070.542857142857</v>
      </c>
      <c r="Q52" s="598">
        <f>+LISTPROD[[#This Row],[PRECIO DE PRODUCCIÓN POR UND]]+LISTPROD[[#This Row],[TOTAL GASTOS VARIOS]]</f>
        <v>4518.277202739624</v>
      </c>
      <c r="R52" s="591">
        <f>'RECETAS JARABES'!G1128</f>
        <v>3328.431824637898</v>
      </c>
      <c r="S52" s="387">
        <f>'RECETAS JARABES'!H1128</f>
        <v>0.65</v>
      </c>
      <c r="T52" s="368">
        <f>'RECETAS JARABES'!G1129</f>
        <v>8449.0961702346649</v>
      </c>
      <c r="U52" s="435">
        <v>6000</v>
      </c>
      <c r="V52" s="589">
        <f>(LISTPROD[[#This Row],[PRECIO DE VENTA 1]]-LISTPROD[[#This Row],[COSTO TOTAL UNIDAD]])/LISTPROD[[#This Row],[COSTO TOTAL UNIDAD]]</f>
        <v>0.32793977234551797</v>
      </c>
      <c r="W52" s="435">
        <f>LISTPROD[[#This Row],[% GANANCIA]]*LISTPROD[[#This Row],[COSTO TOTAL UNIDAD]]</f>
        <v>1481.722797260376</v>
      </c>
      <c r="X52" s="590">
        <f>+LISTPROD[[#This Row],[PRECIO DE VENTA 1]]-LISTPROD[[#This Row],[PRECIO VENTA POR RECETA]]</f>
        <v>-2449.0961702346649</v>
      </c>
      <c r="Y52" s="435">
        <v>0</v>
      </c>
      <c r="Z52" s="589">
        <f>(LISTPROD[[#This Row],[PRECIO DE VENTA2]]-LISTPROD[[#This Row],[COSTO TOTAL UNIDAD]])/LISTPROD[[#This Row],[COSTO TOTAL UNIDAD]]</f>
        <v>-1</v>
      </c>
      <c r="AA52" s="435">
        <f>+LISTPROD[[#This Row],[% GANANCIA2]]*LISTPROD[[#This Row],[COSTO TOTAL UNIDAD]]</f>
        <v>-4518.277202739624</v>
      </c>
      <c r="AB52" s="590">
        <f>LISTPROD[[#This Row],[PRECIO DE VENTA2]]-LISTPROD[[#This Row],[PRECIO VENTA POR RECETA]]</f>
        <v>-8449.0961702346649</v>
      </c>
      <c r="AC52" s="435">
        <v>0</v>
      </c>
      <c r="AD52" s="592">
        <f>(LISTPROD[[#This Row],[PRECIO DE VENTA 3]]-LISTPROD[[#This Row],[COSTO TOTAL UNIDAD]])/LISTPROD[[#This Row],[COSTO TOTAL UNIDAD]]</f>
        <v>-1</v>
      </c>
      <c r="AE52" s="435">
        <f>LISTPROD[[#This Row],[% GANANCIA3]]*LISTPROD[[#This Row],[COSTO TOTAL UNIDAD]]</f>
        <v>-4518.277202739624</v>
      </c>
      <c r="AF52" s="590"/>
      <c r="AG52" s="590"/>
      <c r="AH52" s="88">
        <v>6000</v>
      </c>
      <c r="AI52" s="88">
        <v>0</v>
      </c>
      <c r="AJ52" s="88">
        <v>0</v>
      </c>
      <c r="AK52" s="88">
        <v>0</v>
      </c>
      <c r="AL52" s="40"/>
      <c r="AN52" s="11" t="s">
        <v>305</v>
      </c>
    </row>
    <row r="53" spans="1:40" ht="34.9" customHeight="1" x14ac:dyDescent="0.25">
      <c r="A53" s="44" t="s">
        <v>154</v>
      </c>
      <c r="B53" s="19" t="s">
        <v>155</v>
      </c>
      <c r="C53" s="160" t="s">
        <v>155</v>
      </c>
      <c r="D53" s="240" t="s">
        <v>464</v>
      </c>
      <c r="E53" s="329" t="s">
        <v>654</v>
      </c>
      <c r="F53" s="329"/>
      <c r="G53" s="329" t="s">
        <v>642</v>
      </c>
      <c r="H53" s="329"/>
      <c r="I53" s="329" t="s">
        <v>655</v>
      </c>
      <c r="J53" s="623" t="s">
        <v>487</v>
      </c>
      <c r="K53" s="171"/>
      <c r="L53" s="654"/>
      <c r="M53" s="654"/>
      <c r="N53" s="187" t="s">
        <v>74</v>
      </c>
      <c r="O53" s="588">
        <f>'RECETAS JARABES'!G1157</f>
        <v>2155.183743215814</v>
      </c>
      <c r="P53" s="588">
        <f>'Gtos Varios'!$B$22</f>
        <v>3070.542857142857</v>
      </c>
      <c r="Q53" s="598">
        <f>+LISTPROD[[#This Row],[PRECIO DE PRODUCCIÓN POR UND]]+LISTPROD[[#This Row],[TOTAL GASTOS VARIOS]]</f>
        <v>5225.726600358671</v>
      </c>
      <c r="R53" s="591">
        <f>'RECETAS JARABES'!$G$1162</f>
        <v>2855.7757341757488</v>
      </c>
      <c r="S53" s="387">
        <f>'RECETAS JARABES'!$H$1162</f>
        <v>0.49</v>
      </c>
      <c r="T53" s="368">
        <f>'RECETAS JARABES'!$G$1163</f>
        <v>8683.8894773915636</v>
      </c>
      <c r="U53" s="435">
        <v>6000</v>
      </c>
      <c r="V53" s="589">
        <f>(LISTPROD[[#This Row],[PRECIO DE VENTA 1]]-LISTPROD[[#This Row],[COSTO TOTAL UNIDAD]])/LISTPROD[[#This Row],[COSTO TOTAL UNIDAD]]</f>
        <v>0.14816569232462071</v>
      </c>
      <c r="W53" s="435">
        <f>LISTPROD[[#This Row],[% GANANCIA]]*LISTPROD[[#This Row],[COSTO TOTAL UNIDAD]]</f>
        <v>774.27339964132898</v>
      </c>
      <c r="X53" s="590">
        <f>+LISTPROD[[#This Row],[PRECIO DE VENTA 1]]-LISTPROD[[#This Row],[PRECIO VENTA POR RECETA]]</f>
        <v>-2683.8894773915636</v>
      </c>
      <c r="Y53" s="435">
        <v>5000</v>
      </c>
      <c r="Z53" s="592">
        <f>(LISTPROD[[#This Row],[PRECIO DE VENTA2]]-LISTPROD[[#This Row],[COSTO TOTAL UNIDAD]])/LISTPROD[[#This Row],[COSTO TOTAL UNIDAD]]</f>
        <v>-4.3195256396149413E-2</v>
      </c>
      <c r="AA53" s="435">
        <f>+LISTPROD[[#This Row],[% GANANCIA2]]*LISTPROD[[#This Row],[COSTO TOTAL UNIDAD]]</f>
        <v>-225.72660035867102</v>
      </c>
      <c r="AB53" s="590">
        <f>LISTPROD[[#This Row],[PRECIO DE VENTA2]]-LISTPROD[[#This Row],[PRECIO VENTA POR RECETA]]</f>
        <v>-3683.8894773915636</v>
      </c>
      <c r="AC53" s="435">
        <v>5000</v>
      </c>
      <c r="AD53" s="592">
        <f>(LISTPROD[[#This Row],[PRECIO DE VENTA 3]]-LISTPROD[[#This Row],[COSTO TOTAL UNIDAD]])/LISTPROD[[#This Row],[COSTO TOTAL UNIDAD]]</f>
        <v>-4.3195256396149413E-2</v>
      </c>
      <c r="AE53" s="435">
        <f>LISTPROD[[#This Row],[% GANANCIA3]]*LISTPROD[[#This Row],[COSTO TOTAL UNIDAD]]</f>
        <v>-225.72660035867102</v>
      </c>
      <c r="AF53" s="590"/>
      <c r="AG53" s="590"/>
      <c r="AH53" s="88">
        <v>6000</v>
      </c>
      <c r="AI53" s="88">
        <v>5000</v>
      </c>
      <c r="AJ53" s="88">
        <v>5000</v>
      </c>
      <c r="AK53" s="88">
        <v>5000</v>
      </c>
      <c r="AL53" s="40"/>
      <c r="AN53" t="s">
        <v>304</v>
      </c>
    </row>
    <row r="54" spans="1:40" ht="34.9" customHeight="1" x14ac:dyDescent="0.25">
      <c r="A54" s="44" t="s">
        <v>156</v>
      </c>
      <c r="B54" s="19" t="s">
        <v>157</v>
      </c>
      <c r="C54" s="160" t="s">
        <v>157</v>
      </c>
      <c r="D54" s="240" t="s">
        <v>470</v>
      </c>
      <c r="E54" s="329" t="s">
        <v>654</v>
      </c>
      <c r="F54" s="329"/>
      <c r="G54" s="329" t="s">
        <v>642</v>
      </c>
      <c r="H54" s="329"/>
      <c r="I54" s="329" t="s">
        <v>655</v>
      </c>
      <c r="J54" s="623" t="s">
        <v>698</v>
      </c>
      <c r="K54" s="171"/>
      <c r="L54" s="654"/>
      <c r="M54" s="654"/>
      <c r="N54" s="187" t="s">
        <v>74</v>
      </c>
      <c r="O54" s="597">
        <f>'RECETAS JARABES'!G1196</f>
        <v>1817.354238875236</v>
      </c>
      <c r="P54" s="588">
        <f>'Gtos Varios'!$B$22</f>
        <v>3070.542857142857</v>
      </c>
      <c r="Q54" s="598">
        <f>+LISTPROD[[#This Row],[PRECIO DE PRODUCCIÓN POR UND]]+LISTPROD[[#This Row],[TOTAL GASTOS VARIOS]]</f>
        <v>4887.8970960180932</v>
      </c>
      <c r="R54" s="591">
        <f>'RECETAS JARABES'!G1201</f>
        <v>3403.9762281026465</v>
      </c>
      <c r="S54" s="387">
        <f>'RECETAS JARABES'!H1201</f>
        <v>0.62</v>
      </c>
      <c r="T54" s="368">
        <f>'RECETAS JARABES'!G1202</f>
        <v>8894.260466977883</v>
      </c>
      <c r="U54" s="435">
        <v>8000</v>
      </c>
      <c r="V54" s="589">
        <f>(LISTPROD[[#This Row],[PRECIO DE VENTA 1]]-LISTPROD[[#This Row],[COSTO TOTAL UNIDAD]])/LISTPROD[[#This Row],[COSTO TOTAL UNIDAD]]</f>
        <v>0.63669566745117645</v>
      </c>
      <c r="W54" s="435">
        <f>LISTPROD[[#This Row],[% GANANCIA]]*LISTPROD[[#This Row],[COSTO TOTAL UNIDAD]]</f>
        <v>3112.1029039819068</v>
      </c>
      <c r="X54" s="590">
        <f>+LISTPROD[[#This Row],[PRECIO DE VENTA 1]]-LISTPROD[[#This Row],[PRECIO VENTA POR RECETA]]</f>
        <v>-894.26046697788297</v>
      </c>
      <c r="Y54" s="435">
        <v>5000</v>
      </c>
      <c r="Z54" s="589">
        <f>(LISTPROD[[#This Row],[PRECIO DE VENTA2]]-LISTPROD[[#This Row],[COSTO TOTAL UNIDAD]])/LISTPROD[[#This Row],[COSTO TOTAL UNIDAD]]</f>
        <v>2.2934792156985268E-2</v>
      </c>
      <c r="AA54" s="435">
        <f>+LISTPROD[[#This Row],[% GANANCIA2]]*LISTPROD[[#This Row],[COSTO TOTAL UNIDAD]]</f>
        <v>112.10290398190683</v>
      </c>
      <c r="AB54" s="590">
        <f>LISTPROD[[#This Row],[PRECIO DE VENTA2]]-LISTPROD[[#This Row],[PRECIO VENTA POR RECETA]]</f>
        <v>-3894.260466977883</v>
      </c>
      <c r="AC54" s="435">
        <v>5000</v>
      </c>
      <c r="AD54" s="592">
        <f>(LISTPROD[[#This Row],[PRECIO DE VENTA 3]]-LISTPROD[[#This Row],[COSTO TOTAL UNIDAD]])/LISTPROD[[#This Row],[COSTO TOTAL UNIDAD]]</f>
        <v>2.2934792156985268E-2</v>
      </c>
      <c r="AE54" s="435">
        <f>LISTPROD[[#This Row],[% GANANCIA3]]*LISTPROD[[#This Row],[COSTO TOTAL UNIDAD]]</f>
        <v>112.10290398190683</v>
      </c>
      <c r="AF54" s="590"/>
      <c r="AG54" s="590"/>
      <c r="AH54" s="88">
        <v>8000</v>
      </c>
      <c r="AI54" s="88">
        <v>5000</v>
      </c>
      <c r="AJ54" s="88">
        <v>5000</v>
      </c>
      <c r="AK54" s="88">
        <v>5000</v>
      </c>
      <c r="AL54" s="40"/>
      <c r="AN54" s="11" t="s">
        <v>568</v>
      </c>
    </row>
    <row r="55" spans="1:40" ht="34.9" customHeight="1" x14ac:dyDescent="0.25">
      <c r="A55" s="44" t="s">
        <v>158</v>
      </c>
      <c r="B55" s="19" t="s">
        <v>159</v>
      </c>
      <c r="C55" s="160" t="s">
        <v>159</v>
      </c>
      <c r="D55" s="240" t="s">
        <v>464</v>
      </c>
      <c r="E55" s="329" t="s">
        <v>654</v>
      </c>
      <c r="F55" s="329"/>
      <c r="G55" s="329" t="s">
        <v>642</v>
      </c>
      <c r="H55" s="329"/>
      <c r="I55" s="329" t="s">
        <v>655</v>
      </c>
      <c r="J55" s="623" t="s">
        <v>487</v>
      </c>
      <c r="K55" s="171"/>
      <c r="L55" s="654"/>
      <c r="M55" s="654"/>
      <c r="N55" s="187" t="s">
        <v>74</v>
      </c>
      <c r="O55" s="588">
        <f>'RECETAS JARABES'!G1228</f>
        <v>2102.6344122634332</v>
      </c>
      <c r="P55" s="588">
        <f>'Gtos Varios'!$B$22</f>
        <v>3070.542857142857</v>
      </c>
      <c r="Q55" s="598">
        <f>+LISTPROD[[#This Row],[PRECIO DE PRODUCCIÓN POR UND]]+LISTPROD[[#This Row],[TOTAL GASTOS VARIOS]]</f>
        <v>5173.1772694062902</v>
      </c>
      <c r="R55" s="591">
        <f>'RECETAS JARABES'!G1233</f>
        <v>3349.8273591127909</v>
      </c>
      <c r="S55" s="387">
        <f>'RECETAS JARABES'!H1233</f>
        <v>0.57999999999999996</v>
      </c>
      <c r="T55" s="368">
        <f>'RECETAS JARABES'!G1234</f>
        <v>9125.3917713762239</v>
      </c>
      <c r="U55" s="435">
        <v>6000</v>
      </c>
      <c r="V55" s="589">
        <f>(LISTPROD[[#This Row],[PRECIO DE VENTA 1]]-LISTPROD[[#This Row],[COSTO TOTAL UNIDAD]])/LISTPROD[[#This Row],[COSTO TOTAL UNIDAD]]</f>
        <v>0.15982880298408986</v>
      </c>
      <c r="W55" s="435">
        <f>LISTPROD[[#This Row],[% GANANCIA]]*LISTPROD[[#This Row],[COSTO TOTAL UNIDAD]]</f>
        <v>826.82273059370993</v>
      </c>
      <c r="X55" s="590">
        <f>+LISTPROD[[#This Row],[PRECIO DE VENTA 1]]-LISTPROD[[#This Row],[PRECIO VENTA POR RECETA]]</f>
        <v>-3125.3917713762239</v>
      </c>
      <c r="Y55" s="435">
        <v>5000</v>
      </c>
      <c r="Z55" s="592">
        <f>(LISTPROD[[#This Row],[PRECIO DE VENTA2]]-LISTPROD[[#This Row],[COSTO TOTAL UNIDAD]])/LISTPROD[[#This Row],[COSTO TOTAL UNIDAD]]</f>
        <v>-3.3475997513258464E-2</v>
      </c>
      <c r="AA55" s="435">
        <f>+LISTPROD[[#This Row],[% GANANCIA2]]*LISTPROD[[#This Row],[COSTO TOTAL UNIDAD]]</f>
        <v>-173.17726940629018</v>
      </c>
      <c r="AB55" s="590">
        <f>LISTPROD[[#This Row],[PRECIO DE VENTA2]]-LISTPROD[[#This Row],[PRECIO VENTA POR RECETA]]</f>
        <v>-4125.3917713762239</v>
      </c>
      <c r="AC55" s="435">
        <v>5000</v>
      </c>
      <c r="AD55" s="592">
        <f>(LISTPROD[[#This Row],[PRECIO DE VENTA 3]]-LISTPROD[[#This Row],[COSTO TOTAL UNIDAD]])/LISTPROD[[#This Row],[COSTO TOTAL UNIDAD]]</f>
        <v>-3.3475997513258464E-2</v>
      </c>
      <c r="AE55" s="435">
        <f>LISTPROD[[#This Row],[% GANANCIA3]]*LISTPROD[[#This Row],[COSTO TOTAL UNIDAD]]</f>
        <v>-173.17726940629018</v>
      </c>
      <c r="AF55" s="590"/>
      <c r="AG55" s="590"/>
      <c r="AH55" s="88">
        <v>6000</v>
      </c>
      <c r="AI55" s="88">
        <v>5000</v>
      </c>
      <c r="AJ55" s="88">
        <v>5000</v>
      </c>
      <c r="AK55" s="88">
        <v>5000</v>
      </c>
      <c r="AL55" s="40"/>
      <c r="AN55" t="s">
        <v>304</v>
      </c>
    </row>
    <row r="56" spans="1:40" ht="34.9" customHeight="1" x14ac:dyDescent="0.25">
      <c r="A56" s="44" t="s">
        <v>160</v>
      </c>
      <c r="B56" s="19" t="s">
        <v>161</v>
      </c>
      <c r="C56" s="160" t="s">
        <v>161</v>
      </c>
      <c r="D56" s="240" t="s">
        <v>464</v>
      </c>
      <c r="E56" s="329" t="s">
        <v>654</v>
      </c>
      <c r="F56" s="329"/>
      <c r="G56" s="329" t="s">
        <v>642</v>
      </c>
      <c r="H56" s="329"/>
      <c r="I56" s="329" t="s">
        <v>655</v>
      </c>
      <c r="J56" s="623" t="s">
        <v>487</v>
      </c>
      <c r="K56" s="171"/>
      <c r="L56" s="654"/>
      <c r="M56" s="654"/>
      <c r="N56" s="187" t="s">
        <v>74</v>
      </c>
      <c r="O56" s="588">
        <f>'RECETAS JARABES'!G1264</f>
        <v>2129.0702622634331</v>
      </c>
      <c r="P56" s="588">
        <f>'Gtos Varios'!$B$22</f>
        <v>3070.542857142857</v>
      </c>
      <c r="Q56" s="598">
        <f>+LISTPROD[[#This Row],[PRECIO DE PRODUCCIÓN POR UND]]+LISTPROD[[#This Row],[TOTAL GASTOS VARIOS]]</f>
        <v>5199.61311940629</v>
      </c>
      <c r="R56" s="591">
        <f>'RECETAS JARABES'!G1269</f>
        <v>3365.1601521127909</v>
      </c>
      <c r="S56" s="387">
        <f>'RECETAS JARABES'!H1269</f>
        <v>0.57999999999999996</v>
      </c>
      <c r="T56" s="368">
        <f>'RECETAS JARABES'!G1270</f>
        <v>9167.1604143762233</v>
      </c>
      <c r="U56" s="435">
        <v>6000</v>
      </c>
      <c r="V56" s="589">
        <f>(LISTPROD[[#This Row],[PRECIO DE VENTA 1]]-LISTPROD[[#This Row],[COSTO TOTAL UNIDAD]])/LISTPROD[[#This Row],[COSTO TOTAL UNIDAD]]</f>
        <v>0.15393200651918906</v>
      </c>
      <c r="W56" s="435">
        <f>LISTPROD[[#This Row],[% GANANCIA]]*LISTPROD[[#This Row],[COSTO TOTAL UNIDAD]]</f>
        <v>800.38688059370998</v>
      </c>
      <c r="X56" s="590">
        <f>+LISTPROD[[#This Row],[PRECIO DE VENTA 1]]-LISTPROD[[#This Row],[PRECIO VENTA POR RECETA]]</f>
        <v>-3167.1604143762233</v>
      </c>
      <c r="Y56" s="435">
        <v>5000</v>
      </c>
      <c r="Z56" s="592">
        <f>(LISTPROD[[#This Row],[PRECIO DE VENTA2]]-LISTPROD[[#This Row],[COSTO TOTAL UNIDAD]])/LISTPROD[[#This Row],[COSTO TOTAL UNIDAD]]</f>
        <v>-3.8389994567342454E-2</v>
      </c>
      <c r="AA56" s="435">
        <f>+LISTPROD[[#This Row],[% GANANCIA2]]*LISTPROD[[#This Row],[COSTO TOTAL UNIDAD]]</f>
        <v>-199.61311940629002</v>
      </c>
      <c r="AB56" s="590">
        <f>LISTPROD[[#This Row],[PRECIO DE VENTA2]]-LISTPROD[[#This Row],[PRECIO VENTA POR RECETA]]</f>
        <v>-4167.1604143762233</v>
      </c>
      <c r="AC56" s="435">
        <v>5000</v>
      </c>
      <c r="AD56" s="592">
        <f>(LISTPROD[[#This Row],[PRECIO DE VENTA 3]]-LISTPROD[[#This Row],[COSTO TOTAL UNIDAD]])/LISTPROD[[#This Row],[COSTO TOTAL UNIDAD]]</f>
        <v>-3.8389994567342454E-2</v>
      </c>
      <c r="AE56" s="435">
        <f>LISTPROD[[#This Row],[% GANANCIA3]]*LISTPROD[[#This Row],[COSTO TOTAL UNIDAD]]</f>
        <v>-199.61311940629002</v>
      </c>
      <c r="AF56" s="590"/>
      <c r="AG56" s="590"/>
      <c r="AH56" s="88">
        <v>6000</v>
      </c>
      <c r="AI56" s="88">
        <v>5000</v>
      </c>
      <c r="AJ56" s="88">
        <v>5000</v>
      </c>
      <c r="AK56" s="88">
        <v>5000</v>
      </c>
      <c r="AL56" s="40"/>
      <c r="AN56" t="s">
        <v>304</v>
      </c>
    </row>
    <row r="57" spans="1:40" ht="34.9" customHeight="1" x14ac:dyDescent="0.25">
      <c r="A57" s="44" t="s">
        <v>162</v>
      </c>
      <c r="B57" s="19" t="s">
        <v>792</v>
      </c>
      <c r="C57" s="19" t="s">
        <v>1107</v>
      </c>
      <c r="D57" s="240" t="s">
        <v>465</v>
      </c>
      <c r="E57" s="329" t="s">
        <v>654</v>
      </c>
      <c r="F57" s="329" t="s">
        <v>797</v>
      </c>
      <c r="G57" s="329" t="s">
        <v>642</v>
      </c>
      <c r="H57" s="329" t="s">
        <v>803</v>
      </c>
      <c r="I57" s="329" t="s">
        <v>747</v>
      </c>
      <c r="J57" s="623" t="s">
        <v>491</v>
      </c>
      <c r="K57" s="171"/>
      <c r="L57" s="538" t="s">
        <v>1145</v>
      </c>
      <c r="M57" s="538" t="s">
        <v>1145</v>
      </c>
      <c r="N57" s="187" t="s">
        <v>73</v>
      </c>
      <c r="O57" s="588">
        <f>'RECETAS JARABES'!G1296</f>
        <v>2274.0440770483724</v>
      </c>
      <c r="P57" s="588">
        <f>'Gtos Varios'!$B$22</f>
        <v>3070.542857142857</v>
      </c>
      <c r="Q57" s="598">
        <f>+LISTPROD[[#This Row],[PRECIO DE PRODUCCIÓN POR UND]]+LISTPROD[[#This Row],[TOTAL GASTOS VARIOS]]</f>
        <v>5344.5869341912294</v>
      </c>
      <c r="R57" s="591">
        <f>'RECETAS JARABES'!$G$1301</f>
        <v>3330.3054831470886</v>
      </c>
      <c r="S57" s="387">
        <f>'RECETAS JARABES'!$H$1301</f>
        <v>0.56000000000000005</v>
      </c>
      <c r="T57" s="368">
        <f>'RECETAS JARABES'!$G$1302</f>
        <v>9277.2795601954604</v>
      </c>
      <c r="U57" s="435">
        <v>7500</v>
      </c>
      <c r="V57" s="589">
        <f>(LISTPROD[[#This Row],[PRECIO DE VENTA 1]]-LISTPROD[[#This Row],[COSTO TOTAL UNIDAD]])/LISTPROD[[#This Row],[COSTO TOTAL UNIDAD]]</f>
        <v>0.40328898984125872</v>
      </c>
      <c r="W57" s="435">
        <f>LISTPROD[[#This Row],[% GANANCIA]]*LISTPROD[[#This Row],[COSTO TOTAL UNIDAD]]</f>
        <v>2155.4130658087706</v>
      </c>
      <c r="X57" s="590">
        <f>+LISTPROD[[#This Row],[PRECIO DE VENTA 1]]-LISTPROD[[#This Row],[PRECIO VENTA POR RECETA]]</f>
        <v>-1777.2795601954604</v>
      </c>
      <c r="Y57" s="435">
        <v>5000</v>
      </c>
      <c r="Z57" s="592">
        <f>(LISTPROD[[#This Row],[PRECIO DE VENTA2]]-LISTPROD[[#This Row],[COSTO TOTAL UNIDAD]])/LISTPROD[[#This Row],[COSTO TOTAL UNIDAD]]</f>
        <v>-6.4474006772494208E-2</v>
      </c>
      <c r="AA57" s="435">
        <f>+LISTPROD[[#This Row],[% GANANCIA2]]*LISTPROD[[#This Row],[COSTO TOTAL UNIDAD]]</f>
        <v>-344.58693419122937</v>
      </c>
      <c r="AB57" s="590">
        <f>LISTPROD[[#This Row],[PRECIO DE VENTA2]]-LISTPROD[[#This Row],[PRECIO VENTA POR RECETA]]</f>
        <v>-4277.2795601954604</v>
      </c>
      <c r="AC57" s="435">
        <v>5000</v>
      </c>
      <c r="AD57" s="592">
        <f>(LISTPROD[[#This Row],[PRECIO DE VENTA 3]]-LISTPROD[[#This Row],[COSTO TOTAL UNIDAD]])/LISTPROD[[#This Row],[COSTO TOTAL UNIDAD]]</f>
        <v>-6.4474006772494208E-2</v>
      </c>
      <c r="AE57" s="435">
        <f>LISTPROD[[#This Row],[% GANANCIA3]]*LISTPROD[[#This Row],[COSTO TOTAL UNIDAD]]</f>
        <v>-344.58693419122937</v>
      </c>
      <c r="AF57" s="590"/>
      <c r="AG57" s="590"/>
      <c r="AH57" s="88">
        <v>7500</v>
      </c>
      <c r="AI57" s="88">
        <v>5000</v>
      </c>
      <c r="AJ57" s="88">
        <v>5000</v>
      </c>
      <c r="AK57" s="88">
        <v>5000</v>
      </c>
      <c r="AL57" s="40"/>
      <c r="AN57" t="s">
        <v>304</v>
      </c>
    </row>
    <row r="58" spans="1:40" s="275" customFormat="1" ht="34.9" customHeight="1" x14ac:dyDescent="0.25">
      <c r="A58" s="472" t="s">
        <v>164</v>
      </c>
      <c r="B58" s="259" t="s">
        <v>165</v>
      </c>
      <c r="C58" s="160" t="s">
        <v>165</v>
      </c>
      <c r="D58" s="586" t="s">
        <v>471</v>
      </c>
      <c r="E58" s="587" t="s">
        <v>654</v>
      </c>
      <c r="F58" s="329"/>
      <c r="G58" s="339" t="s">
        <v>644</v>
      </c>
      <c r="H58" s="339"/>
      <c r="I58" s="342"/>
      <c r="J58" s="586"/>
      <c r="K58" s="343"/>
      <c r="L58" s="342"/>
      <c r="M58" s="342"/>
      <c r="N58" s="473" t="s">
        <v>74</v>
      </c>
      <c r="O58" s="603" t="s">
        <v>1063</v>
      </c>
      <c r="P58" s="621"/>
      <c r="Q58" s="506"/>
      <c r="R58" s="506"/>
      <c r="S58" s="524"/>
      <c r="T58" s="535"/>
      <c r="U58" s="507">
        <v>8000</v>
      </c>
      <c r="V58" s="600" t="e">
        <f>(LISTPROD[[#This Row],[PRECIO DE VENTA 1]]-LISTPROD[[#This Row],[COSTO TOTAL UNIDAD]])/LISTPROD[[#This Row],[COSTO TOTAL UNIDAD]]</f>
        <v>#DIV/0!</v>
      </c>
      <c r="W58" s="507" t="e">
        <f>LISTPROD[[#This Row],[% GANANCIA]]*LISTPROD[[#This Row],[COSTO TOTAL UNIDAD]]</f>
        <v>#DIV/0!</v>
      </c>
      <c r="X58" s="601"/>
      <c r="Y58" s="507">
        <v>0</v>
      </c>
      <c r="Z58" s="600" t="e">
        <f>(LISTPROD[[#This Row],[PRECIO DE VENTA2]]-LISTPROD[[#This Row],[COSTO TOTAL UNIDAD]])/LISTPROD[[#This Row],[COSTO TOTAL UNIDAD]]</f>
        <v>#DIV/0!</v>
      </c>
      <c r="AA58" s="507" t="e">
        <f>LISTPROD[[#This Row],[PRECIO DE VENTA2]]*LISTPROD[[#This Row],[% GANANCIA2]]</f>
        <v>#DIV/0!</v>
      </c>
      <c r="AB58" s="602">
        <f>LISTPROD[[#This Row],[PRECIO DE VENTA2]]-LISTPROD[[#This Row],[PRECIO VENTA POR RECETA]]</f>
        <v>0</v>
      </c>
      <c r="AC58" s="507">
        <v>0</v>
      </c>
      <c r="AD58" s="601"/>
      <c r="AE58" s="601"/>
      <c r="AF58" s="601"/>
      <c r="AG58" s="601"/>
      <c r="AH58" s="508">
        <v>8000</v>
      </c>
      <c r="AI58" s="508">
        <v>0</v>
      </c>
      <c r="AJ58" s="508">
        <v>0</v>
      </c>
      <c r="AK58" s="508">
        <v>0</v>
      </c>
      <c r="AL58" s="72"/>
      <c r="AM58" s="630"/>
      <c r="AN58" s="12" t="s">
        <v>305</v>
      </c>
    </row>
    <row r="59" spans="1:40" ht="34.9" customHeight="1" x14ac:dyDescent="0.25">
      <c r="A59" s="44" t="s">
        <v>166</v>
      </c>
      <c r="B59" s="19" t="s">
        <v>167</v>
      </c>
      <c r="C59" s="160" t="s">
        <v>167</v>
      </c>
      <c r="D59" s="240" t="s">
        <v>464</v>
      </c>
      <c r="E59" s="329" t="s">
        <v>654</v>
      </c>
      <c r="F59" s="329"/>
      <c r="G59" s="329" t="s">
        <v>642</v>
      </c>
      <c r="H59" s="329"/>
      <c r="I59" s="329" t="s">
        <v>655</v>
      </c>
      <c r="J59" s="623" t="s">
        <v>691</v>
      </c>
      <c r="K59" s="171"/>
      <c r="L59" s="654"/>
      <c r="M59" s="654"/>
      <c r="N59" s="187" t="s">
        <v>74</v>
      </c>
      <c r="O59" s="588">
        <f>'RECETAS JARABES'!G1328</f>
        <v>1331.1353619247229</v>
      </c>
      <c r="P59" s="588">
        <f>'Gtos Varios'!$B$22</f>
        <v>3070.542857142857</v>
      </c>
      <c r="Q59" s="598">
        <f>+LISTPROD[[#This Row],[PRECIO DE PRODUCCIÓN POR UND]]+LISTPROD[[#This Row],[TOTAL GASTOS VARIOS]]</f>
        <v>4401.6782190675804</v>
      </c>
      <c r="R59" s="591">
        <f>'RECETAS JARABES'!G1333</f>
        <v>3452.8050997280579</v>
      </c>
      <c r="S59" s="387">
        <f>'RECETAS JARABES'!H1333</f>
        <v>0.69</v>
      </c>
      <c r="T59" s="368">
        <f>'RECETAS JARABES'!G1334</f>
        <v>8456.8704616527793</v>
      </c>
      <c r="U59" s="435">
        <v>6000</v>
      </c>
      <c r="V59" s="589">
        <f>(LISTPROD[[#This Row],[PRECIO DE VENTA 1]]-LISTPROD[[#This Row],[COSTO TOTAL UNIDAD]])/LISTPROD[[#This Row],[COSTO TOTAL UNIDAD]]</f>
        <v>0.36311645272220661</v>
      </c>
      <c r="W59" s="435">
        <f>LISTPROD[[#This Row],[% GANANCIA]]*LISTPROD[[#This Row],[COSTO TOTAL UNIDAD]]</f>
        <v>1598.3217809324196</v>
      </c>
      <c r="X59" s="590">
        <f>+LISTPROD[[#This Row],[PRECIO DE VENTA 1]]-LISTPROD[[#This Row],[PRECIO VENTA POR RECETA]]</f>
        <v>-2456.8704616527793</v>
      </c>
      <c r="Y59" s="435"/>
      <c r="Z59" s="589"/>
      <c r="AA59" s="435"/>
      <c r="AB59" s="590"/>
      <c r="AC59" s="435"/>
      <c r="AD59" s="592"/>
      <c r="AE59" s="435"/>
      <c r="AF59" s="590"/>
      <c r="AG59" s="590"/>
      <c r="AH59" s="88">
        <v>6000</v>
      </c>
      <c r="AI59" s="88">
        <v>0</v>
      </c>
      <c r="AJ59" s="88">
        <v>0</v>
      </c>
      <c r="AK59" s="88">
        <v>0</v>
      </c>
      <c r="AL59" s="40"/>
      <c r="AN59" t="s">
        <v>304</v>
      </c>
    </row>
    <row r="60" spans="1:40" ht="34.9" customHeight="1" x14ac:dyDescent="0.25">
      <c r="A60" s="49" t="s">
        <v>168</v>
      </c>
      <c r="B60" s="9" t="s">
        <v>472</v>
      </c>
      <c r="C60" s="171" t="s">
        <v>472</v>
      </c>
      <c r="D60" s="240" t="s">
        <v>465</v>
      </c>
      <c r="E60" s="329" t="s">
        <v>654</v>
      </c>
      <c r="F60" s="329" t="s">
        <v>797</v>
      </c>
      <c r="G60" s="329" t="s">
        <v>642</v>
      </c>
      <c r="H60" s="329" t="s">
        <v>803</v>
      </c>
      <c r="I60" s="329" t="s">
        <v>747</v>
      </c>
      <c r="J60" s="623"/>
      <c r="K60" s="171"/>
      <c r="L60" s="337" t="s">
        <v>1146</v>
      </c>
      <c r="M60" s="538" t="s">
        <v>1150</v>
      </c>
      <c r="N60" s="187" t="s">
        <v>70</v>
      </c>
      <c r="O60" s="588">
        <f>'RECETAS JARABES'!G1357</f>
        <v>1660.4126852301906</v>
      </c>
      <c r="P60" s="588">
        <f>'Gtos Varios'!$B$22</f>
        <v>3070.542857142857</v>
      </c>
      <c r="Q60" s="598">
        <f>+LISTPROD[[#This Row],[PRECIO DE PRODUCCIÓN POR UND]]+LISTPROD[[#This Row],[TOTAL GASTOS VARIOS]]</f>
        <v>4730.9555423730471</v>
      </c>
      <c r="R60" s="591">
        <f>'RECETAS JARABES'!G1362</f>
        <v>3413.3393185473224</v>
      </c>
      <c r="S60" s="387">
        <f>'RECETAS JARABES'!H1362</f>
        <v>0.64</v>
      </c>
      <c r="T60" s="368">
        <f>'RECETAS JARABES'!G1363</f>
        <v>8746.6820037775142</v>
      </c>
      <c r="U60" s="435">
        <v>10000</v>
      </c>
      <c r="V60" s="589">
        <f>(LISTPROD[[#This Row],[PRECIO DE VENTA 1]]-LISTPROD[[#This Row],[COSTO TOTAL UNIDAD]])/LISTPROD[[#This Row],[COSTO TOTAL UNIDAD]]</f>
        <v>1.1137378929974049</v>
      </c>
      <c r="W60" s="435">
        <f>LISTPROD[[#This Row],[% GANANCIA]]*LISTPROD[[#This Row],[COSTO TOTAL UNIDAD]]</f>
        <v>5269.044457626952</v>
      </c>
      <c r="X60" s="590">
        <f>+LISTPROD[[#This Row],[PRECIO DE VENTA 1]]-LISTPROD[[#This Row],[PRECIO VENTA POR RECETA]]</f>
        <v>1253.3179962224858</v>
      </c>
      <c r="Y60" s="435"/>
      <c r="Z60" s="589"/>
      <c r="AA60" s="435"/>
      <c r="AB60" s="590"/>
      <c r="AC60" s="435"/>
      <c r="AD60" s="592"/>
      <c r="AE60" s="435"/>
      <c r="AF60" s="590"/>
      <c r="AG60" s="590"/>
      <c r="AH60" s="88">
        <v>10000</v>
      </c>
      <c r="AI60" s="88">
        <v>0</v>
      </c>
      <c r="AJ60" s="88">
        <v>0</v>
      </c>
      <c r="AK60" s="88">
        <v>0</v>
      </c>
      <c r="AL60" s="662" t="s">
        <v>235</v>
      </c>
      <c r="AM60" s="626" t="s">
        <v>728</v>
      </c>
      <c r="AN60" t="s">
        <v>304</v>
      </c>
    </row>
    <row r="61" spans="1:40" ht="34.9" customHeight="1" x14ac:dyDescent="0.25">
      <c r="A61" s="44" t="s">
        <v>96</v>
      </c>
      <c r="B61" s="19" t="s">
        <v>516</v>
      </c>
      <c r="C61" s="19" t="s">
        <v>514</v>
      </c>
      <c r="D61" s="240" t="s">
        <v>515</v>
      </c>
      <c r="E61" s="329" t="s">
        <v>654</v>
      </c>
      <c r="F61" s="329" t="s">
        <v>797</v>
      </c>
      <c r="G61" s="329" t="s">
        <v>508</v>
      </c>
      <c r="H61" s="645" t="s">
        <v>810</v>
      </c>
      <c r="I61" s="663" t="s">
        <v>658</v>
      </c>
      <c r="J61" s="624"/>
      <c r="K61" s="160"/>
      <c r="L61" s="538" t="s">
        <v>1145</v>
      </c>
      <c r="M61" s="538" t="s">
        <v>1145</v>
      </c>
      <c r="N61" s="187" t="s">
        <v>73</v>
      </c>
      <c r="O61" s="594">
        <f>'RECETAS CAPS'!AW19</f>
        <v>2237.75</v>
      </c>
      <c r="P61" s="588">
        <f>'Gtos Varios'!$B$22</f>
        <v>3070.542857142857</v>
      </c>
      <c r="Q61" s="510">
        <f>+LISTPROD[[#This Row],[TOTAL GASTOS VARIOS]]+LISTPROD[[#This Row],[PRECIO DE PRODUCCIÓN POR UND]]</f>
        <v>5308.2928571428565</v>
      </c>
      <c r="R61" s="591">
        <f>'RECETAS CAPS'!AW25</f>
        <v>3428.1943999999999</v>
      </c>
      <c r="S61" s="387">
        <f>'RECETAS CAPS'!AX25</f>
        <v>0.57999999999999996</v>
      </c>
      <c r="T61" s="664">
        <f>'RECETAS CAPS'!AW26</f>
        <v>9338.8744000000006</v>
      </c>
      <c r="U61" s="362">
        <v>8387.1027142857129</v>
      </c>
      <c r="V61" s="592">
        <f>(LISTPROD[[#This Row],[PRECIO DE VENTA 1]]-LISTPROD[[#This Row],[COSTO TOTAL UNIDAD]])/LISTPROD[[#This Row],[COSTO TOTAL UNIDAD]]</f>
        <v>0.57999999999999996</v>
      </c>
      <c r="W61" s="435">
        <f>LISTPROD[[#This Row],[% GANANCIA]]*LISTPROD[[#This Row],[COSTO TOTAL UNIDAD]]</f>
        <v>3078.8098571428563</v>
      </c>
      <c r="X61" s="393"/>
      <c r="Y61" s="435"/>
      <c r="Z61" s="589"/>
      <c r="AA61" s="435"/>
      <c r="AB61" s="590"/>
      <c r="AC61" s="435"/>
      <c r="AD61" s="393"/>
      <c r="AE61" s="393"/>
      <c r="AF61" s="393"/>
      <c r="AG61" s="393"/>
      <c r="AH61" s="88">
        <v>5000</v>
      </c>
      <c r="AI61" s="88">
        <v>0</v>
      </c>
      <c r="AJ61" s="88">
        <v>0</v>
      </c>
      <c r="AK61" s="88">
        <v>0</v>
      </c>
      <c r="AL61" s="662" t="s">
        <v>235</v>
      </c>
      <c r="AM61" s="626" t="s">
        <v>728</v>
      </c>
      <c r="AN61" t="s">
        <v>304</v>
      </c>
    </row>
    <row r="62" spans="1:40" s="669" customFormat="1" ht="34.9" customHeight="1" x14ac:dyDescent="0.2">
      <c r="A62" s="665" t="s">
        <v>169</v>
      </c>
      <c r="B62" s="666" t="s">
        <v>1088</v>
      </c>
      <c r="C62" s="667" t="s">
        <v>1088</v>
      </c>
      <c r="D62" s="666" t="s">
        <v>589</v>
      </c>
      <c r="E62" s="538" t="s">
        <v>654</v>
      </c>
      <c r="F62" s="329"/>
      <c r="G62" s="538" t="s">
        <v>642</v>
      </c>
      <c r="H62" s="538"/>
      <c r="I62" s="538" t="s">
        <v>746</v>
      </c>
      <c r="J62" s="666" t="s">
        <v>714</v>
      </c>
      <c r="K62" s="666"/>
      <c r="L62" s="538"/>
      <c r="M62" s="538"/>
      <c r="N62" s="666" t="s">
        <v>74</v>
      </c>
      <c r="O62" s="588">
        <f>'RECETAS JARABES'!G1389</f>
        <v>563.55985179838319</v>
      </c>
      <c r="P62" s="588">
        <f>'Gtos Varios'!$B$22</f>
        <v>3070.542857142857</v>
      </c>
      <c r="Q62" s="598">
        <f>+LISTPROD[[#This Row],[PRECIO DE PRODUCCIÓN POR UND]]+LISTPROD[[#This Row],[TOTAL GASTOS VARIOS]]</f>
        <v>3634.1027089412401</v>
      </c>
      <c r="R62" s="607">
        <f>'RECETAS JARABES'!G1394</f>
        <v>3516.2865769926575</v>
      </c>
      <c r="S62" s="608">
        <f>'RECETAS JARABES'!H1394</f>
        <v>0.83</v>
      </c>
      <c r="T62" s="640">
        <f>'RECETAS JARABES'!G1395</f>
        <v>7752.7764287910404</v>
      </c>
      <c r="U62" s="640">
        <v>2000</v>
      </c>
      <c r="V62" s="641">
        <f>(LISTPROD[[#This Row],[PRECIO DE VENTA 1]]-LISTPROD[[#This Row],[COSTO TOTAL UNIDAD]])/LISTPROD[[#This Row],[COSTO TOTAL UNIDAD]]</f>
        <v>-0.44965782197645143</v>
      </c>
      <c r="W62" s="640">
        <f>LISTPROD[[#This Row],[% GANANCIA]]*LISTPROD[[#This Row],[COSTO TOTAL UNIDAD]]</f>
        <v>-1634.1027089412401</v>
      </c>
      <c r="X62" s="642">
        <f>+LISTPROD[[#This Row],[PRECIO DE VENTA 1]]-LISTPROD[[#This Row],[PRECIO VENTA POR RECETA]]</f>
        <v>-5752.7764287910404</v>
      </c>
      <c r="Y62" s="640">
        <v>5000</v>
      </c>
      <c r="Z62" s="641">
        <f>(LISTPROD[[#This Row],[PRECIO DE VENTA2]]-LISTPROD[[#This Row],[COSTO TOTAL UNIDAD]])/LISTPROD[[#This Row],[COSTO TOTAL UNIDAD]]</f>
        <v>0.37585544505887142</v>
      </c>
      <c r="AA62" s="640">
        <f>+LISTPROD[[#This Row],[% GANANCIA2]]*LISTPROD[[#This Row],[COSTO TOTAL UNIDAD]]</f>
        <v>1365.8972910587599</v>
      </c>
      <c r="AB62" s="642">
        <f>LISTPROD[[#This Row],[PRECIO DE VENTA2]]-LISTPROD[[#This Row],[PRECIO VENTA POR RECETA]]</f>
        <v>-2752.7764287910404</v>
      </c>
      <c r="AC62" s="640">
        <v>5000</v>
      </c>
      <c r="AD62" s="641">
        <f>(LISTPROD[[#This Row],[PRECIO DE VENTA 3]]-LISTPROD[[#This Row],[COSTO TOTAL UNIDAD]])/LISTPROD[[#This Row],[COSTO TOTAL UNIDAD]]</f>
        <v>0.37585544505887142</v>
      </c>
      <c r="AE62" s="640">
        <f>LISTPROD[[#This Row],[% GANANCIA3]]*LISTPROD[[#This Row],[COSTO TOTAL UNIDAD]]</f>
        <v>1365.8972910587599</v>
      </c>
      <c r="AF62" s="642"/>
      <c r="AG62" s="642"/>
      <c r="AH62" s="643">
        <v>2000</v>
      </c>
      <c r="AI62" s="643">
        <v>5000</v>
      </c>
      <c r="AJ62" s="643">
        <v>5000</v>
      </c>
      <c r="AK62" s="643">
        <v>5000</v>
      </c>
      <c r="AL62" s="668"/>
      <c r="AN62" s="669" t="s">
        <v>304</v>
      </c>
    </row>
    <row r="63" spans="1:40" s="275" customFormat="1" ht="34.9" customHeight="1" x14ac:dyDescent="0.25">
      <c r="A63" s="476" t="s">
        <v>171</v>
      </c>
      <c r="B63" s="477" t="s">
        <v>1091</v>
      </c>
      <c r="C63" s="343" t="s">
        <v>1091</v>
      </c>
      <c r="D63" s="633" t="s">
        <v>473</v>
      </c>
      <c r="E63" s="635" t="s">
        <v>654</v>
      </c>
      <c r="F63" s="329"/>
      <c r="G63" s="634" t="s">
        <v>473</v>
      </c>
      <c r="H63" s="634"/>
      <c r="I63" s="644" t="s">
        <v>655</v>
      </c>
      <c r="J63" s="586"/>
      <c r="K63" s="343"/>
      <c r="L63" s="342"/>
      <c r="M63" s="342"/>
      <c r="N63" s="465" t="s">
        <v>74</v>
      </c>
      <c r="O63" s="603" t="s">
        <v>667</v>
      </c>
      <c r="P63" s="604"/>
      <c r="Q63" s="605"/>
      <c r="R63" s="605"/>
      <c r="S63" s="524"/>
      <c r="T63" s="535"/>
      <c r="U63" s="507">
        <v>7000</v>
      </c>
      <c r="V63" s="600" t="e">
        <f>(LISTPROD[[#This Row],[PRECIO DE VENTA 1]]-LISTPROD[[#This Row],[COSTO TOTAL UNIDAD]])/LISTPROD[[#This Row],[COSTO TOTAL UNIDAD]]</f>
        <v>#DIV/0!</v>
      </c>
      <c r="W63" s="507" t="e">
        <f>LISTPROD[[#This Row],[% GANANCIA]]*LISTPROD[[#This Row],[COSTO TOTAL UNIDAD]]</f>
        <v>#DIV/0!</v>
      </c>
      <c r="X63" s="601"/>
      <c r="Y63" s="507">
        <v>5000</v>
      </c>
      <c r="Z63" s="600" t="e">
        <f>(LISTPROD[[#This Row],[PRECIO DE VENTA2]]-LISTPROD[[#This Row],[COSTO TOTAL UNIDAD]])/LISTPROD[[#This Row],[COSTO TOTAL UNIDAD]]</f>
        <v>#DIV/0!</v>
      </c>
      <c r="AA63" s="507" t="e">
        <f>LISTPROD[[#This Row],[PRECIO DE VENTA2]]*LISTPROD[[#This Row],[% GANANCIA2]]</f>
        <v>#DIV/0!</v>
      </c>
      <c r="AB63" s="602">
        <f>LISTPROD[[#This Row],[PRECIO DE VENTA2]]-LISTPROD[[#This Row],[PRECIO VENTA POR RECETA]]</f>
        <v>5000</v>
      </c>
      <c r="AC63" s="507">
        <v>5000</v>
      </c>
      <c r="AD63" s="601"/>
      <c r="AE63" s="601"/>
      <c r="AF63" s="601"/>
      <c r="AG63" s="601"/>
      <c r="AH63" s="606">
        <v>7000</v>
      </c>
      <c r="AI63" s="606">
        <v>5000</v>
      </c>
      <c r="AJ63" s="606">
        <v>5000</v>
      </c>
      <c r="AK63" s="606">
        <v>5000</v>
      </c>
      <c r="AL63" s="471"/>
      <c r="AM63" s="631"/>
      <c r="AN63" s="12" t="s">
        <v>305</v>
      </c>
    </row>
    <row r="64" spans="1:40" ht="34.9" customHeight="1" x14ac:dyDescent="0.25">
      <c r="A64" s="49" t="s">
        <v>172</v>
      </c>
      <c r="B64" s="9" t="s">
        <v>173</v>
      </c>
      <c r="C64" s="171" t="s">
        <v>173</v>
      </c>
      <c r="D64" s="240" t="s">
        <v>464</v>
      </c>
      <c r="E64" s="329" t="s">
        <v>654</v>
      </c>
      <c r="F64" s="329"/>
      <c r="G64" s="329" t="s">
        <v>642</v>
      </c>
      <c r="H64" s="329"/>
      <c r="I64" s="329" t="s">
        <v>655</v>
      </c>
      <c r="J64" s="623" t="s">
        <v>689</v>
      </c>
      <c r="K64" s="171"/>
      <c r="L64" s="654"/>
      <c r="M64" s="654"/>
      <c r="N64" s="187" t="s">
        <v>74</v>
      </c>
      <c r="O64" s="588">
        <f>'RECETAS JARABES'!G33</f>
        <v>3672.93</v>
      </c>
      <c r="P64" s="588">
        <f>'Gtos Varios'!$B$22</f>
        <v>3070.542857142857</v>
      </c>
      <c r="Q64" s="598">
        <f>+LISTPROD[[#This Row],[PRECIO DE PRODUCCIÓN POR UND]]+LISTPROD[[#This Row],[TOTAL GASTOS VARIOS]]</f>
        <v>6743.4728571428568</v>
      </c>
      <c r="R64" s="591">
        <f>'RECETAS JARABES'!G38</f>
        <v>3526.0127999999995</v>
      </c>
      <c r="S64" s="387">
        <f>'RECETAS JARABES'!H38</f>
        <v>0.48</v>
      </c>
      <c r="T64" s="368">
        <f>'RECETAS JARABES'!G39</f>
        <v>10871.872799999999</v>
      </c>
      <c r="U64" s="310">
        <v>8000</v>
      </c>
      <c r="V64" s="589">
        <f>(LISTPROD[[#This Row],[PRECIO DE VENTA 1]]-LISTPROD[[#This Row],[COSTO TOTAL UNIDAD]])/LISTPROD[[#This Row],[COSTO TOTAL UNIDAD]]</f>
        <v>0.18633234973670842</v>
      </c>
      <c r="W64" s="435">
        <f>LISTPROD[[#This Row],[% GANANCIA]]*LISTPROD[[#This Row],[COSTO TOTAL UNIDAD]]</f>
        <v>1256.5271428571432</v>
      </c>
      <c r="X64" s="590">
        <f>+LISTPROD[[#This Row],[PRECIO DE VENTA 1]]-LISTPROD[[#This Row],[PRECIO VENTA POR RECETA]]</f>
        <v>-2871.8727999999992</v>
      </c>
      <c r="Y64" s="435"/>
      <c r="Z64" s="589"/>
      <c r="AA64" s="435"/>
      <c r="AB64" s="590"/>
      <c r="AC64" s="435"/>
      <c r="AD64" s="592"/>
      <c r="AE64" s="435"/>
      <c r="AF64" s="590"/>
      <c r="AG64" s="590"/>
      <c r="AH64" s="88">
        <v>8000</v>
      </c>
      <c r="AI64" s="88">
        <v>0</v>
      </c>
      <c r="AJ64" s="88">
        <v>0</v>
      </c>
      <c r="AK64" s="88">
        <v>0</v>
      </c>
      <c r="AL64" s="40"/>
      <c r="AN64" t="s">
        <v>304</v>
      </c>
    </row>
    <row r="65" spans="1:40" ht="34.9" customHeight="1" x14ac:dyDescent="0.25">
      <c r="A65" s="44" t="s">
        <v>174</v>
      </c>
      <c r="B65" s="19" t="s">
        <v>175</v>
      </c>
      <c r="C65" s="160" t="s">
        <v>175</v>
      </c>
      <c r="D65" s="240" t="s">
        <v>475</v>
      </c>
      <c r="E65" s="329" t="s">
        <v>654</v>
      </c>
      <c r="F65" s="329"/>
      <c r="G65" s="329" t="s">
        <v>642</v>
      </c>
      <c r="H65" s="329"/>
      <c r="I65" s="329" t="s">
        <v>679</v>
      </c>
      <c r="J65" s="623"/>
      <c r="K65" s="171"/>
      <c r="L65" s="654"/>
      <c r="M65" s="654"/>
      <c r="N65" s="187" t="s">
        <v>74</v>
      </c>
      <c r="O65" s="588">
        <f>'RECETAS JARABES'!G1480</f>
        <v>3428.9000755725192</v>
      </c>
      <c r="P65" s="588">
        <f>'Gtos Varios'!$B$22</f>
        <v>3070.542857142857</v>
      </c>
      <c r="Q65" s="598">
        <f>+LISTPROD[[#This Row],[PRECIO DE PRODUCCIÓN POR UND]]+LISTPROD[[#This Row],[TOTAL GASTOS VARIOS]]</f>
        <v>6499.4429327153757</v>
      </c>
      <c r="R65" s="591">
        <f>'RECETAS JARABES'!G1485</f>
        <v>3763.9699400534355</v>
      </c>
      <c r="S65" s="387">
        <f>'RECETAS JARABES'!H1485</f>
        <v>0.53</v>
      </c>
      <c r="T65" s="368">
        <f>'RECETAS JARABES'!G1486</f>
        <v>10865.800015625955</v>
      </c>
      <c r="U65" s="310">
        <v>8000</v>
      </c>
      <c r="V65" s="589">
        <f>(LISTPROD[[#This Row],[PRECIO DE VENTA 1]]-LISTPROD[[#This Row],[COSTO TOTAL UNIDAD]])/LISTPROD[[#This Row],[COSTO TOTAL UNIDAD]]</f>
        <v>0.23087472000584405</v>
      </c>
      <c r="W65" s="435">
        <f>LISTPROD[[#This Row],[% GANANCIA]]*LISTPROD[[#This Row],[COSTO TOTAL UNIDAD]]</f>
        <v>1500.5570672846243</v>
      </c>
      <c r="X65" s="590">
        <f>+LISTPROD[[#This Row],[PRECIO DE VENTA 1]]-LISTPROD[[#This Row],[PRECIO VENTA POR RECETA]]</f>
        <v>-2865.800015625955</v>
      </c>
      <c r="Y65" s="435"/>
      <c r="Z65" s="589"/>
      <c r="AA65" s="435"/>
      <c r="AB65" s="590"/>
      <c r="AC65" s="435"/>
      <c r="AD65" s="592"/>
      <c r="AE65" s="435"/>
      <c r="AF65" s="590"/>
      <c r="AG65" s="590"/>
      <c r="AH65" s="88">
        <v>8000</v>
      </c>
      <c r="AI65" s="88">
        <v>0</v>
      </c>
      <c r="AJ65" s="88">
        <v>0</v>
      </c>
      <c r="AK65" s="88">
        <v>0</v>
      </c>
      <c r="AL65" s="40"/>
      <c r="AN65" t="s">
        <v>304</v>
      </c>
    </row>
    <row r="66" spans="1:40" ht="34.9" customHeight="1" x14ac:dyDescent="0.25">
      <c r="A66" s="44" t="s">
        <v>176</v>
      </c>
      <c r="B66" s="19" t="s">
        <v>177</v>
      </c>
      <c r="C66" s="160" t="s">
        <v>177</v>
      </c>
      <c r="D66" s="240" t="s">
        <v>464</v>
      </c>
      <c r="E66" s="329" t="s">
        <v>654</v>
      </c>
      <c r="F66" s="329"/>
      <c r="G66" s="329" t="s">
        <v>642</v>
      </c>
      <c r="H66" s="329"/>
      <c r="I66" s="329" t="s">
        <v>655</v>
      </c>
      <c r="J66" s="623" t="s">
        <v>487</v>
      </c>
      <c r="K66" s="171"/>
      <c r="L66" s="654"/>
      <c r="M66" s="654"/>
      <c r="N66" s="189" t="s">
        <v>74</v>
      </c>
      <c r="O66" s="588">
        <f>'RECETAS JARABES'!G1513</f>
        <v>2129.0702622634331</v>
      </c>
      <c r="P66" s="588">
        <f>'Gtos Varios'!$B$22</f>
        <v>3070.542857142857</v>
      </c>
      <c r="Q66" s="598">
        <f>+LISTPROD[[#This Row],[PRECIO DE PRODUCCIÓN POR UND]]+LISTPROD[[#This Row],[TOTAL GASTOS VARIOS]]</f>
        <v>5199.61311940629</v>
      </c>
      <c r="R66" s="510">
        <f>'RECETAS JARABES'!G1518</f>
        <v>3365.1601521127909</v>
      </c>
      <c r="S66" s="387">
        <f>'RECETAS JARABES'!H1518</f>
        <v>0.57999999999999996</v>
      </c>
      <c r="T66" s="368">
        <f>'RECETAS JARABES'!G1519</f>
        <v>9167.1604143762233</v>
      </c>
      <c r="U66" s="435">
        <v>6000</v>
      </c>
      <c r="V66" s="589">
        <f>(LISTPROD[[#This Row],[PRECIO DE VENTA 1]]-LISTPROD[[#This Row],[COSTO TOTAL UNIDAD]])/LISTPROD[[#This Row],[COSTO TOTAL UNIDAD]]</f>
        <v>0.15393200651918906</v>
      </c>
      <c r="W66" s="435">
        <f>LISTPROD[[#This Row],[% GANANCIA]]*LISTPROD[[#This Row],[COSTO TOTAL UNIDAD]]</f>
        <v>800.38688059370998</v>
      </c>
      <c r="X66" s="590">
        <f>+LISTPROD[[#This Row],[PRECIO DE VENTA 1]]-LISTPROD[[#This Row],[PRECIO VENTA POR RECETA]]</f>
        <v>-3167.1604143762233</v>
      </c>
      <c r="Y66" s="435">
        <v>5000</v>
      </c>
      <c r="Z66" s="592">
        <f>(LISTPROD[[#This Row],[PRECIO DE VENTA2]]-LISTPROD[[#This Row],[COSTO TOTAL UNIDAD]])/LISTPROD[[#This Row],[COSTO TOTAL UNIDAD]]</f>
        <v>-3.8389994567342454E-2</v>
      </c>
      <c r="AA66" s="435">
        <f>+LISTPROD[[#This Row],[% GANANCIA2]]*LISTPROD[[#This Row],[COSTO TOTAL UNIDAD]]</f>
        <v>-199.61311940629002</v>
      </c>
      <c r="AB66" s="590">
        <f>LISTPROD[[#This Row],[PRECIO DE VENTA2]]-LISTPROD[[#This Row],[PRECIO VENTA POR RECETA]]</f>
        <v>-4167.1604143762233</v>
      </c>
      <c r="AC66" s="435">
        <v>5000</v>
      </c>
      <c r="AD66" s="592">
        <f>(LISTPROD[[#This Row],[PRECIO DE VENTA 3]]-LISTPROD[[#This Row],[COSTO TOTAL UNIDAD]])/LISTPROD[[#This Row],[COSTO TOTAL UNIDAD]]</f>
        <v>-3.8389994567342454E-2</v>
      </c>
      <c r="AE66" s="435">
        <f>LISTPROD[[#This Row],[% GANANCIA3]]*LISTPROD[[#This Row],[COSTO TOTAL UNIDAD]]</f>
        <v>-199.61311940629002</v>
      </c>
      <c r="AF66" s="590"/>
      <c r="AG66" s="590"/>
      <c r="AH66" s="88">
        <v>6000</v>
      </c>
      <c r="AI66" s="88">
        <v>5000</v>
      </c>
      <c r="AJ66" s="88">
        <v>5000</v>
      </c>
      <c r="AK66" s="88">
        <v>5000</v>
      </c>
      <c r="AL66" s="40"/>
      <c r="AN66" t="s">
        <v>304</v>
      </c>
    </row>
    <row r="67" spans="1:40" ht="34.9" customHeight="1" x14ac:dyDescent="0.25">
      <c r="A67" s="49" t="s">
        <v>178</v>
      </c>
      <c r="B67" s="9" t="s">
        <v>179</v>
      </c>
      <c r="C67" s="9" t="s">
        <v>1108</v>
      </c>
      <c r="D67" s="240" t="s">
        <v>464</v>
      </c>
      <c r="E67" s="329" t="s">
        <v>654</v>
      </c>
      <c r="F67" s="329" t="s">
        <v>797</v>
      </c>
      <c r="G67" s="329" t="s">
        <v>642</v>
      </c>
      <c r="H67" s="645" t="s">
        <v>801</v>
      </c>
      <c r="I67" s="329" t="s">
        <v>655</v>
      </c>
      <c r="J67" s="623" t="s">
        <v>491</v>
      </c>
      <c r="K67" s="551" t="s">
        <v>505</v>
      </c>
      <c r="L67" s="538" t="s">
        <v>1145</v>
      </c>
      <c r="M67" s="538"/>
      <c r="N67" s="189" t="s">
        <v>73</v>
      </c>
      <c r="O67" s="588">
        <f>'RECETAS JARABES'!G1547</f>
        <v>2149.0702622634331</v>
      </c>
      <c r="P67" s="588">
        <f>'Gtos Varios'!$B$22</f>
        <v>3070.542857142857</v>
      </c>
      <c r="Q67" s="598">
        <f>+LISTPROD[[#This Row],[PRECIO DE PRODUCCIÓN POR UND]]+LISTPROD[[#This Row],[TOTAL GASTOS VARIOS]]</f>
        <v>5219.61311940629</v>
      </c>
      <c r="R67" s="510">
        <f>'RECETAS JARABES'!G1552</f>
        <v>3260.3201468675229</v>
      </c>
      <c r="S67" s="387">
        <f>'RECETAS JARABES'!H1552</f>
        <v>0.56000000000000005</v>
      </c>
      <c r="T67" s="368">
        <f>'RECETAS JARABES'!G1553</f>
        <v>9082.3204091309563</v>
      </c>
      <c r="U67" s="435">
        <v>6000</v>
      </c>
      <c r="V67" s="589">
        <f>(LISTPROD[[#This Row],[PRECIO DE VENTA 1]]-LISTPROD[[#This Row],[COSTO TOTAL UNIDAD]])/LISTPROD[[#This Row],[COSTO TOTAL UNIDAD]]</f>
        <v>0.14951048339047701</v>
      </c>
      <c r="W67" s="435">
        <f>LISTPROD[[#This Row],[% GANANCIA]]*LISTPROD[[#This Row],[COSTO TOTAL UNIDAD]]</f>
        <v>780.38688059370998</v>
      </c>
      <c r="X67" s="590">
        <f>+LISTPROD[[#This Row],[PRECIO DE VENTA 1]]-LISTPROD[[#This Row],[PRECIO VENTA POR RECETA]]</f>
        <v>-3082.3204091309563</v>
      </c>
      <c r="Y67" s="435">
        <v>5000</v>
      </c>
      <c r="Z67" s="592">
        <f>(LISTPROD[[#This Row],[PRECIO DE VENTA2]]-LISTPROD[[#This Row],[COSTO TOTAL UNIDAD]])/LISTPROD[[#This Row],[COSTO TOTAL UNIDAD]]</f>
        <v>-4.2074597174602497E-2</v>
      </c>
      <c r="AA67" s="435">
        <f>+LISTPROD[[#This Row],[% GANANCIA2]]*LISTPROD[[#This Row],[COSTO TOTAL UNIDAD]]</f>
        <v>-219.61311940629002</v>
      </c>
      <c r="AB67" s="590">
        <f>LISTPROD[[#This Row],[PRECIO DE VENTA2]]-LISTPROD[[#This Row],[PRECIO VENTA POR RECETA]]</f>
        <v>-4082.3204091309563</v>
      </c>
      <c r="AC67" s="435">
        <v>5000</v>
      </c>
      <c r="AD67" s="592">
        <f>(LISTPROD[[#This Row],[PRECIO DE VENTA 3]]-LISTPROD[[#This Row],[COSTO TOTAL UNIDAD]])/LISTPROD[[#This Row],[COSTO TOTAL UNIDAD]]</f>
        <v>-4.2074597174602497E-2</v>
      </c>
      <c r="AE67" s="435">
        <f>LISTPROD[[#This Row],[% GANANCIA3]]*LISTPROD[[#This Row],[COSTO TOTAL UNIDAD]]</f>
        <v>-219.61311940629002</v>
      </c>
      <c r="AF67" s="590"/>
      <c r="AG67" s="590"/>
      <c r="AH67" s="88">
        <v>6000</v>
      </c>
      <c r="AI67" s="88">
        <v>5000</v>
      </c>
      <c r="AJ67" s="88">
        <v>5000</v>
      </c>
      <c r="AK67" s="88">
        <v>5000</v>
      </c>
      <c r="AL67" s="40"/>
      <c r="AN67" s="11" t="s">
        <v>568</v>
      </c>
    </row>
    <row r="68" spans="1:40" ht="34.9" customHeight="1" x14ac:dyDescent="0.25">
      <c r="A68" s="49" t="s">
        <v>180</v>
      </c>
      <c r="B68" s="9" t="s">
        <v>793</v>
      </c>
      <c r="C68" s="9" t="s">
        <v>1109</v>
      </c>
      <c r="D68" s="240" t="s">
        <v>465</v>
      </c>
      <c r="E68" s="329" t="s">
        <v>654</v>
      </c>
      <c r="F68" s="329" t="s">
        <v>797</v>
      </c>
      <c r="G68" s="329" t="s">
        <v>642</v>
      </c>
      <c r="H68" s="329" t="s">
        <v>803</v>
      </c>
      <c r="I68" s="329" t="s">
        <v>747</v>
      </c>
      <c r="J68" s="623" t="s">
        <v>491</v>
      </c>
      <c r="K68" s="171"/>
      <c r="L68" s="538" t="s">
        <v>1145</v>
      </c>
      <c r="M68" s="538" t="s">
        <v>1145</v>
      </c>
      <c r="N68" s="187" t="s">
        <v>73</v>
      </c>
      <c r="O68" s="588">
        <f>'RECETAS JARABES'!G1579</f>
        <v>2108.2250461392819</v>
      </c>
      <c r="P68" s="588">
        <f>'Gtos Varios'!$B$22</f>
        <v>3070.542857142857</v>
      </c>
      <c r="Q68" s="598">
        <f>+LISTPROD[[#This Row],[PRECIO DE PRODUCCIÓN POR UND]]+LISTPROD[[#This Row],[TOTAL GASTOS VARIOS]]</f>
        <v>5178.7679032821388</v>
      </c>
      <c r="R68" s="591">
        <f>'RECETAS JARABES'!G1584</f>
        <v>3353.0699267607833</v>
      </c>
      <c r="S68" s="387">
        <f>'RECETAS JARABES'!H1584</f>
        <v>0.57999999999999996</v>
      </c>
      <c r="T68" s="368">
        <f>'RECETAS JARABES'!G1585</f>
        <v>9134.224972900065</v>
      </c>
      <c r="U68" s="435">
        <v>7500</v>
      </c>
      <c r="V68" s="589">
        <f>(LISTPROD[[#This Row],[PRECIO DE VENTA 1]]-LISTPROD[[#This Row],[COSTO TOTAL UNIDAD]])/LISTPROD[[#This Row],[COSTO TOTAL UNIDAD]]</f>
        <v>0.44822091664828961</v>
      </c>
      <c r="W68" s="435">
        <f>LISTPROD[[#This Row],[% GANANCIA]]*LISTPROD[[#This Row],[COSTO TOTAL UNIDAD]]</f>
        <v>2321.2320967178612</v>
      </c>
      <c r="X68" s="590">
        <f>+LISTPROD[[#This Row],[PRECIO DE VENTA 1]]-LISTPROD[[#This Row],[PRECIO VENTA POR RECETA]]</f>
        <v>-1634.224972900065</v>
      </c>
      <c r="Y68" s="435"/>
      <c r="Z68" s="589"/>
      <c r="AA68" s="435"/>
      <c r="AB68" s="590"/>
      <c r="AC68" s="435"/>
      <c r="AD68" s="592"/>
      <c r="AE68" s="435"/>
      <c r="AF68" s="590"/>
      <c r="AG68" s="590"/>
      <c r="AH68" s="88">
        <v>7500</v>
      </c>
      <c r="AI68" s="88">
        <v>0</v>
      </c>
      <c r="AJ68" s="88">
        <v>0</v>
      </c>
      <c r="AK68" s="88">
        <v>0</v>
      </c>
      <c r="AL68" s="40"/>
      <c r="AN68" t="s">
        <v>304</v>
      </c>
    </row>
    <row r="69" spans="1:40" ht="34.9" customHeight="1" x14ac:dyDescent="0.25">
      <c r="A69" s="44" t="s">
        <v>182</v>
      </c>
      <c r="B69" s="19" t="s">
        <v>183</v>
      </c>
      <c r="C69" s="160" t="s">
        <v>183</v>
      </c>
      <c r="D69" s="240" t="s">
        <v>464</v>
      </c>
      <c r="E69" s="329" t="s">
        <v>654</v>
      </c>
      <c r="F69" s="329"/>
      <c r="G69" s="329" t="s">
        <v>642</v>
      </c>
      <c r="H69" s="329"/>
      <c r="I69" s="329" t="s">
        <v>655</v>
      </c>
      <c r="J69" s="623" t="s">
        <v>487</v>
      </c>
      <c r="K69" s="171"/>
      <c r="L69" s="654"/>
      <c r="M69" s="654"/>
      <c r="N69" s="187" t="s">
        <v>74</v>
      </c>
      <c r="O69" s="588">
        <f>'RECETAS JARABES'!G1613</f>
        <v>2129.0702622634331</v>
      </c>
      <c r="P69" s="588">
        <f>'Gtos Varios'!$B$22</f>
        <v>3070.542857142857</v>
      </c>
      <c r="Q69" s="598">
        <f>+LISTPROD[[#This Row],[PRECIO DE PRODUCCIÓN POR UND]]+LISTPROD[[#This Row],[TOTAL GASTOS VARIOS]]</f>
        <v>5199.61311940629</v>
      </c>
      <c r="R69" s="591">
        <f>'RECETAS JARABES'!G1618</f>
        <v>3365.1601521127909</v>
      </c>
      <c r="S69" s="387">
        <f>'RECETAS JARABES'!H1618</f>
        <v>0.57999999999999996</v>
      </c>
      <c r="T69" s="368">
        <f>'RECETAS JARABES'!G1619</f>
        <v>9167.1604143762233</v>
      </c>
      <c r="U69" s="435">
        <v>6000</v>
      </c>
      <c r="V69" s="589">
        <f>(LISTPROD[[#This Row],[PRECIO DE VENTA 1]]-LISTPROD[[#This Row],[COSTO TOTAL UNIDAD]])/LISTPROD[[#This Row],[COSTO TOTAL UNIDAD]]</f>
        <v>0.15393200651918906</v>
      </c>
      <c r="W69" s="435">
        <f>LISTPROD[[#This Row],[% GANANCIA]]*LISTPROD[[#This Row],[COSTO TOTAL UNIDAD]]</f>
        <v>800.38688059370998</v>
      </c>
      <c r="X69" s="590">
        <f>+LISTPROD[[#This Row],[PRECIO DE VENTA 1]]-LISTPROD[[#This Row],[PRECIO VENTA POR RECETA]]</f>
        <v>-3167.1604143762233</v>
      </c>
      <c r="Y69" s="435">
        <v>5000</v>
      </c>
      <c r="Z69" s="592">
        <f>(LISTPROD[[#This Row],[PRECIO DE VENTA2]]-LISTPROD[[#This Row],[COSTO TOTAL UNIDAD]])/LISTPROD[[#This Row],[COSTO TOTAL UNIDAD]]</f>
        <v>-3.8389994567342454E-2</v>
      </c>
      <c r="AA69" s="435">
        <f>+LISTPROD[[#This Row],[% GANANCIA2]]*LISTPROD[[#This Row],[COSTO TOTAL UNIDAD]]</f>
        <v>-199.61311940629002</v>
      </c>
      <c r="AB69" s="590">
        <f>LISTPROD[[#This Row],[PRECIO DE VENTA2]]-LISTPROD[[#This Row],[PRECIO VENTA POR RECETA]]</f>
        <v>-4167.1604143762233</v>
      </c>
      <c r="AC69" s="435">
        <v>5000</v>
      </c>
      <c r="AD69" s="592">
        <f>(LISTPROD[[#This Row],[PRECIO DE VENTA 3]]-LISTPROD[[#This Row],[COSTO TOTAL UNIDAD]])/LISTPROD[[#This Row],[COSTO TOTAL UNIDAD]]</f>
        <v>-3.8389994567342454E-2</v>
      </c>
      <c r="AE69" s="435">
        <f>LISTPROD[[#This Row],[% GANANCIA3]]*LISTPROD[[#This Row],[COSTO TOTAL UNIDAD]]</f>
        <v>-199.61311940629002</v>
      </c>
      <c r="AF69" s="590"/>
      <c r="AG69" s="590"/>
      <c r="AH69" s="88">
        <v>6000</v>
      </c>
      <c r="AI69" s="88">
        <v>5000</v>
      </c>
      <c r="AJ69" s="88">
        <v>5000</v>
      </c>
      <c r="AK69" s="88">
        <v>5000</v>
      </c>
      <c r="AL69" s="40"/>
      <c r="AN69" t="s">
        <v>304</v>
      </c>
    </row>
    <row r="70" spans="1:40" ht="34.9" customHeight="1" x14ac:dyDescent="0.25">
      <c r="A70" s="44" t="s">
        <v>184</v>
      </c>
      <c r="B70" s="19" t="s">
        <v>794</v>
      </c>
      <c r="C70" s="19" t="s">
        <v>1110</v>
      </c>
      <c r="D70" s="240" t="s">
        <v>465</v>
      </c>
      <c r="E70" s="329" t="s">
        <v>654</v>
      </c>
      <c r="F70" s="329" t="s">
        <v>797</v>
      </c>
      <c r="G70" s="329" t="s">
        <v>642</v>
      </c>
      <c r="H70" s="329" t="s">
        <v>803</v>
      </c>
      <c r="I70" s="329" t="s">
        <v>747</v>
      </c>
      <c r="J70" s="623" t="s">
        <v>491</v>
      </c>
      <c r="K70" s="171"/>
      <c r="L70" s="538" t="s">
        <v>1145</v>
      </c>
      <c r="M70" s="538" t="s">
        <v>1145</v>
      </c>
      <c r="N70" s="187" t="s">
        <v>73</v>
      </c>
      <c r="O70" s="588">
        <f>'RECETAS JARABES'!G1644</f>
        <v>2745.6158752301908</v>
      </c>
      <c r="P70" s="588">
        <f>'Gtos Varios'!$B$22</f>
        <v>3070.542857142857</v>
      </c>
      <c r="Q70" s="598">
        <f>+LISTPROD[[#This Row],[PRECIO DE PRODUCCIÓN POR UND]]+LISTPROD[[#This Row],[TOTAL GASTOS VARIOS]]</f>
        <v>5816.1587323730473</v>
      </c>
      <c r="R70" s="591">
        <f>'RECETAS JARABES'!G1649</f>
        <v>3337.6438551196993</v>
      </c>
      <c r="S70" s="387">
        <f>'RECETAS JARABES'!H1649</f>
        <v>0.52</v>
      </c>
      <c r="T70" s="368">
        <f>'RECETAS JARABES'!G1650</f>
        <v>9756.1897303498899</v>
      </c>
      <c r="U70" s="435">
        <v>7500</v>
      </c>
      <c r="V70" s="589">
        <f>(LISTPROD[[#This Row],[PRECIO DE VENTA 1]]-LISTPROD[[#This Row],[COSTO TOTAL UNIDAD]])/LISTPROD[[#This Row],[COSTO TOTAL UNIDAD]]</f>
        <v>0.28951088598297758</v>
      </c>
      <c r="W70" s="435">
        <f>LISTPROD[[#This Row],[% GANANCIA]]*LISTPROD[[#This Row],[COSTO TOTAL UNIDAD]]</f>
        <v>1683.8412676269527</v>
      </c>
      <c r="X70" s="590">
        <f>+LISTPROD[[#This Row],[PRECIO DE VENTA 1]]-LISTPROD[[#This Row],[PRECIO VENTA POR RECETA]]</f>
        <v>-2256.1897303498899</v>
      </c>
      <c r="Y70" s="435"/>
      <c r="Z70" s="589"/>
      <c r="AA70" s="435"/>
      <c r="AB70" s="590"/>
      <c r="AC70" s="435"/>
      <c r="AD70" s="592"/>
      <c r="AE70" s="435"/>
      <c r="AF70" s="590"/>
      <c r="AG70" s="590"/>
      <c r="AH70" s="88">
        <v>7500</v>
      </c>
      <c r="AI70" s="88">
        <v>0</v>
      </c>
      <c r="AJ70" s="88">
        <v>0</v>
      </c>
      <c r="AK70" s="88">
        <v>0</v>
      </c>
      <c r="AL70" s="40"/>
      <c r="AN70" t="s">
        <v>304</v>
      </c>
    </row>
    <row r="71" spans="1:40" ht="34.9" customHeight="1" x14ac:dyDescent="0.25">
      <c r="A71" s="670" t="s">
        <v>186</v>
      </c>
      <c r="B71" s="19" t="s">
        <v>187</v>
      </c>
      <c r="C71" s="160" t="s">
        <v>187</v>
      </c>
      <c r="D71" s="240" t="s">
        <v>464</v>
      </c>
      <c r="E71" s="329" t="s">
        <v>654</v>
      </c>
      <c r="F71" s="329"/>
      <c r="G71" s="329" t="s">
        <v>642</v>
      </c>
      <c r="H71" s="329"/>
      <c r="I71" s="329" t="s">
        <v>655</v>
      </c>
      <c r="J71" s="623" t="s">
        <v>487</v>
      </c>
      <c r="K71" s="171"/>
      <c r="L71" s="654"/>
      <c r="M71" s="654"/>
      <c r="N71" s="187" t="s">
        <v>74</v>
      </c>
      <c r="O71" s="588">
        <f>'RECETAS JARABES'!G1680</f>
        <v>2129.0702622634331</v>
      </c>
      <c r="P71" s="588">
        <f>'Gtos Varios'!$B$22</f>
        <v>3070.542857142857</v>
      </c>
      <c r="Q71" s="598">
        <f>+LISTPROD[[#This Row],[PRECIO DE PRODUCCIÓN POR UND]]+LISTPROD[[#This Row],[TOTAL GASTOS VARIOS]]</f>
        <v>5199.61311940629</v>
      </c>
      <c r="R71" s="591">
        <f>'RECETAS JARABES'!G1685</f>
        <v>3365.1601521127909</v>
      </c>
      <c r="S71" s="387">
        <f>'RECETAS JARABES'!H1685</f>
        <v>0.57999999999999996</v>
      </c>
      <c r="T71" s="368">
        <f>'RECETAS JARABES'!G1686</f>
        <v>9167.1604143762233</v>
      </c>
      <c r="U71" s="435">
        <v>6000</v>
      </c>
      <c r="V71" s="589">
        <f>(LISTPROD[[#This Row],[PRECIO DE VENTA 1]]-LISTPROD[[#This Row],[COSTO TOTAL UNIDAD]])/LISTPROD[[#This Row],[COSTO TOTAL UNIDAD]]</f>
        <v>0.15393200651918906</v>
      </c>
      <c r="W71" s="435">
        <f>LISTPROD[[#This Row],[% GANANCIA]]*LISTPROD[[#This Row],[COSTO TOTAL UNIDAD]]</f>
        <v>800.38688059370998</v>
      </c>
      <c r="X71" s="590">
        <f>+LISTPROD[[#This Row],[PRECIO DE VENTA 1]]-LISTPROD[[#This Row],[PRECIO VENTA POR RECETA]]</f>
        <v>-3167.1604143762233</v>
      </c>
      <c r="Y71" s="435">
        <v>5000</v>
      </c>
      <c r="Z71" s="592">
        <f>(LISTPROD[[#This Row],[PRECIO DE VENTA2]]-LISTPROD[[#This Row],[COSTO TOTAL UNIDAD]])/LISTPROD[[#This Row],[COSTO TOTAL UNIDAD]]</f>
        <v>-3.8389994567342454E-2</v>
      </c>
      <c r="AA71" s="435">
        <f>+LISTPROD[[#This Row],[% GANANCIA2]]*LISTPROD[[#This Row],[COSTO TOTAL UNIDAD]]</f>
        <v>-199.61311940629002</v>
      </c>
      <c r="AB71" s="590">
        <f>LISTPROD[[#This Row],[PRECIO DE VENTA2]]-LISTPROD[[#This Row],[PRECIO VENTA POR RECETA]]</f>
        <v>-4167.1604143762233</v>
      </c>
      <c r="AC71" s="435">
        <v>5000</v>
      </c>
      <c r="AD71" s="592">
        <f>(LISTPROD[[#This Row],[PRECIO DE VENTA 3]]-LISTPROD[[#This Row],[COSTO TOTAL UNIDAD]])/LISTPROD[[#This Row],[COSTO TOTAL UNIDAD]]</f>
        <v>-3.8389994567342454E-2</v>
      </c>
      <c r="AE71" s="435">
        <f>LISTPROD[[#This Row],[% GANANCIA3]]*LISTPROD[[#This Row],[COSTO TOTAL UNIDAD]]</f>
        <v>-199.61311940629002</v>
      </c>
      <c r="AF71" s="590"/>
      <c r="AG71" s="590"/>
      <c r="AH71" s="88">
        <v>6000</v>
      </c>
      <c r="AI71" s="88">
        <v>5000</v>
      </c>
      <c r="AJ71" s="88">
        <v>5000</v>
      </c>
      <c r="AK71" s="88">
        <v>5000</v>
      </c>
      <c r="AL71" s="40"/>
      <c r="AN71" t="s">
        <v>304</v>
      </c>
    </row>
    <row r="72" spans="1:40" ht="34.9" customHeight="1" x14ac:dyDescent="0.25">
      <c r="A72" s="44" t="s">
        <v>188</v>
      </c>
      <c r="B72" s="19" t="s">
        <v>189</v>
      </c>
      <c r="C72" s="160" t="s">
        <v>189</v>
      </c>
      <c r="D72" s="240" t="s">
        <v>464</v>
      </c>
      <c r="E72" s="329" t="s">
        <v>654</v>
      </c>
      <c r="F72" s="329"/>
      <c r="G72" s="329" t="s">
        <v>642</v>
      </c>
      <c r="H72" s="329"/>
      <c r="I72" s="329" t="s">
        <v>655</v>
      </c>
      <c r="J72" s="623" t="s">
        <v>487</v>
      </c>
      <c r="K72" s="171"/>
      <c r="L72" s="654"/>
      <c r="M72" s="654"/>
      <c r="N72" s="187" t="s">
        <v>74</v>
      </c>
      <c r="O72" s="597">
        <f>'RECETAS JARABES'!G1715</f>
        <v>2127.7343455967666</v>
      </c>
      <c r="P72" s="588">
        <f>'Gtos Varios'!$B$22</f>
        <v>3070.542857142857</v>
      </c>
      <c r="Q72" s="598">
        <f>+LISTPROD[[#This Row],[PRECIO DE PRODUCCIÓN POR UND]]+LISTPROD[[#This Row],[TOTAL GASTOS VARIOS]]</f>
        <v>5198.277202739624</v>
      </c>
      <c r="R72" s="591">
        <f>'RECETAS JARABES'!G1720</f>
        <v>3364.3853204461238</v>
      </c>
      <c r="S72" s="387">
        <f>'RECETAS JARABES'!H1720</f>
        <v>0.57999999999999996</v>
      </c>
      <c r="T72" s="368">
        <f>'RECETAS JARABES'!G1721</f>
        <v>9165.0496660428907</v>
      </c>
      <c r="U72" s="435">
        <v>6000</v>
      </c>
      <c r="V72" s="589">
        <f>(LISTPROD[[#This Row],[PRECIO DE VENTA 1]]-LISTPROD[[#This Row],[COSTO TOTAL UNIDAD]])/LISTPROD[[#This Row],[COSTO TOTAL UNIDAD]]</f>
        <v>0.15422855803800684</v>
      </c>
      <c r="W72" s="435">
        <f>LISTPROD[[#This Row],[% GANANCIA]]*LISTPROD[[#This Row],[COSTO TOTAL UNIDAD]]</f>
        <v>801.72279726037596</v>
      </c>
      <c r="X72" s="590">
        <f>+LISTPROD[[#This Row],[PRECIO DE VENTA 1]]-LISTPROD[[#This Row],[PRECIO VENTA POR RECETA]]</f>
        <v>-3165.0496660428907</v>
      </c>
      <c r="Y72" s="435">
        <v>5000</v>
      </c>
      <c r="Z72" s="589">
        <f>(LISTPROD[[#This Row],[PRECIO DE VENTA2]]-LISTPROD[[#This Row],[COSTO TOTAL UNIDAD]])/LISTPROD[[#This Row],[COSTO TOTAL UNIDAD]]</f>
        <v>-3.8142868301660963E-2</v>
      </c>
      <c r="AA72" s="435">
        <f>+LISTPROD[[#This Row],[% GANANCIA2]]*LISTPROD[[#This Row],[COSTO TOTAL UNIDAD]]</f>
        <v>-198.27720273962402</v>
      </c>
      <c r="AB72" s="590">
        <f>LISTPROD[[#This Row],[PRECIO DE VENTA2]]-LISTPROD[[#This Row],[PRECIO VENTA POR RECETA]]</f>
        <v>-4165.0496660428907</v>
      </c>
      <c r="AC72" s="435">
        <v>5000</v>
      </c>
      <c r="AD72" s="592">
        <f>(LISTPROD[[#This Row],[PRECIO DE VENTA 3]]-LISTPROD[[#This Row],[COSTO TOTAL UNIDAD]])/LISTPROD[[#This Row],[COSTO TOTAL UNIDAD]]</f>
        <v>-3.8142868301660963E-2</v>
      </c>
      <c r="AE72" s="435">
        <f>LISTPROD[[#This Row],[% GANANCIA3]]*LISTPROD[[#This Row],[COSTO TOTAL UNIDAD]]</f>
        <v>-198.27720273962402</v>
      </c>
      <c r="AF72" s="590"/>
      <c r="AG72" s="590"/>
      <c r="AH72" s="88">
        <v>6000</v>
      </c>
      <c r="AI72" s="88">
        <v>5000</v>
      </c>
      <c r="AJ72" s="88">
        <v>5000</v>
      </c>
      <c r="AK72" s="88">
        <v>5000</v>
      </c>
      <c r="AL72" s="40"/>
      <c r="AN72" t="s">
        <v>304</v>
      </c>
    </row>
    <row r="73" spans="1:40" ht="34.9" customHeight="1" x14ac:dyDescent="0.25">
      <c r="A73" s="44" t="s">
        <v>190</v>
      </c>
      <c r="B73" s="19" t="s">
        <v>191</v>
      </c>
      <c r="C73" s="160" t="s">
        <v>191</v>
      </c>
      <c r="D73" s="240" t="s">
        <v>464</v>
      </c>
      <c r="E73" s="329" t="s">
        <v>654</v>
      </c>
      <c r="F73" s="329"/>
      <c r="G73" s="329" t="s">
        <v>642</v>
      </c>
      <c r="H73" s="329"/>
      <c r="I73" s="329" t="s">
        <v>655</v>
      </c>
      <c r="J73" s="623" t="s">
        <v>714</v>
      </c>
      <c r="K73" s="171"/>
      <c r="L73" s="654"/>
      <c r="M73" s="654"/>
      <c r="N73" s="187" t="s">
        <v>74</v>
      </c>
      <c r="O73" s="588">
        <f>'RECETAS JARABES'!G1751</f>
        <v>3036.5143089300996</v>
      </c>
      <c r="P73" s="588">
        <f>'Gtos Varios'!$B$22</f>
        <v>3070.542857142857</v>
      </c>
      <c r="Q73" s="598">
        <f>+LISTPROD[[#This Row],[PRECIO DE PRODUCCIÓN POR UND]]+LISTPROD[[#This Row],[TOTAL GASTOS VARIOS]]</f>
        <v>6107.0571660729565</v>
      </c>
      <c r="R73" s="591">
        <f>'RECETAS JARABES'!G1756</f>
        <v>3220.5332682864478</v>
      </c>
      <c r="S73" s="387">
        <f>'RECETAS JARABES'!H1756</f>
        <v>0.48</v>
      </c>
      <c r="T73" s="368">
        <f>'RECETAS JARABES'!G1757</f>
        <v>9929.9775772165467</v>
      </c>
      <c r="U73" s="435">
        <v>8000</v>
      </c>
      <c r="V73" s="589">
        <f>(LISTPROD[[#This Row],[PRECIO DE VENTA 1]]-LISTPROD[[#This Row],[COSTO TOTAL UNIDAD]])/LISTPROD[[#This Row],[COSTO TOTAL UNIDAD]]</f>
        <v>0.30995990089024655</v>
      </c>
      <c r="W73" s="435">
        <f>LISTPROD[[#This Row],[% GANANCIA]]*LISTPROD[[#This Row],[COSTO TOTAL UNIDAD]]</f>
        <v>1892.9428339270437</v>
      </c>
      <c r="X73" s="590">
        <f>+LISTPROD[[#This Row],[PRECIO DE VENTA 1]]-LISTPROD[[#This Row],[PRECIO VENTA POR RECETA]]</f>
        <v>-1929.9775772165467</v>
      </c>
      <c r="Y73" s="435">
        <v>10000</v>
      </c>
      <c r="Z73" s="589">
        <f>(LISTPROD[[#This Row],[PRECIO DE VENTA2]]-LISTPROD[[#This Row],[COSTO TOTAL UNIDAD]])/LISTPROD[[#This Row],[COSTO TOTAL UNIDAD]]</f>
        <v>0.63744987611280812</v>
      </c>
      <c r="AA73" s="435">
        <f>+LISTPROD[[#This Row],[% GANANCIA2]]*LISTPROD[[#This Row],[COSTO TOTAL UNIDAD]]</f>
        <v>3892.942833927043</v>
      </c>
      <c r="AB73" s="590">
        <f>LISTPROD[[#This Row],[PRECIO DE VENTA2]]-LISTPROD[[#This Row],[PRECIO VENTA POR RECETA]]</f>
        <v>70.022422783453294</v>
      </c>
      <c r="AC73" s="435">
        <v>10000</v>
      </c>
      <c r="AD73" s="592">
        <f>(LISTPROD[[#This Row],[PRECIO DE VENTA 3]]-LISTPROD[[#This Row],[COSTO TOTAL UNIDAD]])/LISTPROD[[#This Row],[COSTO TOTAL UNIDAD]]</f>
        <v>0.63744987611280812</v>
      </c>
      <c r="AE73" s="435">
        <f>LISTPROD[[#This Row],[% GANANCIA3]]*LISTPROD[[#This Row],[COSTO TOTAL UNIDAD]]</f>
        <v>3892.942833927043</v>
      </c>
      <c r="AF73" s="590"/>
      <c r="AG73" s="590"/>
      <c r="AH73" s="88">
        <v>8000</v>
      </c>
      <c r="AI73" s="88">
        <v>10000</v>
      </c>
      <c r="AJ73" s="88">
        <v>10000</v>
      </c>
      <c r="AK73" s="88">
        <v>10000</v>
      </c>
      <c r="AL73" s="40"/>
      <c r="AN73" t="s">
        <v>304</v>
      </c>
    </row>
    <row r="74" spans="1:40" ht="34.9" customHeight="1" x14ac:dyDescent="0.25">
      <c r="A74" s="49" t="s">
        <v>192</v>
      </c>
      <c r="B74" s="9" t="s">
        <v>328</v>
      </c>
      <c r="C74" s="9" t="s">
        <v>1111</v>
      </c>
      <c r="D74" s="240" t="s">
        <v>517</v>
      </c>
      <c r="E74" s="329" t="s">
        <v>654</v>
      </c>
      <c r="F74" s="329" t="s">
        <v>797</v>
      </c>
      <c r="G74" s="329" t="s">
        <v>508</v>
      </c>
      <c r="H74" s="645" t="s">
        <v>812</v>
      </c>
      <c r="I74" s="329" t="s">
        <v>657</v>
      </c>
      <c r="J74" s="623"/>
      <c r="K74" s="171"/>
      <c r="L74" s="538" t="s">
        <v>1145</v>
      </c>
      <c r="M74" s="538" t="s">
        <v>1145</v>
      </c>
      <c r="N74" s="189" t="s">
        <v>73</v>
      </c>
      <c r="O74" s="671">
        <f>'RECETAS CAPS'!BK19</f>
        <v>6756.8600000000006</v>
      </c>
      <c r="P74" s="588">
        <f>'Gtos Varios'!$B$22</f>
        <v>3070.542857142857</v>
      </c>
      <c r="Q74" s="510">
        <f>+LISTPROD[[#This Row],[TOTAL GASTOS VARIOS]]+LISTPROD[[#This Row],[PRECIO DE PRODUCCIÓN POR UND]]</f>
        <v>9827.4028571428571</v>
      </c>
      <c r="R74" s="510">
        <f>'RECETAS CAPS'!BK25</f>
        <v>3128.9370000000004</v>
      </c>
      <c r="S74" s="387">
        <f>'RECETAS CAPS'!BL25</f>
        <v>0.3</v>
      </c>
      <c r="T74" s="664">
        <f>'RECETAS CAPS'!BK26</f>
        <v>13558.727000000001</v>
      </c>
      <c r="U74" s="362">
        <v>13559</v>
      </c>
      <c r="V74" s="589">
        <f>(LISTPROD[[#This Row],[PRECIO DE VENTA 1]]-LISTPROD[[#This Row],[COSTO TOTAL UNIDAD]])/LISTPROD[[#This Row],[COSTO TOTAL UNIDAD]]</f>
        <v>0.37971346011778728</v>
      </c>
      <c r="W74" s="435">
        <f>LISTPROD[[#This Row],[% GANANCIA]]*LISTPROD[[#This Row],[COSTO TOTAL UNIDAD]]</f>
        <v>3731.5971428571429</v>
      </c>
      <c r="X74" s="393"/>
      <c r="Y74" s="435"/>
      <c r="Z74" s="589"/>
      <c r="AA74" s="435"/>
      <c r="AB74" s="590"/>
      <c r="AC74" s="435"/>
      <c r="AD74" s="393"/>
      <c r="AE74" s="393"/>
      <c r="AF74" s="393"/>
      <c r="AG74" s="393"/>
      <c r="AH74" s="88">
        <v>12800</v>
      </c>
      <c r="AI74" s="88">
        <v>0</v>
      </c>
      <c r="AJ74" s="88">
        <v>0</v>
      </c>
      <c r="AK74" s="88">
        <v>0</v>
      </c>
      <c r="AL74" s="40" t="s">
        <v>329</v>
      </c>
      <c r="AM74" s="626" t="s">
        <v>728</v>
      </c>
      <c r="AN74" t="s">
        <v>304</v>
      </c>
    </row>
    <row r="75" spans="1:40" ht="34.9" customHeight="1" x14ac:dyDescent="0.25">
      <c r="A75" s="44" t="s">
        <v>193</v>
      </c>
      <c r="B75" s="19" t="s">
        <v>194</v>
      </c>
      <c r="C75" s="19" t="s">
        <v>1112</v>
      </c>
      <c r="D75" s="240" t="s">
        <v>464</v>
      </c>
      <c r="E75" s="329" t="s">
        <v>654</v>
      </c>
      <c r="F75" s="329" t="s">
        <v>797</v>
      </c>
      <c r="G75" s="329" t="s">
        <v>642</v>
      </c>
      <c r="H75" s="645" t="s">
        <v>801</v>
      </c>
      <c r="I75" s="329" t="s">
        <v>655</v>
      </c>
      <c r="J75" s="623" t="s">
        <v>491</v>
      </c>
      <c r="K75" s="551" t="s">
        <v>505</v>
      </c>
      <c r="L75" s="538" t="s">
        <v>1145</v>
      </c>
      <c r="M75" s="538"/>
      <c r="N75" s="187" t="s">
        <v>73</v>
      </c>
      <c r="O75" s="588">
        <f>'RECETAS JARABES'!G1784</f>
        <v>2502.3862320434337</v>
      </c>
      <c r="P75" s="588">
        <f>'Gtos Varios'!$B$22</f>
        <v>3070.542857142857</v>
      </c>
      <c r="Q75" s="598">
        <f>+LISTPROD[[#This Row],[PRECIO DE PRODUCCIÓN POR UND]]+LISTPROD[[#This Row],[TOTAL GASTOS VARIOS]]</f>
        <v>5572.9290891862911</v>
      </c>
      <c r="R75" s="591">
        <f>'RECETAS JARABES'!$G$1787</f>
        <v>3272.9176029830196</v>
      </c>
      <c r="S75" s="387">
        <f>'RECETAS JARABES'!$H$1787</f>
        <v>0.53</v>
      </c>
      <c r="T75" s="368">
        <f>'RECETAS JARABES'!$G$1788</f>
        <v>9448.2338350264527</v>
      </c>
      <c r="U75" s="435">
        <v>7000</v>
      </c>
      <c r="V75" s="589">
        <f>(LISTPROD[[#This Row],[PRECIO DE VENTA 1]]-LISTPROD[[#This Row],[COSTO TOTAL UNIDAD]])/LISTPROD[[#This Row],[COSTO TOTAL UNIDAD]]</f>
        <v>0.25607196646065289</v>
      </c>
      <c r="W75" s="435">
        <f>LISTPROD[[#This Row],[% GANANCIA]]*LISTPROD[[#This Row],[COSTO TOTAL UNIDAD]]</f>
        <v>1427.0709108137087</v>
      </c>
      <c r="X75" s="590">
        <f>+LISTPROD[[#This Row],[PRECIO DE VENTA 1]]-LISTPROD[[#This Row],[PRECIO VENTA POR RECETA]]</f>
        <v>-2448.2338350264527</v>
      </c>
      <c r="Y75" s="435">
        <v>5000</v>
      </c>
      <c r="Z75" s="592">
        <f>(LISTPROD[[#This Row],[PRECIO DE VENTA2]]-LISTPROD[[#This Row],[COSTO TOTAL UNIDAD]])/LISTPROD[[#This Row],[COSTO TOTAL UNIDAD]]</f>
        <v>-0.10280573824239078</v>
      </c>
      <c r="AA75" s="435">
        <f>+LISTPROD[[#This Row],[% GANANCIA2]]*LISTPROD[[#This Row],[COSTO TOTAL UNIDAD]]</f>
        <v>-572.92908918629109</v>
      </c>
      <c r="AB75" s="590">
        <f>LISTPROD[[#This Row],[PRECIO DE VENTA2]]-LISTPROD[[#This Row],[PRECIO VENTA POR RECETA]]</f>
        <v>-4448.2338350264527</v>
      </c>
      <c r="AC75" s="435">
        <v>5000</v>
      </c>
      <c r="AD75" s="592">
        <f>(LISTPROD[[#This Row],[PRECIO DE VENTA 3]]-LISTPROD[[#This Row],[COSTO TOTAL UNIDAD]])/LISTPROD[[#This Row],[COSTO TOTAL UNIDAD]]</f>
        <v>-0.10280573824239078</v>
      </c>
      <c r="AE75" s="435">
        <f>LISTPROD[[#This Row],[% GANANCIA3]]*LISTPROD[[#This Row],[COSTO TOTAL UNIDAD]]</f>
        <v>-572.92908918629109</v>
      </c>
      <c r="AF75" s="590"/>
      <c r="AG75" s="590"/>
      <c r="AH75" s="88">
        <v>6000</v>
      </c>
      <c r="AI75" s="88">
        <v>5000</v>
      </c>
      <c r="AJ75" s="88">
        <v>5000</v>
      </c>
      <c r="AK75" s="88">
        <v>5000</v>
      </c>
      <c r="AL75" s="66"/>
      <c r="AM75" s="626" t="s">
        <v>728</v>
      </c>
      <c r="AN75" t="s">
        <v>304</v>
      </c>
    </row>
    <row r="76" spans="1:40" ht="34.9" customHeight="1" x14ac:dyDescent="0.25">
      <c r="A76" s="49" t="s">
        <v>195</v>
      </c>
      <c r="B76" s="9" t="s">
        <v>196</v>
      </c>
      <c r="C76" s="9" t="s">
        <v>1102</v>
      </c>
      <c r="D76" s="240" t="s">
        <v>464</v>
      </c>
      <c r="E76" s="329" t="s">
        <v>654</v>
      </c>
      <c r="F76" s="329" t="s">
        <v>797</v>
      </c>
      <c r="G76" s="329" t="s">
        <v>642</v>
      </c>
      <c r="H76" s="645" t="s">
        <v>801</v>
      </c>
      <c r="I76" s="329" t="s">
        <v>655</v>
      </c>
      <c r="J76" s="623" t="s">
        <v>491</v>
      </c>
      <c r="K76" s="551" t="s">
        <v>505</v>
      </c>
      <c r="L76" s="538" t="s">
        <v>1145</v>
      </c>
      <c r="M76" s="538"/>
      <c r="N76" s="189" t="s">
        <v>73</v>
      </c>
      <c r="O76" s="588">
        <f>'RECETAS JARABES'!G1816</f>
        <v>1875.183743215814</v>
      </c>
      <c r="P76" s="588">
        <f>'Gtos Varios'!$B$22</f>
        <v>3070.542857142857</v>
      </c>
      <c r="Q76" s="598">
        <f>+LISTPROD[[#This Row],[PRECIO DE PRODUCCIÓN POR UND]]+LISTPROD[[#This Row],[TOTAL GASTOS VARIOS]]</f>
        <v>4945.726600358671</v>
      </c>
      <c r="R76" s="607">
        <f>'RECETAS JARABES'!$G$1821</f>
        <v>3273.3871084973302</v>
      </c>
      <c r="S76" s="608">
        <f>'RECETAS JARABES'!$H$1821</f>
        <v>0.59</v>
      </c>
      <c r="T76" s="609">
        <f>'RECETAS JARABES'!$G$1822</f>
        <v>8821.5008517131446</v>
      </c>
      <c r="U76" s="435">
        <v>6000</v>
      </c>
      <c r="V76" s="589">
        <f>(LISTPROD[[#This Row],[PRECIO DE VENTA 1]]-LISTPROD[[#This Row],[COSTO TOTAL UNIDAD]])/LISTPROD[[#This Row],[COSTO TOTAL UNIDAD]]</f>
        <v>0.21316855637852516</v>
      </c>
      <c r="W76" s="435">
        <f>LISTPROD[[#This Row],[% GANANCIA]]*LISTPROD[[#This Row],[COSTO TOTAL UNIDAD]]</f>
        <v>1054.273399641329</v>
      </c>
      <c r="X76" s="590">
        <f>+LISTPROD[[#This Row],[PRECIO DE VENTA 1]]-LISTPROD[[#This Row],[PRECIO VENTA POR RECETA]]</f>
        <v>-2821.5008517131446</v>
      </c>
      <c r="Y76" s="435">
        <v>5000</v>
      </c>
      <c r="Z76" s="592">
        <f>(LISTPROD[[#This Row],[PRECIO DE VENTA2]]-LISTPROD[[#This Row],[COSTO TOTAL UNIDAD]])/LISTPROD[[#This Row],[COSTO TOTAL UNIDAD]]</f>
        <v>1.0973796982104307E-2</v>
      </c>
      <c r="AA76" s="435">
        <f>+LISTPROD[[#This Row],[% GANANCIA2]]*LISTPROD[[#This Row],[COSTO TOTAL UNIDAD]]</f>
        <v>54.273399641328979</v>
      </c>
      <c r="AB76" s="590">
        <f>LISTPROD[[#This Row],[PRECIO DE VENTA2]]-LISTPROD[[#This Row],[PRECIO VENTA POR RECETA]]</f>
        <v>-3821.5008517131446</v>
      </c>
      <c r="AC76" s="435">
        <v>5000</v>
      </c>
      <c r="AD76" s="592">
        <f>(LISTPROD[[#This Row],[PRECIO DE VENTA 3]]-LISTPROD[[#This Row],[COSTO TOTAL UNIDAD]])/LISTPROD[[#This Row],[COSTO TOTAL UNIDAD]]</f>
        <v>1.0973796982104307E-2</v>
      </c>
      <c r="AE76" s="435">
        <f>LISTPROD[[#This Row],[% GANANCIA3]]*LISTPROD[[#This Row],[COSTO TOTAL UNIDAD]]</f>
        <v>54.273399641328979</v>
      </c>
      <c r="AF76" s="590"/>
      <c r="AG76" s="590"/>
      <c r="AH76" s="88">
        <v>6000</v>
      </c>
      <c r="AI76" s="88">
        <v>5000</v>
      </c>
      <c r="AJ76" s="88">
        <v>5000</v>
      </c>
      <c r="AK76" s="88">
        <v>5000</v>
      </c>
      <c r="AL76" s="66"/>
      <c r="AM76" s="672"/>
      <c r="AN76" t="s">
        <v>304</v>
      </c>
    </row>
    <row r="77" spans="1:40" ht="34.9" customHeight="1" x14ac:dyDescent="0.25">
      <c r="A77" s="49" t="s">
        <v>197</v>
      </c>
      <c r="B77" s="9" t="s">
        <v>198</v>
      </c>
      <c r="C77" s="171" t="s">
        <v>198</v>
      </c>
      <c r="D77" s="240" t="s">
        <v>464</v>
      </c>
      <c r="E77" s="329" t="s">
        <v>654</v>
      </c>
      <c r="F77" s="329"/>
      <c r="G77" s="329" t="s">
        <v>642</v>
      </c>
      <c r="H77" s="329"/>
      <c r="I77" s="329" t="s">
        <v>655</v>
      </c>
      <c r="J77" s="623" t="s">
        <v>487</v>
      </c>
      <c r="K77" s="171"/>
      <c r="L77" s="654"/>
      <c r="M77" s="654"/>
      <c r="N77" s="189" t="s">
        <v>74</v>
      </c>
      <c r="O77" s="597">
        <f>'RECETAS JARABES'!G1852</f>
        <v>2166.0687015491476</v>
      </c>
      <c r="P77" s="588">
        <f>'Gtos Varios'!$B$22</f>
        <v>3070.542857142857</v>
      </c>
      <c r="Q77" s="598">
        <f>+LISTPROD[[#This Row],[PRECIO DE PRODUCCIÓN POR UND]]+LISTPROD[[#This Row],[TOTAL GASTOS VARIOS]]</f>
        <v>5236.6115586920041</v>
      </c>
      <c r="R77" s="510">
        <f>'RECETAS JARABES'!G1857</f>
        <v>3386.6192468985055</v>
      </c>
      <c r="S77" s="387">
        <f>'RECETAS JARABES'!H1857</f>
        <v>0.57999999999999996</v>
      </c>
      <c r="T77" s="368">
        <f>'RECETAS JARABES'!G1858</f>
        <v>9225.6179484476525</v>
      </c>
      <c r="U77" s="435">
        <v>6000</v>
      </c>
      <c r="V77" s="589">
        <f>(LISTPROD[[#This Row],[PRECIO DE VENTA 1]]-LISTPROD[[#This Row],[COSTO TOTAL UNIDAD]])/LISTPROD[[#This Row],[COSTO TOTAL UNIDAD]]</f>
        <v>0.14577908495826533</v>
      </c>
      <c r="W77" s="435">
        <f>LISTPROD[[#This Row],[% GANANCIA]]*LISTPROD[[#This Row],[COSTO TOTAL UNIDAD]]</f>
        <v>763.38844130799589</v>
      </c>
      <c r="X77" s="590">
        <f>+LISTPROD[[#This Row],[PRECIO DE VENTA 1]]-LISTPROD[[#This Row],[PRECIO VENTA POR RECETA]]</f>
        <v>-3225.6179484476525</v>
      </c>
      <c r="Y77" s="435">
        <v>5000</v>
      </c>
      <c r="Z77" s="589">
        <f>(LISTPROD[[#This Row],[PRECIO DE VENTA2]]-LISTPROD[[#This Row],[COSTO TOTAL UNIDAD]])/LISTPROD[[#This Row],[COSTO TOTAL UNIDAD]]</f>
        <v>-4.5184095868112228E-2</v>
      </c>
      <c r="AA77" s="435">
        <f>+LISTPROD[[#This Row],[% GANANCIA2]]*LISTPROD[[#This Row],[COSTO TOTAL UNIDAD]]</f>
        <v>-236.61155869200411</v>
      </c>
      <c r="AB77" s="590">
        <f>LISTPROD[[#This Row],[PRECIO DE VENTA2]]-LISTPROD[[#This Row],[PRECIO VENTA POR RECETA]]</f>
        <v>-4225.6179484476525</v>
      </c>
      <c r="AC77" s="435">
        <v>5000</v>
      </c>
      <c r="AD77" s="592">
        <f>(LISTPROD[[#This Row],[PRECIO DE VENTA 3]]-LISTPROD[[#This Row],[COSTO TOTAL UNIDAD]])/LISTPROD[[#This Row],[COSTO TOTAL UNIDAD]]</f>
        <v>-4.5184095868112228E-2</v>
      </c>
      <c r="AE77" s="435">
        <f>LISTPROD[[#This Row],[% GANANCIA3]]*LISTPROD[[#This Row],[COSTO TOTAL UNIDAD]]</f>
        <v>-236.61155869200411</v>
      </c>
      <c r="AF77" s="590"/>
      <c r="AG77" s="590"/>
      <c r="AH77" s="88">
        <v>6000</v>
      </c>
      <c r="AI77" s="88">
        <v>5000</v>
      </c>
      <c r="AJ77" s="88">
        <v>5000</v>
      </c>
      <c r="AK77" s="88">
        <v>5000</v>
      </c>
      <c r="AL77" s="40"/>
      <c r="AN77" t="s">
        <v>304</v>
      </c>
    </row>
    <row r="78" spans="1:40" ht="34.9" customHeight="1" x14ac:dyDescent="0.25">
      <c r="A78" s="44" t="s">
        <v>199</v>
      </c>
      <c r="B78" s="19" t="s">
        <v>200</v>
      </c>
      <c r="C78" s="160" t="s">
        <v>200</v>
      </c>
      <c r="D78" s="240" t="s">
        <v>464</v>
      </c>
      <c r="E78" s="329" t="s">
        <v>654</v>
      </c>
      <c r="F78" s="329"/>
      <c r="G78" s="329" t="s">
        <v>642</v>
      </c>
      <c r="H78" s="329"/>
      <c r="I78" s="329" t="s">
        <v>655</v>
      </c>
      <c r="J78" s="623" t="s">
        <v>487</v>
      </c>
      <c r="K78" s="171"/>
      <c r="L78" s="654"/>
      <c r="M78" s="654"/>
      <c r="N78" s="187" t="s">
        <v>74</v>
      </c>
      <c r="O78" s="588">
        <f>'RECETAS JARABES'!G1887</f>
        <v>2085.0595799300995</v>
      </c>
      <c r="P78" s="588">
        <f>'Gtos Varios'!$B$22</f>
        <v>3070.542857142857</v>
      </c>
      <c r="Q78" s="598">
        <f>+LISTPROD[[#This Row],[PRECIO DE PRODUCCIÓN POR UND]]+LISTPROD[[#This Row],[TOTAL GASTOS VARIOS]]</f>
        <v>5155.6024370729565</v>
      </c>
      <c r="R78" s="591">
        <f>'RECETAS JARABES'!G1892</f>
        <v>3397.2138521587585</v>
      </c>
      <c r="S78" s="387">
        <f>'RECETAS JARABES'!H1892</f>
        <v>0.59</v>
      </c>
      <c r="T78" s="368">
        <f>'RECETAS JARABES'!G1893</f>
        <v>9155.2034320888579</v>
      </c>
      <c r="U78" s="435">
        <v>6000</v>
      </c>
      <c r="V78" s="589">
        <f>(LISTPROD[[#This Row],[PRECIO DE VENTA 1]]-LISTPROD[[#This Row],[COSTO TOTAL UNIDAD]])/LISTPROD[[#This Row],[COSTO TOTAL UNIDAD]]</f>
        <v>0.16378252071089525</v>
      </c>
      <c r="W78" s="435">
        <f>LISTPROD[[#This Row],[% GANANCIA]]*LISTPROD[[#This Row],[COSTO TOTAL UNIDAD]]</f>
        <v>844.39756292704351</v>
      </c>
      <c r="X78" s="590">
        <f>+LISTPROD[[#This Row],[PRECIO DE VENTA 1]]-LISTPROD[[#This Row],[PRECIO VENTA POR RECETA]]</f>
        <v>-3155.2034320888579</v>
      </c>
      <c r="Y78" s="435">
        <v>5000</v>
      </c>
      <c r="Z78" s="592">
        <f>(LISTPROD[[#This Row],[PRECIO DE VENTA2]]-LISTPROD[[#This Row],[COSTO TOTAL UNIDAD]])/LISTPROD[[#This Row],[COSTO TOTAL UNIDAD]]</f>
        <v>-3.0181232740920626E-2</v>
      </c>
      <c r="AA78" s="435">
        <f>+LISTPROD[[#This Row],[% GANANCIA2]]*LISTPROD[[#This Row],[COSTO TOTAL UNIDAD]]</f>
        <v>-155.60243707295649</v>
      </c>
      <c r="AB78" s="590">
        <f>LISTPROD[[#This Row],[PRECIO DE VENTA2]]-LISTPROD[[#This Row],[PRECIO VENTA POR RECETA]]</f>
        <v>-4155.2034320888579</v>
      </c>
      <c r="AC78" s="435">
        <v>5000</v>
      </c>
      <c r="AD78" s="592">
        <f>(LISTPROD[[#This Row],[PRECIO DE VENTA 3]]-LISTPROD[[#This Row],[COSTO TOTAL UNIDAD]])/LISTPROD[[#This Row],[COSTO TOTAL UNIDAD]]</f>
        <v>-3.0181232740920626E-2</v>
      </c>
      <c r="AE78" s="435">
        <f>LISTPROD[[#This Row],[% GANANCIA3]]*LISTPROD[[#This Row],[COSTO TOTAL UNIDAD]]</f>
        <v>-155.60243707295649</v>
      </c>
      <c r="AF78" s="590"/>
      <c r="AG78" s="590"/>
      <c r="AH78" s="88">
        <v>6000</v>
      </c>
      <c r="AI78" s="88">
        <v>5000</v>
      </c>
      <c r="AJ78" s="88">
        <v>5000</v>
      </c>
      <c r="AK78" s="88">
        <v>5000</v>
      </c>
      <c r="AL78" s="40"/>
      <c r="AN78" t="s">
        <v>304</v>
      </c>
    </row>
    <row r="79" spans="1:40" ht="34.9" customHeight="1" x14ac:dyDescent="0.25">
      <c r="A79" s="49" t="s">
        <v>201</v>
      </c>
      <c r="B79" s="9" t="s">
        <v>202</v>
      </c>
      <c r="C79" s="171" t="s">
        <v>202</v>
      </c>
      <c r="D79" s="240" t="s">
        <v>464</v>
      </c>
      <c r="E79" s="329" t="s">
        <v>654</v>
      </c>
      <c r="F79" s="329"/>
      <c r="G79" s="329" t="s">
        <v>642</v>
      </c>
      <c r="H79" s="329"/>
      <c r="I79" s="329" t="s">
        <v>655</v>
      </c>
      <c r="J79" s="623" t="s">
        <v>487</v>
      </c>
      <c r="K79" s="171"/>
      <c r="L79" s="654"/>
      <c r="M79" s="654"/>
      <c r="N79" s="187" t="s">
        <v>74</v>
      </c>
      <c r="O79" s="588">
        <f>'RECETAS JARABES'!G1922</f>
        <v>2085.0595799300995</v>
      </c>
      <c r="P79" s="588">
        <f>'Gtos Varios'!$B$22</f>
        <v>3070.542857142857</v>
      </c>
      <c r="Q79" s="598">
        <f>+LISTPROD[[#This Row],[PRECIO DE PRODUCCIÓN POR UND]]+LISTPROD[[#This Row],[TOTAL GASTOS VARIOS]]</f>
        <v>5155.6024370729565</v>
      </c>
      <c r="R79" s="591">
        <f>'RECETAS JARABES'!G1927</f>
        <v>3397.2138521587585</v>
      </c>
      <c r="S79" s="387">
        <f>'RECETAS JARABES'!H1927</f>
        <v>0.59</v>
      </c>
      <c r="T79" s="368">
        <f>'RECETAS JARABES'!G1928</f>
        <v>9155.2034320888579</v>
      </c>
      <c r="U79" s="435">
        <v>6000</v>
      </c>
      <c r="V79" s="589">
        <f>(LISTPROD[[#This Row],[PRECIO DE VENTA 1]]-LISTPROD[[#This Row],[COSTO TOTAL UNIDAD]])/LISTPROD[[#This Row],[COSTO TOTAL UNIDAD]]</f>
        <v>0.16378252071089525</v>
      </c>
      <c r="W79" s="435">
        <f>LISTPROD[[#This Row],[% GANANCIA]]*LISTPROD[[#This Row],[COSTO TOTAL UNIDAD]]</f>
        <v>844.39756292704351</v>
      </c>
      <c r="X79" s="590">
        <f>+LISTPROD[[#This Row],[PRECIO DE VENTA 1]]-LISTPROD[[#This Row],[PRECIO VENTA POR RECETA]]</f>
        <v>-3155.2034320888579</v>
      </c>
      <c r="Y79" s="435">
        <v>5000</v>
      </c>
      <c r="Z79" s="592">
        <f>(LISTPROD[[#This Row],[PRECIO DE VENTA2]]-LISTPROD[[#This Row],[COSTO TOTAL UNIDAD]])/LISTPROD[[#This Row],[COSTO TOTAL UNIDAD]]</f>
        <v>-3.0181232740920626E-2</v>
      </c>
      <c r="AA79" s="435">
        <f>+LISTPROD[[#This Row],[% GANANCIA2]]*LISTPROD[[#This Row],[COSTO TOTAL UNIDAD]]</f>
        <v>-155.60243707295649</v>
      </c>
      <c r="AB79" s="590">
        <f>LISTPROD[[#This Row],[PRECIO DE VENTA2]]-LISTPROD[[#This Row],[PRECIO VENTA POR RECETA]]</f>
        <v>-4155.2034320888579</v>
      </c>
      <c r="AC79" s="435">
        <v>5000</v>
      </c>
      <c r="AD79" s="592">
        <f>(LISTPROD[[#This Row],[PRECIO DE VENTA 3]]-LISTPROD[[#This Row],[COSTO TOTAL UNIDAD]])/LISTPROD[[#This Row],[COSTO TOTAL UNIDAD]]</f>
        <v>-3.0181232740920626E-2</v>
      </c>
      <c r="AE79" s="435">
        <f>LISTPROD[[#This Row],[% GANANCIA3]]*LISTPROD[[#This Row],[COSTO TOTAL UNIDAD]]</f>
        <v>-155.60243707295649</v>
      </c>
      <c r="AF79" s="590"/>
      <c r="AG79" s="590"/>
      <c r="AH79" s="88">
        <v>6000</v>
      </c>
      <c r="AI79" s="88">
        <v>5000</v>
      </c>
      <c r="AJ79" s="88">
        <v>5000</v>
      </c>
      <c r="AK79" s="88">
        <v>5000</v>
      </c>
      <c r="AL79" s="40"/>
      <c r="AN79" t="s">
        <v>304</v>
      </c>
    </row>
    <row r="80" spans="1:40" ht="34.9" customHeight="1" x14ac:dyDescent="0.25">
      <c r="A80" s="44" t="s">
        <v>203</v>
      </c>
      <c r="B80" s="19" t="s">
        <v>204</v>
      </c>
      <c r="C80" s="160" t="s">
        <v>204</v>
      </c>
      <c r="D80" s="240" t="s">
        <v>780</v>
      </c>
      <c r="E80" s="337" t="s">
        <v>654</v>
      </c>
      <c r="F80" s="329"/>
      <c r="G80" s="329" t="s">
        <v>611</v>
      </c>
      <c r="H80" s="329"/>
      <c r="I80" s="329" t="s">
        <v>673</v>
      </c>
      <c r="J80" s="551"/>
      <c r="K80" s="160"/>
      <c r="L80" s="336"/>
      <c r="M80" s="336"/>
      <c r="N80" s="187" t="s">
        <v>74</v>
      </c>
      <c r="O80" s="588">
        <f>'RECETAS PASTILLAS'!AC16</f>
        <v>4900</v>
      </c>
      <c r="P80" s="588">
        <f>'Gtos Varios'!$B$22</f>
        <v>3070.542857142857</v>
      </c>
      <c r="Q80" s="598">
        <f>+LISTPROD[[#This Row],[TOTAL GASTOS VARIOS]]+LISTPROD[[#This Row],[PRECIO DE PRODUCCIÓN POR UND]]</f>
        <v>7970.5428571428565</v>
      </c>
      <c r="R80" s="591">
        <f>'RECETAS PASTILLAS'!AC21</f>
        <v>3257.7134000000001</v>
      </c>
      <c r="S80" s="387">
        <f>'RECETAS PASTILLAS'!AD21</f>
        <v>0.38</v>
      </c>
      <c r="T80" s="368">
        <f>'RECETAS PASTILLAS'!AC22</f>
        <v>11830.643400000001</v>
      </c>
      <c r="U80" s="435"/>
      <c r="V80" s="589"/>
      <c r="W80" s="435"/>
      <c r="X80" s="590"/>
      <c r="Y80" s="435">
        <v>6000</v>
      </c>
      <c r="Z80" s="592">
        <f>(LISTPROD[[#This Row],[PRECIO DE VENTA2]]-LISTPROD[[#This Row],[COSTO TOTAL UNIDAD]])/LISTPROD[[#This Row],[COSTO TOTAL UNIDAD]]</f>
        <v>-0.24722818664439411</v>
      </c>
      <c r="AA80" s="368">
        <f>LISTPROD[[#This Row],[PRECIO DE VENTA2]]*LISTPROD[[#This Row],[% GANANCIA2]]</f>
        <v>-1483.3691198663646</v>
      </c>
      <c r="AB80" s="590"/>
      <c r="AC80" s="435">
        <v>8000</v>
      </c>
      <c r="AD80" s="592">
        <f>(LISTPROD[[#This Row],[PRECIO DE VENTA 3]]-LISTPROD[[#This Row],[COSTO TOTAL UNIDAD]])/LISTPROD[[#This Row],[COSTO TOTAL UNIDAD]]</f>
        <v>3.6957511408078386E-3</v>
      </c>
      <c r="AE80" s="368">
        <f>+LISTPROD[[#This Row],[PRECIO DE VENTA 3]]*LISTPROD[[#This Row],[% GANANCIA3]]</f>
        <v>29.56600912646271</v>
      </c>
      <c r="AF80" s="590"/>
      <c r="AG80" s="590"/>
      <c r="AH80" s="88">
        <v>0</v>
      </c>
      <c r="AI80" s="88">
        <v>6000</v>
      </c>
      <c r="AJ80" s="88">
        <v>8000</v>
      </c>
      <c r="AK80" s="88">
        <v>8000</v>
      </c>
      <c r="AL80" s="40"/>
      <c r="AN80" s="11" t="s">
        <v>305</v>
      </c>
    </row>
    <row r="81" spans="1:40" ht="34.9" customHeight="1" x14ac:dyDescent="0.25">
      <c r="A81" s="44" t="s">
        <v>205</v>
      </c>
      <c r="B81" s="19" t="s">
        <v>206</v>
      </c>
      <c r="C81" s="19" t="s">
        <v>1113</v>
      </c>
      <c r="D81" s="661" t="s">
        <v>469</v>
      </c>
      <c r="E81" s="337" t="s">
        <v>654</v>
      </c>
      <c r="F81" s="329" t="s">
        <v>797</v>
      </c>
      <c r="G81" s="337" t="s">
        <v>647</v>
      </c>
      <c r="H81" s="645" t="s">
        <v>818</v>
      </c>
      <c r="I81" s="336"/>
      <c r="J81" s="624"/>
      <c r="K81" s="160"/>
      <c r="L81" s="538" t="s">
        <v>1145</v>
      </c>
      <c r="M81" s="538" t="s">
        <v>1145</v>
      </c>
      <c r="N81" s="187" t="s">
        <v>73</v>
      </c>
      <c r="O81" s="594">
        <f>'RECETAS UNGUENTOS'!R22</f>
        <v>1709.4326549230768</v>
      </c>
      <c r="P81" s="594">
        <f>'Gtos Varios'!$B$22</f>
        <v>3070.542857142857</v>
      </c>
      <c r="Q81" s="591">
        <f>LISTPROD[[#This Row],[TOTAL GASTOS VARIOS]]+LISTPROD[[#This Row],[PRECIO DE PRODUCCIÓN POR UND]]</f>
        <v>4779.9755120659338</v>
      </c>
      <c r="R81" s="591">
        <f>'RECETAS UNGUENTOS'!R27</f>
        <v>3390.8884726015385</v>
      </c>
      <c r="S81" s="387">
        <f>'RECETAS UNGUENTOS'!S27</f>
        <v>0.63</v>
      </c>
      <c r="T81" s="368">
        <f>'RECETAS UNGUENTOS'!R28</f>
        <v>8773.2511275246143</v>
      </c>
      <c r="U81" s="435">
        <v>6000</v>
      </c>
      <c r="V81" s="589">
        <f>(LISTPROD[[#This Row],[PRECIO DE VENTA 1]]-LISTPROD[[#This Row],[COSTO TOTAL UNIDAD]])/LISTPROD[[#This Row],[COSTO TOTAL UNIDAD]]</f>
        <v>0.25523655609833124</v>
      </c>
      <c r="W81" s="435">
        <f>LISTPROD[[#This Row],[% GANANCIA]]*LISTPROD[[#This Row],[COSTO TOTAL UNIDAD]]</f>
        <v>1220.0244879340662</v>
      </c>
      <c r="X81" s="393"/>
      <c r="Y81" s="435">
        <v>5000</v>
      </c>
      <c r="Z81" s="589">
        <f>(LISTPROD[[#This Row],[PRECIO DE VENTA2]]-LISTPROD[[#This Row],[COSTO TOTAL UNIDAD]])/LISTPROD[[#This Row],[COSTO TOTAL UNIDAD]]</f>
        <v>4.6030463415276016E-2</v>
      </c>
      <c r="AA81" s="435">
        <f>LISTPROD[[#This Row],[PRECIO DE VENTA2]]*LISTPROD[[#This Row],[% GANANCIA2]]</f>
        <v>230.15231707638009</v>
      </c>
      <c r="AB81" s="590">
        <f>LISTPROD[[#This Row],[PRECIO DE VENTA2]]-LISTPROD[[#This Row],[PRECIO VENTA POR RECETA]]</f>
        <v>-3773.2511275246143</v>
      </c>
      <c r="AC81" s="435">
        <v>5000</v>
      </c>
      <c r="AD81" s="592">
        <f>(LISTPROD[[#This Row],[PRECIO DE VENTA 3]]-LISTPROD[[#This Row],[COSTO TOTAL UNIDAD]])/LISTPROD[[#This Row],[COSTO TOTAL UNIDAD]]</f>
        <v>4.6030463415276016E-2</v>
      </c>
      <c r="AE81" s="435">
        <f>LISTPROD[[#This Row],[% GANANCIA3]]*LISTPROD[[#This Row],[COSTO TOTAL UNIDAD]]</f>
        <v>220.0244879340662</v>
      </c>
      <c r="AF81" s="393"/>
      <c r="AG81" s="393"/>
      <c r="AH81" s="88">
        <v>6000</v>
      </c>
      <c r="AI81" s="88">
        <v>5000</v>
      </c>
      <c r="AJ81" s="88">
        <v>5000</v>
      </c>
      <c r="AK81" s="88">
        <v>5000</v>
      </c>
      <c r="AL81" s="40"/>
      <c r="AN81" s="11" t="s">
        <v>544</v>
      </c>
    </row>
    <row r="82" spans="1:40" ht="34.9" customHeight="1" x14ac:dyDescent="0.25">
      <c r="A82" s="44" t="s">
        <v>207</v>
      </c>
      <c r="B82" s="19" t="s">
        <v>795</v>
      </c>
      <c r="C82" s="19" t="s">
        <v>1114</v>
      </c>
      <c r="D82" s="240" t="s">
        <v>465</v>
      </c>
      <c r="E82" s="329" t="s">
        <v>654</v>
      </c>
      <c r="F82" s="329" t="s">
        <v>797</v>
      </c>
      <c r="G82" s="329" t="s">
        <v>642</v>
      </c>
      <c r="H82" s="329" t="s">
        <v>803</v>
      </c>
      <c r="I82" s="329" t="s">
        <v>747</v>
      </c>
      <c r="J82" s="623" t="s">
        <v>491</v>
      </c>
      <c r="K82" s="171"/>
      <c r="L82" s="538" t="s">
        <v>1145</v>
      </c>
      <c r="M82" s="538" t="s">
        <v>1145</v>
      </c>
      <c r="N82" s="187" t="s">
        <v>73</v>
      </c>
      <c r="O82" s="588">
        <f>'RECETAS JARABES'!G1953</f>
        <v>2108.2250461392819</v>
      </c>
      <c r="P82" s="588">
        <f>'Gtos Varios'!$B$22</f>
        <v>3070.542857142857</v>
      </c>
      <c r="Q82" s="598">
        <f>+LISTPROD[[#This Row],[PRECIO DE PRODUCCIÓN POR UND]]+LISTPROD[[#This Row],[TOTAL GASTOS VARIOS]]</f>
        <v>5178.7679032821388</v>
      </c>
      <c r="R82" s="591">
        <f>'RECETAS JARABES'!G1958</f>
        <v>3353.0699267607833</v>
      </c>
      <c r="S82" s="387">
        <f>'RECETAS JARABES'!H1958</f>
        <v>0.57999999999999996</v>
      </c>
      <c r="T82" s="368">
        <f>'RECETAS JARABES'!G1959</f>
        <v>9134.224972900065</v>
      </c>
      <c r="U82" s="435">
        <v>7500</v>
      </c>
      <c r="V82" s="589">
        <f>(LISTPROD[[#This Row],[PRECIO DE VENTA 1]]-LISTPROD[[#This Row],[COSTO TOTAL UNIDAD]])/LISTPROD[[#This Row],[COSTO TOTAL UNIDAD]]</f>
        <v>0.44822091664828961</v>
      </c>
      <c r="W82" s="435">
        <f>LISTPROD[[#This Row],[% GANANCIA]]*LISTPROD[[#This Row],[COSTO TOTAL UNIDAD]]</f>
        <v>2321.2320967178612</v>
      </c>
      <c r="X82" s="590">
        <f>+LISTPROD[[#This Row],[PRECIO DE VENTA 1]]-LISTPROD[[#This Row],[PRECIO VENTA POR RECETA]]</f>
        <v>-1634.224972900065</v>
      </c>
      <c r="Y82" s="435"/>
      <c r="Z82" s="589"/>
      <c r="AA82" s="435"/>
      <c r="AB82" s="590"/>
      <c r="AC82" s="435"/>
      <c r="AD82" s="592"/>
      <c r="AE82" s="435"/>
      <c r="AF82" s="590"/>
      <c r="AG82" s="590"/>
      <c r="AH82" s="88">
        <v>7500</v>
      </c>
      <c r="AI82" s="88">
        <v>0</v>
      </c>
      <c r="AJ82" s="88">
        <v>0</v>
      </c>
      <c r="AK82" s="88">
        <v>0</v>
      </c>
      <c r="AL82" s="40"/>
      <c r="AN82" t="s">
        <v>304</v>
      </c>
    </row>
    <row r="83" spans="1:40" ht="34.9" customHeight="1" x14ac:dyDescent="0.25">
      <c r="A83" s="44" t="s">
        <v>209</v>
      </c>
      <c r="B83" s="19" t="s">
        <v>796</v>
      </c>
      <c r="C83" s="19" t="s">
        <v>1115</v>
      </c>
      <c r="D83" s="240" t="s">
        <v>465</v>
      </c>
      <c r="E83" s="329" t="s">
        <v>654</v>
      </c>
      <c r="F83" s="329" t="s">
        <v>797</v>
      </c>
      <c r="G83" s="329" t="s">
        <v>642</v>
      </c>
      <c r="H83" s="329" t="s">
        <v>803</v>
      </c>
      <c r="I83" s="329" t="s">
        <v>747</v>
      </c>
      <c r="J83" s="623" t="s">
        <v>491</v>
      </c>
      <c r="K83" s="171"/>
      <c r="L83" s="538" t="s">
        <v>1145</v>
      </c>
      <c r="M83" s="538" t="s">
        <v>1145</v>
      </c>
      <c r="N83" s="187" t="s">
        <v>73</v>
      </c>
      <c r="O83" s="588">
        <f>'RECETAS JARABES'!G1982</f>
        <v>2056.7813461392816</v>
      </c>
      <c r="P83" s="588">
        <f>'Gtos Varios'!$B$22</f>
        <v>3070.542857142857</v>
      </c>
      <c r="Q83" s="598">
        <f>+LISTPROD[[#This Row],[PRECIO DE PRODUCCIÓN POR UND]]+LISTPROD[[#This Row],[TOTAL GASTOS VARIOS]]</f>
        <v>5127.3242032821381</v>
      </c>
      <c r="R83" s="591">
        <f>'RECETAS JARABES'!$G$1985</f>
        <v>3380.5296942221762</v>
      </c>
      <c r="S83" s="387">
        <f>'RECETAS JARABES'!$H$1985</f>
        <v>0.59</v>
      </c>
      <c r="T83" s="368">
        <f>'RECETAS JARABES'!$G$1986</f>
        <v>9110.2410403614576</v>
      </c>
      <c r="U83" s="435">
        <v>7500</v>
      </c>
      <c r="V83" s="589">
        <f>(LISTPROD[[#This Row],[PRECIO DE VENTA 1]]-LISTPROD[[#This Row],[COSTO TOTAL UNIDAD]])/LISTPROD[[#This Row],[COSTO TOTAL UNIDAD]]</f>
        <v>0.46275127194005955</v>
      </c>
      <c r="W83" s="435">
        <f>LISTPROD[[#This Row],[% GANANCIA]]*LISTPROD[[#This Row],[COSTO TOTAL UNIDAD]]</f>
        <v>2372.6757967178619</v>
      </c>
      <c r="X83" s="590">
        <f>+LISTPROD[[#This Row],[PRECIO DE VENTA 1]]-LISTPROD[[#This Row],[PRECIO VENTA POR RECETA]]</f>
        <v>-1610.2410403614576</v>
      </c>
      <c r="Y83" s="435"/>
      <c r="Z83" s="589"/>
      <c r="AA83" s="435"/>
      <c r="AB83" s="590"/>
      <c r="AC83" s="435"/>
      <c r="AD83" s="592"/>
      <c r="AE83" s="435"/>
      <c r="AF83" s="590"/>
      <c r="AG83" s="590"/>
      <c r="AH83" s="88">
        <v>7500</v>
      </c>
      <c r="AI83" s="88">
        <v>0</v>
      </c>
      <c r="AJ83" s="88">
        <v>0</v>
      </c>
      <c r="AK83" s="88">
        <v>0</v>
      </c>
      <c r="AL83" s="40"/>
      <c r="AN83" t="s">
        <v>304</v>
      </c>
    </row>
    <row r="84" spans="1:40" ht="34.9" customHeight="1" x14ac:dyDescent="0.25">
      <c r="A84" s="44" t="s">
        <v>211</v>
      </c>
      <c r="B84" s="19" t="s">
        <v>212</v>
      </c>
      <c r="C84" s="160" t="s">
        <v>212</v>
      </c>
      <c r="D84" s="240" t="s">
        <v>464</v>
      </c>
      <c r="E84" s="329" t="s">
        <v>654</v>
      </c>
      <c r="F84" s="329"/>
      <c r="G84" s="329" t="s">
        <v>642</v>
      </c>
      <c r="H84" s="329"/>
      <c r="I84" s="329" t="s">
        <v>655</v>
      </c>
      <c r="J84" s="623" t="s">
        <v>487</v>
      </c>
      <c r="K84" s="171"/>
      <c r="L84" s="654"/>
      <c r="M84" s="654"/>
      <c r="N84" s="187" t="s">
        <v>74</v>
      </c>
      <c r="O84" s="588">
        <f>'RECETAS JARABES'!G2016</f>
        <v>2155.183743215814</v>
      </c>
      <c r="P84" s="588">
        <f>'Gtos Varios'!$B$22</f>
        <v>3070.542857142857</v>
      </c>
      <c r="Q84" s="598">
        <f>+LISTPROD[[#This Row],[PRECIO DE PRODUCCIÓN POR UND]]+LISTPROD[[#This Row],[TOTAL GASTOS VARIOS]]</f>
        <v>5225.726600358671</v>
      </c>
      <c r="R84" s="591">
        <f>'RECETAS JARABES'!$G$2021</f>
        <v>3380.3059710651719</v>
      </c>
      <c r="S84" s="387">
        <f>'RECETAS JARABES'!$H$2021</f>
        <v>0.57999999999999996</v>
      </c>
      <c r="T84" s="368">
        <f>'RECETAS JARABES'!$G$2022</f>
        <v>9208.4197142809862</v>
      </c>
      <c r="U84" s="435">
        <v>6000</v>
      </c>
      <c r="V84" s="589">
        <f>(LISTPROD[[#This Row],[PRECIO DE VENTA 1]]-LISTPROD[[#This Row],[COSTO TOTAL UNIDAD]])/LISTPROD[[#This Row],[COSTO TOTAL UNIDAD]]</f>
        <v>0.14816569232462071</v>
      </c>
      <c r="W84" s="435">
        <f>LISTPROD[[#This Row],[% GANANCIA]]*LISTPROD[[#This Row],[COSTO TOTAL UNIDAD]]</f>
        <v>774.27339964132898</v>
      </c>
      <c r="X84" s="590">
        <f>+LISTPROD[[#This Row],[PRECIO DE VENTA 1]]-LISTPROD[[#This Row],[PRECIO VENTA POR RECETA]]</f>
        <v>-3208.4197142809862</v>
      </c>
      <c r="Y84" s="435">
        <v>5000</v>
      </c>
      <c r="Z84" s="592">
        <f>(LISTPROD[[#This Row],[PRECIO DE VENTA2]]-LISTPROD[[#This Row],[COSTO TOTAL UNIDAD]])/LISTPROD[[#This Row],[COSTO TOTAL UNIDAD]]</f>
        <v>-4.3195256396149413E-2</v>
      </c>
      <c r="AA84" s="435">
        <f>+LISTPROD[[#This Row],[% GANANCIA2]]*LISTPROD[[#This Row],[COSTO TOTAL UNIDAD]]</f>
        <v>-225.72660035867102</v>
      </c>
      <c r="AB84" s="590">
        <f>LISTPROD[[#This Row],[PRECIO DE VENTA2]]-LISTPROD[[#This Row],[PRECIO VENTA POR RECETA]]</f>
        <v>-4208.4197142809862</v>
      </c>
      <c r="AC84" s="435">
        <v>5000</v>
      </c>
      <c r="AD84" s="592">
        <f>(LISTPROD[[#This Row],[PRECIO DE VENTA 3]]-LISTPROD[[#This Row],[COSTO TOTAL UNIDAD]])/LISTPROD[[#This Row],[COSTO TOTAL UNIDAD]]</f>
        <v>-4.3195256396149413E-2</v>
      </c>
      <c r="AE84" s="435">
        <f>LISTPROD[[#This Row],[% GANANCIA3]]*LISTPROD[[#This Row],[COSTO TOTAL UNIDAD]]</f>
        <v>-225.72660035867102</v>
      </c>
      <c r="AF84" s="590"/>
      <c r="AG84" s="590"/>
      <c r="AH84" s="88">
        <v>6000</v>
      </c>
      <c r="AI84" s="88">
        <v>5000</v>
      </c>
      <c r="AJ84" s="88">
        <v>5000</v>
      </c>
      <c r="AK84" s="88">
        <v>5000</v>
      </c>
      <c r="AL84" s="40"/>
      <c r="AN84" t="s">
        <v>304</v>
      </c>
    </row>
    <row r="85" spans="1:40" ht="34.9" customHeight="1" x14ac:dyDescent="0.25">
      <c r="A85" s="44" t="s">
        <v>213</v>
      </c>
      <c r="B85" s="19" t="s">
        <v>476</v>
      </c>
      <c r="C85" s="160" t="s">
        <v>476</v>
      </c>
      <c r="D85" s="240" t="s">
        <v>1057</v>
      </c>
      <c r="E85" s="332" t="s">
        <v>654</v>
      </c>
      <c r="F85" s="329"/>
      <c r="G85" s="329" t="s">
        <v>644</v>
      </c>
      <c r="H85" s="329"/>
      <c r="I85" s="329" t="s">
        <v>663</v>
      </c>
      <c r="J85" s="624"/>
      <c r="K85" s="160"/>
      <c r="L85" s="336"/>
      <c r="M85" s="336"/>
      <c r="N85" s="187" t="s">
        <v>74</v>
      </c>
      <c r="O85" s="588">
        <f>'RECETAS GOTAS'!K213</f>
        <v>1796.5759257</v>
      </c>
      <c r="P85" s="594">
        <f>'Gtos Varios'!$B$22</f>
        <v>3070.542857142857</v>
      </c>
      <c r="Q85" s="591">
        <f>+LISTPROD[[#This Row],[TOTAL GASTOS VARIOS]]+LISTPROD[[#This Row],[PRECIO DE PRODUCCIÓN POR UND]]</f>
        <v>4867.1187828428574</v>
      </c>
      <c r="R85" s="591">
        <f>'RECETAS GOTAS'!K218</f>
        <v>3391.0936739339995</v>
      </c>
      <c r="S85" s="387">
        <f>'RECETAS GOTAS'!L218</f>
        <v>0.62</v>
      </c>
      <c r="T85" s="368">
        <f>'RECETAS GOTAS'!K219</f>
        <v>8860.5995996339989</v>
      </c>
      <c r="U85" s="435">
        <v>3500</v>
      </c>
      <c r="V85" s="592">
        <f>(LISTPROD[[#This Row],[PRECIO DE VENTA 1]]-LISTPROD[[#This Row],[COSTO TOTAL UNIDAD]])/LISTPROD[[#This Row],[COSTO TOTAL UNIDAD]]</f>
        <v>-0.2808887236658586</v>
      </c>
      <c r="W85" s="435">
        <f>LISTPROD[[#This Row],[% GANANCIA]]*LISTPROD[[#This Row],[COSTO TOTAL UNIDAD]]</f>
        <v>-1367.1187828428574</v>
      </c>
      <c r="X85" s="393"/>
      <c r="Y85" s="435"/>
      <c r="Z85" s="589"/>
      <c r="AA85" s="435"/>
      <c r="AB85" s="590"/>
      <c r="AC85" s="435">
        <v>0</v>
      </c>
      <c r="AD85" s="393"/>
      <c r="AE85" s="393"/>
      <c r="AF85" s="393"/>
      <c r="AG85" s="393"/>
      <c r="AH85" s="88">
        <v>3500</v>
      </c>
      <c r="AI85" s="88">
        <v>0</v>
      </c>
      <c r="AJ85" s="88">
        <v>0</v>
      </c>
      <c r="AK85" s="88">
        <v>0</v>
      </c>
      <c r="AL85" s="40"/>
      <c r="AN85" s="11" t="s">
        <v>568</v>
      </c>
    </row>
    <row r="86" spans="1:40" ht="34.9" customHeight="1" x14ac:dyDescent="0.25">
      <c r="A86" s="44" t="s">
        <v>214</v>
      </c>
      <c r="B86" s="19" t="s">
        <v>215</v>
      </c>
      <c r="C86" s="160" t="s">
        <v>215</v>
      </c>
      <c r="D86" s="240" t="s">
        <v>464</v>
      </c>
      <c r="E86" s="329" t="s">
        <v>654</v>
      </c>
      <c r="F86" s="329"/>
      <c r="G86" s="329" t="s">
        <v>642</v>
      </c>
      <c r="H86" s="329"/>
      <c r="I86" s="329" t="s">
        <v>655</v>
      </c>
      <c r="J86" s="623" t="s">
        <v>487</v>
      </c>
      <c r="K86" s="171"/>
      <c r="L86" s="654"/>
      <c r="M86" s="654"/>
      <c r="N86" s="187" t="s">
        <v>74</v>
      </c>
      <c r="O86" s="588">
        <f>'RECETAS JARABES'!G2053</f>
        <v>2163.3080998824807</v>
      </c>
      <c r="P86" s="588">
        <f>'Gtos Varios'!$B$22</f>
        <v>3070.542857142857</v>
      </c>
      <c r="Q86" s="598">
        <f>+LISTPROD[[#This Row],[PRECIO DE PRODUCCIÓN POR UND]]+LISTPROD[[#This Row],[TOTAL GASTOS VARIOS]]</f>
        <v>5233.8509570253373</v>
      </c>
      <c r="R86" s="591">
        <f>'RECETAS JARABES'!G2058</f>
        <v>3385.0180979318388</v>
      </c>
      <c r="S86" s="387">
        <f>'RECETAS JARABES'!H2058</f>
        <v>0.57999999999999996</v>
      </c>
      <c r="T86" s="368">
        <f>'RECETAS JARABES'!G2059</f>
        <v>9221.2561978143203</v>
      </c>
      <c r="U86" s="435">
        <v>6000</v>
      </c>
      <c r="V86" s="589">
        <f>(LISTPROD[[#This Row],[PRECIO DE VENTA 1]]-LISTPROD[[#This Row],[COSTO TOTAL UNIDAD]])/LISTPROD[[#This Row],[COSTO TOTAL UNIDAD]]</f>
        <v>0.14638342766453252</v>
      </c>
      <c r="W86" s="435">
        <f>LISTPROD[[#This Row],[% GANANCIA]]*LISTPROD[[#This Row],[COSTO TOTAL UNIDAD]]</f>
        <v>766.14904297466273</v>
      </c>
      <c r="X86" s="590">
        <f>+LISTPROD[[#This Row],[PRECIO DE VENTA 1]]-LISTPROD[[#This Row],[PRECIO VENTA POR RECETA]]</f>
        <v>-3221.2561978143203</v>
      </c>
      <c r="Y86" s="435">
        <v>5000</v>
      </c>
      <c r="Z86" s="589">
        <f>(LISTPROD[[#This Row],[PRECIO DE VENTA2]]-LISTPROD[[#This Row],[COSTO TOTAL UNIDAD]])/LISTPROD[[#This Row],[COSTO TOTAL UNIDAD]]</f>
        <v>-4.4680476946222902E-2</v>
      </c>
      <c r="AA86" s="435">
        <f>+LISTPROD[[#This Row],[% GANANCIA2]]*LISTPROD[[#This Row],[COSTO TOTAL UNIDAD]]</f>
        <v>-233.85095702533727</v>
      </c>
      <c r="AB86" s="590">
        <f>LISTPROD[[#This Row],[PRECIO DE VENTA2]]-LISTPROD[[#This Row],[PRECIO VENTA POR RECETA]]</f>
        <v>-4221.2561978143203</v>
      </c>
      <c r="AC86" s="435">
        <v>5000</v>
      </c>
      <c r="AD86" s="592">
        <f>(LISTPROD[[#This Row],[PRECIO DE VENTA 3]]-LISTPROD[[#This Row],[COSTO TOTAL UNIDAD]])/LISTPROD[[#This Row],[COSTO TOTAL UNIDAD]]</f>
        <v>-4.4680476946222902E-2</v>
      </c>
      <c r="AE86" s="435">
        <f>LISTPROD[[#This Row],[% GANANCIA3]]*LISTPROD[[#This Row],[COSTO TOTAL UNIDAD]]</f>
        <v>-233.85095702533727</v>
      </c>
      <c r="AF86" s="590"/>
      <c r="AG86" s="590"/>
      <c r="AH86" s="88">
        <v>6000</v>
      </c>
      <c r="AI86" s="88">
        <v>5000</v>
      </c>
      <c r="AJ86" s="88">
        <v>5000</v>
      </c>
      <c r="AK86" s="88">
        <v>5000</v>
      </c>
      <c r="AL86" s="40"/>
      <c r="AN86" t="s">
        <v>304</v>
      </c>
    </row>
    <row r="87" spans="1:40" ht="34.9" customHeight="1" x14ac:dyDescent="0.25">
      <c r="A87" s="44" t="s">
        <v>216</v>
      </c>
      <c r="B87" s="19" t="s">
        <v>217</v>
      </c>
      <c r="C87" s="160" t="s">
        <v>217</v>
      </c>
      <c r="D87" s="240" t="s">
        <v>464</v>
      </c>
      <c r="E87" s="329" t="s">
        <v>654</v>
      </c>
      <c r="F87" s="329"/>
      <c r="G87" s="329" t="s">
        <v>642</v>
      </c>
      <c r="H87" s="329"/>
      <c r="I87" s="329" t="s">
        <v>655</v>
      </c>
      <c r="J87" s="623" t="s">
        <v>714</v>
      </c>
      <c r="K87" s="171"/>
      <c r="L87" s="654"/>
      <c r="M87" s="654"/>
      <c r="N87" s="187" t="s">
        <v>74</v>
      </c>
      <c r="O87" s="588">
        <f>'RECETAS JARABES'!G2087</f>
        <v>1611.9901582745738</v>
      </c>
      <c r="P87" s="588">
        <f>'Gtos Varios'!$B$22</f>
        <v>3070.542857142857</v>
      </c>
      <c r="Q87" s="598">
        <f>+LISTPROD[[#This Row],[PRECIO DE PRODUCCIÓN POR UND]]+LISTPROD[[#This Row],[TOTAL GASTOS VARIOS]]</f>
        <v>4682.5330154174308</v>
      </c>
      <c r="R87" s="591">
        <f>'RECETAS JARABES'!G2092</f>
        <v>3382.348901295727</v>
      </c>
      <c r="S87" s="387">
        <f>'RECETAS JARABES'!H2092</f>
        <v>0.69</v>
      </c>
      <c r="T87" s="368">
        <f>'RECETAS JARABES'!G2093</f>
        <v>8667.2690595703007</v>
      </c>
      <c r="U87" s="435">
        <v>8000</v>
      </c>
      <c r="V87" s="589">
        <f>(LISTPROD[[#This Row],[PRECIO DE VENTA 1]]-LISTPROD[[#This Row],[COSTO TOTAL UNIDAD]])/LISTPROD[[#This Row],[COSTO TOTAL UNIDAD]]</f>
        <v>0.70847700884535658</v>
      </c>
      <c r="W87" s="435">
        <f>LISTPROD[[#This Row],[% GANANCIA]]*LISTPROD[[#This Row],[COSTO TOTAL UNIDAD]]</f>
        <v>3317.4669845825692</v>
      </c>
      <c r="X87" s="590">
        <f>+LISTPROD[[#This Row],[PRECIO DE VENTA 1]]-LISTPROD[[#This Row],[PRECIO VENTA POR RECETA]]</f>
        <v>-667.26905957030067</v>
      </c>
      <c r="Y87" s="435">
        <v>0</v>
      </c>
      <c r="Z87" s="589">
        <f>(LISTPROD[[#This Row],[PRECIO DE VENTA2]]-LISTPROD[[#This Row],[COSTO TOTAL UNIDAD]])/LISTPROD[[#This Row],[COSTO TOTAL UNIDAD]]</f>
        <v>-1</v>
      </c>
      <c r="AA87" s="435">
        <f>+LISTPROD[[#This Row],[% GANANCIA2]]*LISTPROD[[#This Row],[COSTO TOTAL UNIDAD]]</f>
        <v>-4682.5330154174308</v>
      </c>
      <c r="AB87" s="590">
        <f>LISTPROD[[#This Row],[PRECIO DE VENTA2]]-LISTPROD[[#This Row],[PRECIO VENTA POR RECETA]]</f>
        <v>-8667.2690595703007</v>
      </c>
      <c r="AC87" s="435"/>
      <c r="AD87" s="592"/>
      <c r="AE87" s="435"/>
      <c r="AF87" s="590"/>
      <c r="AG87" s="590"/>
      <c r="AH87" s="88">
        <v>8000</v>
      </c>
      <c r="AI87" s="88">
        <v>0</v>
      </c>
      <c r="AJ87" s="88">
        <v>0</v>
      </c>
      <c r="AK87" s="88">
        <v>0</v>
      </c>
      <c r="AL87" s="40"/>
      <c r="AN87" t="s">
        <v>304</v>
      </c>
    </row>
    <row r="88" spans="1:40" ht="34.9" customHeight="1" x14ac:dyDescent="0.25">
      <c r="A88" s="44" t="s">
        <v>218</v>
      </c>
      <c r="B88" s="19" t="s">
        <v>219</v>
      </c>
      <c r="C88" s="160" t="s">
        <v>219</v>
      </c>
      <c r="D88" s="240" t="s">
        <v>464</v>
      </c>
      <c r="E88" s="329" t="s">
        <v>654</v>
      </c>
      <c r="F88" s="329"/>
      <c r="G88" s="329" t="s">
        <v>642</v>
      </c>
      <c r="H88" s="329"/>
      <c r="I88" s="329" t="s">
        <v>655</v>
      </c>
      <c r="J88" s="623"/>
      <c r="K88" s="171"/>
      <c r="L88" s="654"/>
      <c r="M88" s="654"/>
      <c r="N88" s="187" t="s">
        <v>74</v>
      </c>
      <c r="O88" s="588">
        <f>'RECETAS JARABES'!G2120</f>
        <v>1404.8669755967667</v>
      </c>
      <c r="P88" s="588">
        <f>'Gtos Varios'!$B$22</f>
        <v>3070.542857142857</v>
      </c>
      <c r="Q88" s="598">
        <f>+LISTPROD[[#This Row],[PRECIO DE PRODUCCIÓN POR UND]]+LISTPROD[[#This Row],[TOTAL GASTOS VARIOS]]</f>
        <v>4475.4098327396241</v>
      </c>
      <c r="R88" s="591">
        <f>'RECETAS JARABES'!G2125</f>
        <v>3351.3460038938656</v>
      </c>
      <c r="S88" s="387">
        <f>'RECETAS JARABES'!H2125</f>
        <v>0.66</v>
      </c>
      <c r="T88" s="368">
        <f>'RECETAS JARABES'!G2126</f>
        <v>8429.1429794906326</v>
      </c>
      <c r="U88" s="435">
        <v>6000</v>
      </c>
      <c r="V88" s="589">
        <f>(LISTPROD[[#This Row],[PRECIO DE VENTA 1]]-LISTPROD[[#This Row],[COSTO TOTAL UNIDAD]])/LISTPROD[[#This Row],[COSTO TOTAL UNIDAD]]</f>
        <v>0.3406593416556663</v>
      </c>
      <c r="W88" s="435">
        <f>LISTPROD[[#This Row],[% GANANCIA]]*LISTPROD[[#This Row],[COSTO TOTAL UNIDAD]]</f>
        <v>1524.5901672603759</v>
      </c>
      <c r="X88" s="590">
        <f>+LISTPROD[[#This Row],[PRECIO DE VENTA 1]]-LISTPROD[[#This Row],[PRECIO VENTA POR RECETA]]</f>
        <v>-2429.1429794906326</v>
      </c>
      <c r="Y88" s="435">
        <v>5000</v>
      </c>
      <c r="Z88" s="589">
        <f>(LISTPROD[[#This Row],[PRECIO DE VENTA2]]-LISTPROD[[#This Row],[COSTO TOTAL UNIDAD]])/LISTPROD[[#This Row],[COSTO TOTAL UNIDAD]]</f>
        <v>0.11721611804638857</v>
      </c>
      <c r="AA88" s="435">
        <f>+LISTPROD[[#This Row],[% GANANCIA2]]*LISTPROD[[#This Row],[COSTO TOTAL UNIDAD]]</f>
        <v>524.59016726037589</v>
      </c>
      <c r="AB88" s="590">
        <f>LISTPROD[[#This Row],[PRECIO DE VENTA2]]-LISTPROD[[#This Row],[PRECIO VENTA POR RECETA]]</f>
        <v>-3429.1429794906326</v>
      </c>
      <c r="AC88" s="435">
        <v>5000</v>
      </c>
      <c r="AD88" s="592">
        <f>(LISTPROD[[#This Row],[PRECIO DE VENTA 3]]-LISTPROD[[#This Row],[COSTO TOTAL UNIDAD]])/LISTPROD[[#This Row],[COSTO TOTAL UNIDAD]]</f>
        <v>0.11721611804638857</v>
      </c>
      <c r="AE88" s="435">
        <f>LISTPROD[[#This Row],[% GANANCIA3]]*LISTPROD[[#This Row],[COSTO TOTAL UNIDAD]]</f>
        <v>524.59016726037589</v>
      </c>
      <c r="AF88" s="590"/>
      <c r="AG88" s="590"/>
      <c r="AH88" s="88">
        <v>6000</v>
      </c>
      <c r="AI88" s="88">
        <v>5000</v>
      </c>
      <c r="AJ88" s="88">
        <v>5000</v>
      </c>
      <c r="AK88" s="88">
        <v>5000</v>
      </c>
      <c r="AL88" s="40"/>
      <c r="AN88" s="11" t="s">
        <v>305</v>
      </c>
    </row>
    <row r="89" spans="1:40" ht="34.9" customHeight="1" x14ac:dyDescent="0.25">
      <c r="A89" s="44" t="s">
        <v>220</v>
      </c>
      <c r="B89" s="19" t="s">
        <v>522</v>
      </c>
      <c r="C89" s="19" t="s">
        <v>521</v>
      </c>
      <c r="D89" s="240" t="s">
        <v>517</v>
      </c>
      <c r="E89" s="329" t="s">
        <v>654</v>
      </c>
      <c r="F89" s="329" t="s">
        <v>797</v>
      </c>
      <c r="G89" s="329" t="s">
        <v>508</v>
      </c>
      <c r="H89" s="645" t="s">
        <v>812</v>
      </c>
      <c r="I89" s="329" t="s">
        <v>657</v>
      </c>
      <c r="J89" s="624"/>
      <c r="K89" s="160"/>
      <c r="L89" s="538" t="s">
        <v>1145</v>
      </c>
      <c r="M89" s="538" t="s">
        <v>1145</v>
      </c>
      <c r="N89" s="187" t="s">
        <v>73</v>
      </c>
      <c r="O89" s="594">
        <f>'RECETAS CAPS'!BY19</f>
        <v>2751.32</v>
      </c>
      <c r="P89" s="588">
        <f>'Gtos Varios'!$B$22</f>
        <v>3070.542857142857</v>
      </c>
      <c r="Q89" s="510">
        <f>+LISTPROD[[#This Row],[TOTAL GASTOS VARIOS]]+LISTPROD[[#This Row],[PRECIO DE PRODUCCIÓN POR UND]]</f>
        <v>5821.8628571428571</v>
      </c>
      <c r="R89" s="591">
        <f>'RECETAS CAPS'!BY25</f>
        <v>3404.8525</v>
      </c>
      <c r="S89" s="386">
        <f>'RECETAS CAPS'!BZ25</f>
        <v>0.53</v>
      </c>
      <c r="T89" s="659">
        <f>'RECETAS CAPS'!BY26</f>
        <v>9829.1025000000009</v>
      </c>
      <c r="U89" s="361">
        <v>8929.2985714285714</v>
      </c>
      <c r="V89" s="589">
        <f>(LISTPROD[[#This Row],[PRECIO DE VENTA 1]]-LISTPROD[[#This Row],[COSTO TOTAL UNIDAD]])/LISTPROD[[#This Row],[COSTO TOTAL UNIDAD]]</f>
        <v>0.53375281942156949</v>
      </c>
      <c r="W89" s="435">
        <f>LISTPROD[[#This Row],[% GANANCIA]]*LISTPROD[[#This Row],[COSTO TOTAL UNIDAD]]</f>
        <v>3107.4357142857139</v>
      </c>
      <c r="X89" s="395"/>
      <c r="Y89" s="432">
        <v>7000</v>
      </c>
      <c r="Z89" s="589">
        <f>(LISTPROD[[#This Row],[PRECIO DE VENTA2]]-LISTPROD[[#This Row],[COSTO TOTAL UNIDAD]])/LISTPROD[[#This Row],[COSTO TOTAL UNIDAD]]</f>
        <v>0.20236428987874278</v>
      </c>
      <c r="AA89" s="435">
        <f>LISTPROD[[#This Row],[PRECIO DE VENTA2]]*LISTPROD[[#This Row],[% GANANCIA2]]</f>
        <v>1416.5500291511994</v>
      </c>
      <c r="AB89" s="590">
        <f>LISTPROD[[#This Row],[PRECIO DE VENTA2]]-LISTPROD[[#This Row],[PRECIO VENTA POR RECETA]]</f>
        <v>-2829.1025000000009</v>
      </c>
      <c r="AC89" s="432">
        <v>7000</v>
      </c>
      <c r="AD89" s="592">
        <f>(LISTPROD[[#This Row],[PRECIO DE VENTA 3]]-LISTPROD[[#This Row],[COSTO TOTAL UNIDAD]])/LISTPROD[[#This Row],[COSTO TOTAL UNIDAD]]</f>
        <v>0.20236428987874278</v>
      </c>
      <c r="AE89" s="435">
        <f>LISTPROD[[#This Row],[% GANANCIA3]]*LISTPROD[[#This Row],[COSTO TOTAL UNIDAD]]</f>
        <v>1178.1371428571429</v>
      </c>
      <c r="AF89" s="395"/>
      <c r="AG89" s="395"/>
      <c r="AH89" s="184">
        <v>8500</v>
      </c>
      <c r="AI89" s="184">
        <v>7000</v>
      </c>
      <c r="AJ89" s="184">
        <v>7000</v>
      </c>
      <c r="AK89" s="89">
        <v>7000</v>
      </c>
      <c r="AL89" s="40" t="s">
        <v>329</v>
      </c>
      <c r="AM89" s="626" t="s">
        <v>728</v>
      </c>
      <c r="AN89" t="s">
        <v>304</v>
      </c>
    </row>
    <row r="90" spans="1:40" ht="34.9" customHeight="1" x14ac:dyDescent="0.25">
      <c r="A90" s="44" t="s">
        <v>221</v>
      </c>
      <c r="B90" s="19" t="s">
        <v>330</v>
      </c>
      <c r="C90" s="19" t="s">
        <v>523</v>
      </c>
      <c r="D90" s="240" t="s">
        <v>517</v>
      </c>
      <c r="E90" s="329" t="s">
        <v>654</v>
      </c>
      <c r="F90" s="329" t="s">
        <v>797</v>
      </c>
      <c r="G90" s="329" t="s">
        <v>508</v>
      </c>
      <c r="H90" s="645" t="s">
        <v>812</v>
      </c>
      <c r="I90" s="329" t="s">
        <v>657</v>
      </c>
      <c r="J90" s="624"/>
      <c r="K90" s="160"/>
      <c r="L90" s="538" t="s">
        <v>1145</v>
      </c>
      <c r="M90" s="538" t="s">
        <v>1145</v>
      </c>
      <c r="N90" s="187" t="s">
        <v>73</v>
      </c>
      <c r="O90" s="594">
        <f>'RECETAS CAPS'!G51</f>
        <v>3158.3</v>
      </c>
      <c r="P90" s="588">
        <f>'Gtos Varios'!$B$22</f>
        <v>3070.542857142857</v>
      </c>
      <c r="Q90" s="510">
        <f>+LISTPROD[[#This Row],[TOTAL GASTOS VARIOS]]+LISTPROD[[#This Row],[PRECIO DE PRODUCCIÓN POR UND]]</f>
        <v>6228.8428571428576</v>
      </c>
      <c r="R90" s="591">
        <f>'RECETAS CAPS'!G57</f>
        <v>3347.3026999999997</v>
      </c>
      <c r="S90" s="386">
        <f>'RECETAS CAPS'!H57</f>
        <v>0.49</v>
      </c>
      <c r="T90" s="659">
        <f>'RECETAS CAPS'!G58</f>
        <v>10178.5327</v>
      </c>
      <c r="U90" s="361">
        <v>9280.9758571428574</v>
      </c>
      <c r="V90" s="589">
        <f>(LISTPROD[[#This Row],[PRECIO DE VENTA 1]]-LISTPROD[[#This Row],[COSTO TOTAL UNIDAD]])/LISTPROD[[#This Row],[COSTO TOTAL UNIDAD]]</f>
        <v>0.48999999999999994</v>
      </c>
      <c r="W90" s="435">
        <f>LISTPROD[[#This Row],[% GANANCIA]]*LISTPROD[[#This Row],[COSTO TOTAL UNIDAD]]</f>
        <v>3052.1329999999998</v>
      </c>
      <c r="X90" s="395"/>
      <c r="Y90" s="432">
        <v>7000</v>
      </c>
      <c r="Z90" s="589">
        <f>(LISTPROD[[#This Row],[PRECIO DE VENTA2]]-LISTPROD[[#This Row],[COSTO TOTAL UNIDAD]])/LISTPROD[[#This Row],[COSTO TOTAL UNIDAD]]</f>
        <v>0.12380423788871578</v>
      </c>
      <c r="AA90" s="435">
        <f>LISTPROD[[#This Row],[PRECIO DE VENTA2]]*LISTPROD[[#This Row],[% GANANCIA2]]</f>
        <v>866.62966522101044</v>
      </c>
      <c r="AB90" s="590">
        <f>LISTPROD[[#This Row],[PRECIO DE VENTA2]]-LISTPROD[[#This Row],[PRECIO VENTA POR RECETA]]</f>
        <v>-3178.5326999999997</v>
      </c>
      <c r="AC90" s="432">
        <v>7000</v>
      </c>
      <c r="AD90" s="592">
        <f>(LISTPROD[[#This Row],[PRECIO DE VENTA 3]]-LISTPROD[[#This Row],[COSTO TOTAL UNIDAD]])/LISTPROD[[#This Row],[COSTO TOTAL UNIDAD]]</f>
        <v>0.12380423788871578</v>
      </c>
      <c r="AE90" s="435">
        <f>LISTPROD[[#This Row],[% GANANCIA3]]*LISTPROD[[#This Row],[COSTO TOTAL UNIDAD]]</f>
        <v>771.15714285714239</v>
      </c>
      <c r="AF90" s="395"/>
      <c r="AG90" s="395"/>
      <c r="AH90" s="184">
        <v>9500</v>
      </c>
      <c r="AI90" s="184">
        <v>7000</v>
      </c>
      <c r="AJ90" s="184">
        <v>7000</v>
      </c>
      <c r="AK90" s="89">
        <v>7000</v>
      </c>
      <c r="AL90" s="40" t="s">
        <v>329</v>
      </c>
      <c r="AM90" s="626" t="s">
        <v>728</v>
      </c>
      <c r="AN90" t="s">
        <v>304</v>
      </c>
    </row>
    <row r="91" spans="1:40" ht="34.9" customHeight="1" x14ac:dyDescent="0.25">
      <c r="A91" s="44" t="s">
        <v>222</v>
      </c>
      <c r="B91" s="19" t="s">
        <v>331</v>
      </c>
      <c r="C91" s="19" t="s">
        <v>524</v>
      </c>
      <c r="D91" s="240" t="s">
        <v>517</v>
      </c>
      <c r="E91" s="329" t="s">
        <v>654</v>
      </c>
      <c r="F91" s="329" t="s">
        <v>797</v>
      </c>
      <c r="G91" s="329" t="s">
        <v>508</v>
      </c>
      <c r="H91" s="645" t="s">
        <v>812</v>
      </c>
      <c r="I91" s="329" t="s">
        <v>657</v>
      </c>
      <c r="J91" s="624"/>
      <c r="K91" s="160"/>
      <c r="L91" s="538" t="s">
        <v>1145</v>
      </c>
      <c r="M91" s="538" t="s">
        <v>1145</v>
      </c>
      <c r="N91" s="187" t="s">
        <v>73</v>
      </c>
      <c r="O91" s="594">
        <f>'RECETAS CAPS'!U51</f>
        <v>3765.2000000000003</v>
      </c>
      <c r="P91" s="588">
        <f>'Gtos Varios'!$B$22</f>
        <v>3070.542857142857</v>
      </c>
      <c r="Q91" s="510">
        <f>+LISTPROD[[#This Row],[TOTAL GASTOS VARIOS]]+LISTPROD[[#This Row],[PRECIO DE PRODUCCIÓN POR UND]]</f>
        <v>6835.7428571428572</v>
      </c>
      <c r="R91" s="591">
        <f>'RECETAS CAPS'!U57</f>
        <v>3347.1585</v>
      </c>
      <c r="S91" s="386">
        <f>'RECETAS CAPS'!V57</f>
        <v>0.45</v>
      </c>
      <c r="T91" s="659">
        <f>'RECETAS CAPS'!U58</f>
        <v>10785.288500000001</v>
      </c>
      <c r="U91" s="361">
        <v>9911.8271428571425</v>
      </c>
      <c r="V91" s="589">
        <f>(LISTPROD[[#This Row],[PRECIO DE VENTA 1]]-LISTPROD[[#This Row],[COSTO TOTAL UNIDAD]])/LISTPROD[[#This Row],[COSTO TOTAL UNIDAD]]</f>
        <v>0.4499999999999999</v>
      </c>
      <c r="W91" s="435">
        <f>LISTPROD[[#This Row],[% GANANCIA]]*LISTPROD[[#This Row],[COSTO TOTAL UNIDAD]]</f>
        <v>3076.0842857142852</v>
      </c>
      <c r="X91" s="395"/>
      <c r="Y91" s="432">
        <v>7000</v>
      </c>
      <c r="Z91" s="589">
        <f>(LISTPROD[[#This Row],[PRECIO DE VENTA2]]-LISTPROD[[#This Row],[COSTO TOTAL UNIDAD]])/LISTPROD[[#This Row],[COSTO TOTAL UNIDAD]]</f>
        <v>2.4029157662872867E-2</v>
      </c>
      <c r="AA91" s="435">
        <f>LISTPROD[[#This Row],[PRECIO DE VENTA2]]*LISTPROD[[#This Row],[% GANANCIA2]]</f>
        <v>168.20410364011008</v>
      </c>
      <c r="AB91" s="590">
        <f>LISTPROD[[#This Row],[PRECIO DE VENTA2]]-LISTPROD[[#This Row],[PRECIO VENTA POR RECETA]]</f>
        <v>-3785.2885000000006</v>
      </c>
      <c r="AC91" s="432">
        <v>7000</v>
      </c>
      <c r="AD91" s="592">
        <f>(LISTPROD[[#This Row],[PRECIO DE VENTA 3]]-LISTPROD[[#This Row],[COSTO TOTAL UNIDAD]])/LISTPROD[[#This Row],[COSTO TOTAL UNIDAD]]</f>
        <v>2.4029157662872867E-2</v>
      </c>
      <c r="AE91" s="435">
        <f>LISTPROD[[#This Row],[% GANANCIA3]]*LISTPROD[[#This Row],[COSTO TOTAL UNIDAD]]</f>
        <v>164.25714285714275</v>
      </c>
      <c r="AF91" s="395"/>
      <c r="AG91" s="395"/>
      <c r="AH91" s="184">
        <v>9600</v>
      </c>
      <c r="AI91" s="184">
        <v>7000</v>
      </c>
      <c r="AJ91" s="184">
        <v>7000</v>
      </c>
      <c r="AK91" s="89">
        <v>7000</v>
      </c>
      <c r="AL91" s="40" t="s">
        <v>329</v>
      </c>
      <c r="AM91" s="626" t="s">
        <v>728</v>
      </c>
      <c r="AN91" t="s">
        <v>304</v>
      </c>
    </row>
    <row r="92" spans="1:40" ht="34.9" customHeight="1" x14ac:dyDescent="0.25">
      <c r="A92" s="49" t="s">
        <v>223</v>
      </c>
      <c r="B92" s="9" t="s">
        <v>224</v>
      </c>
      <c r="C92" s="171" t="s">
        <v>224</v>
      </c>
      <c r="D92" s="240" t="s">
        <v>780</v>
      </c>
      <c r="E92" s="337" t="s">
        <v>654</v>
      </c>
      <c r="F92" s="329"/>
      <c r="G92" s="329" t="s">
        <v>611</v>
      </c>
      <c r="H92" s="329"/>
      <c r="I92" s="329" t="s">
        <v>673</v>
      </c>
      <c r="J92" s="551"/>
      <c r="K92" s="160"/>
      <c r="L92" s="336"/>
      <c r="M92" s="336"/>
      <c r="N92" s="187" t="s">
        <v>74</v>
      </c>
      <c r="O92" s="588">
        <f>'RECETAS PASTILLAS'!R16</f>
        <v>4900</v>
      </c>
      <c r="P92" s="588">
        <f>'Gtos Varios'!$B$22</f>
        <v>3070.542857142857</v>
      </c>
      <c r="Q92" s="598">
        <f>+LISTPROD[[#This Row],[TOTAL GASTOS VARIOS]]+LISTPROD[[#This Row],[PRECIO DE PRODUCCIÓN POR UND]]</f>
        <v>7970.5428571428565</v>
      </c>
      <c r="R92" s="591">
        <f>'RECETAS PASTILLAS'!R21</f>
        <v>3257.7134000000001</v>
      </c>
      <c r="S92" s="387">
        <f>'RECETAS PASTILLAS'!S21</f>
        <v>0.38</v>
      </c>
      <c r="T92" s="368">
        <f>'RECETAS PASTILLAS'!R22</f>
        <v>11830.643400000001</v>
      </c>
      <c r="U92" s="435"/>
      <c r="V92" s="589"/>
      <c r="W92" s="435"/>
      <c r="X92" s="590"/>
      <c r="Y92" s="435">
        <v>6000</v>
      </c>
      <c r="Z92" s="592">
        <f>(LISTPROD[[#This Row],[PRECIO DE VENTA2]]-LISTPROD[[#This Row],[COSTO TOTAL UNIDAD]])/LISTPROD[[#This Row],[COSTO TOTAL UNIDAD]]</f>
        <v>-0.24722818664439411</v>
      </c>
      <c r="AA92" s="368">
        <f>LISTPROD[[#This Row],[PRECIO DE VENTA2]]*LISTPROD[[#This Row],[% GANANCIA2]]</f>
        <v>-1483.3691198663646</v>
      </c>
      <c r="AB92" s="590"/>
      <c r="AC92" s="435">
        <v>8000</v>
      </c>
      <c r="AD92" s="592">
        <f>(LISTPROD[[#This Row],[PRECIO DE VENTA 3]]-LISTPROD[[#This Row],[COSTO TOTAL UNIDAD]])/LISTPROD[[#This Row],[COSTO TOTAL UNIDAD]]</f>
        <v>3.6957511408078386E-3</v>
      </c>
      <c r="AE92" s="368">
        <f>+LISTPROD[[#This Row],[PRECIO DE VENTA 3]]*LISTPROD[[#This Row],[% GANANCIA3]]</f>
        <v>29.56600912646271</v>
      </c>
      <c r="AF92" s="590"/>
      <c r="AG92" s="590"/>
      <c r="AH92" s="88">
        <v>0</v>
      </c>
      <c r="AI92" s="184">
        <v>6000</v>
      </c>
      <c r="AJ92" s="184">
        <v>8000</v>
      </c>
      <c r="AK92" s="89">
        <v>8000</v>
      </c>
      <c r="AL92" s="40" t="s">
        <v>332</v>
      </c>
      <c r="AN92" s="11" t="s">
        <v>305</v>
      </c>
    </row>
    <row r="93" spans="1:40" ht="34.9" customHeight="1" x14ac:dyDescent="0.25">
      <c r="A93" s="44" t="s">
        <v>226</v>
      </c>
      <c r="B93" s="19" t="s">
        <v>227</v>
      </c>
      <c r="C93" s="160" t="s">
        <v>227</v>
      </c>
      <c r="D93" s="240" t="s">
        <v>464</v>
      </c>
      <c r="E93" s="329" t="s">
        <v>654</v>
      </c>
      <c r="F93" s="329"/>
      <c r="G93" s="329" t="s">
        <v>642</v>
      </c>
      <c r="H93" s="329"/>
      <c r="I93" s="329" t="s">
        <v>655</v>
      </c>
      <c r="J93" s="623" t="s">
        <v>714</v>
      </c>
      <c r="K93" s="171"/>
      <c r="L93" s="654"/>
      <c r="M93" s="654"/>
      <c r="N93" s="187" t="s">
        <v>74</v>
      </c>
      <c r="O93" s="588">
        <f>'RECETAS JARABES'!G2153</f>
        <v>3086.5143089300996</v>
      </c>
      <c r="P93" s="588">
        <f>'Gtos Varios'!$B$22</f>
        <v>3070.542857142857</v>
      </c>
      <c r="Q93" s="598">
        <f>+LISTPROD[[#This Row],[PRECIO DE PRODUCCIÓN POR UND]]+LISTPROD[[#This Row],[TOTAL GASTOS VARIOS]]</f>
        <v>6157.0571660729565</v>
      </c>
      <c r="R93" s="591">
        <f>'RECETAS JARABES'!G2158</f>
        <v>3176.9388251971463</v>
      </c>
      <c r="S93" s="387">
        <f>'RECETAS JARABES'!H2158</f>
        <v>0.47</v>
      </c>
      <c r="T93" s="368">
        <f>'RECETAS JARABES'!G2159</f>
        <v>9936.3831341272453</v>
      </c>
      <c r="U93" s="435"/>
      <c r="V93" s="589"/>
      <c r="W93" s="435"/>
      <c r="X93" s="590"/>
      <c r="Y93" s="435">
        <v>7000</v>
      </c>
      <c r="Z93" s="589">
        <f>(LISTPROD[[#This Row],[PRECIO DE VENTA2]]-LISTPROD[[#This Row],[COSTO TOTAL UNIDAD]])/LISTPROD[[#This Row],[COSTO TOTAL UNIDAD]]</f>
        <v>0.13690677399779322</v>
      </c>
      <c r="AA93" s="435">
        <f>+LISTPROD[[#This Row],[% GANANCIA2]]*LISTPROD[[#This Row],[COSTO TOTAL UNIDAD]]</f>
        <v>842.94283392704347</v>
      </c>
      <c r="AB93" s="590">
        <f>LISTPROD[[#This Row],[PRECIO DE VENTA2]]-LISTPROD[[#This Row],[PRECIO VENTA POR RECETA]]</f>
        <v>-2936.3831341272453</v>
      </c>
      <c r="AC93" s="435">
        <v>7000</v>
      </c>
      <c r="AD93" s="592">
        <f>(LISTPROD[[#This Row],[PRECIO DE VENTA 3]]-LISTPROD[[#This Row],[COSTO TOTAL UNIDAD]])/LISTPROD[[#This Row],[COSTO TOTAL UNIDAD]]</f>
        <v>0.13690677399779322</v>
      </c>
      <c r="AE93" s="435">
        <f>LISTPROD[[#This Row],[% GANANCIA3]]*LISTPROD[[#This Row],[COSTO TOTAL UNIDAD]]</f>
        <v>842.94283392704347</v>
      </c>
      <c r="AF93" s="590"/>
      <c r="AG93" s="590"/>
      <c r="AH93" s="88">
        <v>0</v>
      </c>
      <c r="AI93" s="184">
        <v>7000</v>
      </c>
      <c r="AJ93" s="184">
        <v>7000</v>
      </c>
      <c r="AK93" s="89">
        <v>7000</v>
      </c>
      <c r="AL93" s="40"/>
      <c r="AN93" s="11" t="s">
        <v>305</v>
      </c>
    </row>
    <row r="94" spans="1:40" ht="34.9" customHeight="1" x14ac:dyDescent="0.25">
      <c r="A94" s="44" t="s">
        <v>228</v>
      </c>
      <c r="B94" s="19" t="s">
        <v>229</v>
      </c>
      <c r="C94" s="160" t="s">
        <v>229</v>
      </c>
      <c r="D94" s="240" t="s">
        <v>464</v>
      </c>
      <c r="E94" s="329" t="s">
        <v>654</v>
      </c>
      <c r="F94" s="329"/>
      <c r="G94" s="329" t="s">
        <v>642</v>
      </c>
      <c r="H94" s="329"/>
      <c r="I94" s="329" t="s">
        <v>655</v>
      </c>
      <c r="J94" s="623" t="s">
        <v>714</v>
      </c>
      <c r="K94" s="171"/>
      <c r="L94" s="654"/>
      <c r="M94" s="654"/>
      <c r="N94" s="187" t="s">
        <v>74</v>
      </c>
      <c r="O94" s="588">
        <f>'RECETAS JARABES'!G2231</f>
        <v>1852.8522117872428</v>
      </c>
      <c r="P94" s="588">
        <f>'Gtos Varios'!$B$22</f>
        <v>3070.542857142857</v>
      </c>
      <c r="Q94" s="598">
        <f>+LISTPROD[[#This Row],[PRECIO DE PRODUCCIÓN POR UND]]+LISTPROD[[#This Row],[TOTAL GASTOS VARIOS]]</f>
        <v>4923.3950689301</v>
      </c>
      <c r="R94" s="591">
        <f>'RECETAS JARABES'!G2236</f>
        <v>3315.4693270723455</v>
      </c>
      <c r="S94" s="387">
        <f>'RECETAS JARABES'!H2236</f>
        <v>0.6</v>
      </c>
      <c r="T94" s="368">
        <f>'RECETAS JARABES'!G2237</f>
        <v>8841.2515388595893</v>
      </c>
      <c r="U94" s="435">
        <v>7000</v>
      </c>
      <c r="V94" s="589">
        <f>(LISTPROD[[#This Row],[PRECIO DE VENTA 1]]-LISTPROD[[#This Row],[COSTO TOTAL UNIDAD]])/LISTPROD[[#This Row],[COSTO TOTAL UNIDAD]]</f>
        <v>0.42178311957426684</v>
      </c>
      <c r="W94" s="435">
        <f>LISTPROD[[#This Row],[% GANANCIA]]*LISTPROD[[#This Row],[COSTO TOTAL UNIDAD]]</f>
        <v>2076.6049310699</v>
      </c>
      <c r="X94" s="590">
        <f>+LISTPROD[[#This Row],[PRECIO DE VENTA 1]]-LISTPROD[[#This Row],[PRECIO VENTA POR RECETA]]</f>
        <v>-1841.2515388595893</v>
      </c>
      <c r="Y94" s="435">
        <v>7000</v>
      </c>
      <c r="Z94" s="589">
        <f>(LISTPROD[[#This Row],[PRECIO DE VENTA2]]-LISTPROD[[#This Row],[COSTO TOTAL UNIDAD]])/LISTPROD[[#This Row],[COSTO TOTAL UNIDAD]]</f>
        <v>0.42178311957426684</v>
      </c>
      <c r="AA94" s="435">
        <f>+LISTPROD[[#This Row],[% GANANCIA2]]*LISTPROD[[#This Row],[COSTO TOTAL UNIDAD]]</f>
        <v>2076.6049310699</v>
      </c>
      <c r="AB94" s="590">
        <f>LISTPROD[[#This Row],[PRECIO DE VENTA2]]-LISTPROD[[#This Row],[PRECIO VENTA POR RECETA]]</f>
        <v>-1841.2515388595893</v>
      </c>
      <c r="AC94" s="435">
        <v>7000</v>
      </c>
      <c r="AD94" s="592">
        <f>(LISTPROD[[#This Row],[PRECIO DE VENTA 3]]-LISTPROD[[#This Row],[COSTO TOTAL UNIDAD]])/LISTPROD[[#This Row],[COSTO TOTAL UNIDAD]]</f>
        <v>0.42178311957426684</v>
      </c>
      <c r="AE94" s="435">
        <f>LISTPROD[[#This Row],[% GANANCIA3]]*LISTPROD[[#This Row],[COSTO TOTAL UNIDAD]]</f>
        <v>2076.6049310699</v>
      </c>
      <c r="AF94" s="590"/>
      <c r="AG94" s="590"/>
      <c r="AH94" s="88">
        <v>7000</v>
      </c>
      <c r="AI94" s="184">
        <v>7000</v>
      </c>
      <c r="AJ94" s="184">
        <v>7000</v>
      </c>
      <c r="AK94" s="89">
        <v>7000</v>
      </c>
      <c r="AL94" s="40"/>
      <c r="AN94" s="11" t="s">
        <v>305</v>
      </c>
    </row>
    <row r="95" spans="1:40" ht="34.9" customHeight="1" x14ac:dyDescent="0.25">
      <c r="A95" s="44" t="s">
        <v>230</v>
      </c>
      <c r="B95" s="19" t="s">
        <v>231</v>
      </c>
      <c r="C95" s="160" t="s">
        <v>231</v>
      </c>
      <c r="D95" s="240" t="s">
        <v>464</v>
      </c>
      <c r="E95" s="329" t="s">
        <v>654</v>
      </c>
      <c r="F95" s="329"/>
      <c r="G95" s="329" t="s">
        <v>642</v>
      </c>
      <c r="H95" s="329"/>
      <c r="I95" s="329" t="s">
        <v>655</v>
      </c>
      <c r="J95" s="623" t="s">
        <v>487</v>
      </c>
      <c r="K95" s="171"/>
      <c r="L95" s="654"/>
      <c r="M95" s="654"/>
      <c r="N95" s="187" t="s">
        <v>74</v>
      </c>
      <c r="O95" s="588">
        <f>'RECETAS JARABES'!G2264</f>
        <v>2102.6344122634332</v>
      </c>
      <c r="P95" s="588">
        <f>'Gtos Varios'!$B$22</f>
        <v>3070.542857142857</v>
      </c>
      <c r="Q95" s="598">
        <f>+LISTPROD[[#This Row],[PRECIO DE PRODUCCIÓN POR UND]]+LISTPROD[[#This Row],[TOTAL GASTOS VARIOS]]</f>
        <v>5173.1772694062902</v>
      </c>
      <c r="R95" s="591">
        <f>'RECETAS JARABES'!$G$2269</f>
        <v>3349.8273591127909</v>
      </c>
      <c r="S95" s="387">
        <f>'RECETAS JARABES'!$H$2269</f>
        <v>0.57999999999999996</v>
      </c>
      <c r="T95" s="368">
        <f>'RECETAS JARABES'!$G$2270</f>
        <v>9125.3917713762239</v>
      </c>
      <c r="U95" s="435">
        <v>6000</v>
      </c>
      <c r="V95" s="589">
        <f>(LISTPROD[[#This Row],[PRECIO DE VENTA 1]]-LISTPROD[[#This Row],[COSTO TOTAL UNIDAD]])/LISTPROD[[#This Row],[COSTO TOTAL UNIDAD]]</f>
        <v>0.15982880298408986</v>
      </c>
      <c r="W95" s="435">
        <f>LISTPROD[[#This Row],[% GANANCIA]]*LISTPROD[[#This Row],[COSTO TOTAL UNIDAD]]</f>
        <v>826.82273059370993</v>
      </c>
      <c r="X95" s="590">
        <f>+LISTPROD[[#This Row],[PRECIO DE VENTA 1]]-LISTPROD[[#This Row],[PRECIO VENTA POR RECETA]]</f>
        <v>-3125.3917713762239</v>
      </c>
      <c r="Y95" s="435">
        <v>7000</v>
      </c>
      <c r="Z95" s="589">
        <f>(LISTPROD[[#This Row],[PRECIO DE VENTA2]]-LISTPROD[[#This Row],[COSTO TOTAL UNIDAD]])/LISTPROD[[#This Row],[COSTO TOTAL UNIDAD]]</f>
        <v>0.35313360348143813</v>
      </c>
      <c r="AA95" s="435">
        <f>+LISTPROD[[#This Row],[% GANANCIA2]]*LISTPROD[[#This Row],[COSTO TOTAL UNIDAD]]</f>
        <v>1826.8227305937098</v>
      </c>
      <c r="AB95" s="590">
        <f>LISTPROD[[#This Row],[PRECIO DE VENTA2]]-LISTPROD[[#This Row],[PRECIO VENTA POR RECETA]]</f>
        <v>-2125.3917713762239</v>
      </c>
      <c r="AC95" s="435">
        <v>7000</v>
      </c>
      <c r="AD95" s="592">
        <f>(LISTPROD[[#This Row],[PRECIO DE VENTA 3]]-LISTPROD[[#This Row],[COSTO TOTAL UNIDAD]])/LISTPROD[[#This Row],[COSTO TOTAL UNIDAD]]</f>
        <v>0.35313360348143813</v>
      </c>
      <c r="AE95" s="435">
        <f>LISTPROD[[#This Row],[% GANANCIA3]]*LISTPROD[[#This Row],[COSTO TOTAL UNIDAD]]</f>
        <v>1826.8227305937098</v>
      </c>
      <c r="AF95" s="590"/>
      <c r="AG95" s="590"/>
      <c r="AH95" s="88">
        <v>6000</v>
      </c>
      <c r="AI95" s="184">
        <v>7000</v>
      </c>
      <c r="AJ95" s="184">
        <v>7000</v>
      </c>
      <c r="AK95" s="89">
        <v>7000</v>
      </c>
      <c r="AL95" s="40"/>
      <c r="AN95" t="s">
        <v>304</v>
      </c>
    </row>
    <row r="96" spans="1:40" ht="34.9" customHeight="1" x14ac:dyDescent="0.25">
      <c r="A96" s="49" t="s">
        <v>236</v>
      </c>
      <c r="B96" s="9" t="s">
        <v>237</v>
      </c>
      <c r="C96" s="9" t="s">
        <v>237</v>
      </c>
      <c r="D96" s="240" t="s">
        <v>464</v>
      </c>
      <c r="E96" s="329" t="s">
        <v>654</v>
      </c>
      <c r="F96" s="329" t="s">
        <v>797</v>
      </c>
      <c r="G96" s="329" t="s">
        <v>642</v>
      </c>
      <c r="H96" s="645" t="s">
        <v>801</v>
      </c>
      <c r="I96" s="329" t="s">
        <v>655</v>
      </c>
      <c r="J96" s="623" t="s">
        <v>691</v>
      </c>
      <c r="K96" s="171"/>
      <c r="L96" s="337" t="s">
        <v>1146</v>
      </c>
      <c r="M96" s="538" t="s">
        <v>1150</v>
      </c>
      <c r="N96" s="189" t="s">
        <v>70</v>
      </c>
      <c r="O96" s="588">
        <f>'RECETAS JARABES'!G2298</f>
        <v>1089.9733726681952</v>
      </c>
      <c r="P96" s="588">
        <f>'Gtos Varios'!$B$22</f>
        <v>3070.542857142857</v>
      </c>
      <c r="Q96" s="598">
        <f>+LISTPROD[[#This Row],[PRECIO DE PRODUCCIÓN POR UND]]+LISTPROD[[#This Row],[TOTAL GASTOS VARIOS]]</f>
        <v>4160.5162298110517</v>
      </c>
      <c r="R96" s="510">
        <f>'RECETAS JARABES'!G2303</f>
        <v>3429.2904283211005</v>
      </c>
      <c r="S96" s="387">
        <f>'RECETAS JARABES'!H2303</f>
        <v>0.72</v>
      </c>
      <c r="T96" s="368">
        <f>'RECETAS JARABES'!G2304</f>
        <v>8192.1938009892965</v>
      </c>
      <c r="U96" s="435">
        <v>7000</v>
      </c>
      <c r="V96" s="589">
        <f>(LISTPROD[[#This Row],[PRECIO DE VENTA 1]]-LISTPROD[[#This Row],[COSTO TOTAL UNIDAD]])/LISTPROD[[#This Row],[COSTO TOTAL UNIDAD]]</f>
        <v>0.68248352207915852</v>
      </c>
      <c r="W96" s="435">
        <f>LISTPROD[[#This Row],[% GANANCIA]]*LISTPROD[[#This Row],[COSTO TOTAL UNIDAD]]</f>
        <v>2839.4837701889483</v>
      </c>
      <c r="X96" s="590">
        <f>+LISTPROD[[#This Row],[PRECIO DE VENTA 1]]-LISTPROD[[#This Row],[PRECIO VENTA POR RECETA]]</f>
        <v>-1192.1938009892965</v>
      </c>
      <c r="Y96" s="435">
        <v>7000</v>
      </c>
      <c r="Z96" s="589">
        <f>(LISTPROD[[#This Row],[PRECIO DE VENTA2]]-LISTPROD[[#This Row],[COSTO TOTAL UNIDAD]])/LISTPROD[[#This Row],[COSTO TOTAL UNIDAD]]</f>
        <v>0.68248352207915852</v>
      </c>
      <c r="AA96" s="435">
        <f>+LISTPROD[[#This Row],[% GANANCIA2]]*LISTPROD[[#This Row],[COSTO TOTAL UNIDAD]]</f>
        <v>2839.4837701889483</v>
      </c>
      <c r="AB96" s="590">
        <f>LISTPROD[[#This Row],[PRECIO DE VENTA2]]-LISTPROD[[#This Row],[PRECIO VENTA POR RECETA]]</f>
        <v>-1192.1938009892965</v>
      </c>
      <c r="AC96" s="435">
        <v>7000</v>
      </c>
      <c r="AD96" s="592">
        <f>(LISTPROD[[#This Row],[PRECIO DE VENTA 3]]-LISTPROD[[#This Row],[COSTO TOTAL UNIDAD]])/LISTPROD[[#This Row],[COSTO TOTAL UNIDAD]]</f>
        <v>0.68248352207915852</v>
      </c>
      <c r="AE96" s="435">
        <f>LISTPROD[[#This Row],[% GANANCIA3]]*LISTPROD[[#This Row],[COSTO TOTAL UNIDAD]]</f>
        <v>2839.4837701889483</v>
      </c>
      <c r="AF96" s="590"/>
      <c r="AG96" s="590"/>
      <c r="AH96" s="88">
        <v>7000</v>
      </c>
      <c r="AI96" s="184">
        <v>7000</v>
      </c>
      <c r="AJ96" s="184">
        <v>7000</v>
      </c>
      <c r="AK96" s="89">
        <v>7000</v>
      </c>
      <c r="AL96" s="40" t="s">
        <v>333</v>
      </c>
      <c r="AN96" t="s">
        <v>304</v>
      </c>
    </row>
    <row r="97" spans="1:40" ht="34.9" customHeight="1" x14ac:dyDescent="0.25">
      <c r="A97" s="44" t="s">
        <v>334</v>
      </c>
      <c r="B97" s="19" t="s">
        <v>335</v>
      </c>
      <c r="C97" s="19" t="s">
        <v>1116</v>
      </c>
      <c r="D97" s="240" t="s">
        <v>1057</v>
      </c>
      <c r="E97" s="332" t="s">
        <v>654</v>
      </c>
      <c r="F97" s="329" t="s">
        <v>797</v>
      </c>
      <c r="G97" s="329" t="s">
        <v>644</v>
      </c>
      <c r="H97" s="645" t="s">
        <v>815</v>
      </c>
      <c r="I97" s="329" t="s">
        <v>663</v>
      </c>
      <c r="J97" s="624"/>
      <c r="K97" s="160"/>
      <c r="L97" s="538" t="s">
        <v>1145</v>
      </c>
      <c r="M97" s="538" t="s">
        <v>1145</v>
      </c>
      <c r="N97" s="187" t="s">
        <v>73</v>
      </c>
      <c r="O97" s="594">
        <f>'RECETAS GOTAS'!K26</f>
        <v>3672.93</v>
      </c>
      <c r="P97" s="594">
        <f>'Gtos Varios'!$B$22</f>
        <v>3070.542857142857</v>
      </c>
      <c r="Q97" s="591">
        <f>+LISTPROD[[#This Row],[TOTAL GASTOS VARIOS]]+LISTPROD[[#This Row],[PRECIO DE PRODUCCIÓN POR UND]]</f>
        <v>6743.4728571428568</v>
      </c>
      <c r="R97" s="591">
        <f>'RECETAS GOTAS'!K29</f>
        <v>3421.2276999999999</v>
      </c>
      <c r="S97" s="386">
        <f>'RECETAS GOTAS'!L29</f>
        <v>0.61</v>
      </c>
      <c r="T97" s="659">
        <f>'RECETAS GOTAS'!K30</f>
        <v>9029.7976999999992</v>
      </c>
      <c r="U97" s="432">
        <v>8100.2043999999996</v>
      </c>
      <c r="V97" s="589">
        <f>(LISTPROD[[#This Row],[PRECIO DE VENTA 1]]-LISTPROD[[#This Row],[COSTO TOTAL UNIDAD]])/LISTPROD[[#This Row],[COSTO TOTAL UNIDAD]]</f>
        <v>0.201191814899953</v>
      </c>
      <c r="W97" s="435">
        <f>LISTPROD[[#This Row],[% GANANCIA]]*LISTPROD[[#This Row],[COSTO TOTAL UNIDAD]]</f>
        <v>1356.7315428571428</v>
      </c>
      <c r="X97" s="590">
        <f>+LISTPROD[[#This Row],[PRECIO DE VENTA 1]]-LISTPROD[[#This Row],[PRECIO VENTA POR RECETA]]</f>
        <v>-929.59329999999954</v>
      </c>
      <c r="Y97" s="432">
        <v>7000</v>
      </c>
      <c r="Z97" s="589">
        <f>(LISTPROD[[#This Row],[PRECIO DE VENTA2]]-LISTPROD[[#This Row],[COSTO TOTAL UNIDAD]])/LISTPROD[[#This Row],[COSTO TOTAL UNIDAD]]</f>
        <v>3.8040806019619872E-2</v>
      </c>
      <c r="AA97" s="435">
        <f>LISTPROD[[#This Row],[PRECIO DE VENTA2]]*LISTPROD[[#This Row],[% GANANCIA2]]</f>
        <v>266.2856421373391</v>
      </c>
      <c r="AB97" s="590">
        <f>LISTPROD[[#This Row],[PRECIO DE VENTA2]]-LISTPROD[[#This Row],[PRECIO VENTA POR RECETA]]</f>
        <v>-2029.7976999999992</v>
      </c>
      <c r="AC97" s="432">
        <v>7000</v>
      </c>
      <c r="AD97" s="592">
        <f>(LISTPROD[[#This Row],[PRECIO DE VENTA 3]]-LISTPROD[[#This Row],[COSTO TOTAL UNIDAD]])/LISTPROD[[#This Row],[COSTO TOTAL UNIDAD]]</f>
        <v>3.8040806019619872E-2</v>
      </c>
      <c r="AE97" s="435">
        <f>LISTPROD[[#This Row],[% GANANCIA3]]*LISTPROD[[#This Row],[COSTO TOTAL UNIDAD]]</f>
        <v>256.52714285714319</v>
      </c>
      <c r="AF97" s="395"/>
      <c r="AG97" s="395"/>
      <c r="AH97" s="184">
        <v>8000</v>
      </c>
      <c r="AI97" s="184">
        <v>7000</v>
      </c>
      <c r="AJ97" s="184">
        <v>7000</v>
      </c>
      <c r="AK97" s="89">
        <v>7000</v>
      </c>
      <c r="AL97" s="40" t="s">
        <v>336</v>
      </c>
      <c r="AM97" s="626" t="s">
        <v>728</v>
      </c>
      <c r="AN97" t="s">
        <v>304</v>
      </c>
    </row>
    <row r="98" spans="1:40" ht="34.9" customHeight="1" x14ac:dyDescent="0.25">
      <c r="A98" s="49" t="s">
        <v>337</v>
      </c>
      <c r="B98" s="9" t="s">
        <v>338</v>
      </c>
      <c r="C98" s="9" t="s">
        <v>1117</v>
      </c>
      <c r="D98" s="240" t="s">
        <v>1057</v>
      </c>
      <c r="E98" s="329" t="s">
        <v>654</v>
      </c>
      <c r="F98" s="329" t="s">
        <v>797</v>
      </c>
      <c r="G98" s="329" t="s">
        <v>644</v>
      </c>
      <c r="H98" s="645" t="s">
        <v>815</v>
      </c>
      <c r="I98" s="329" t="s">
        <v>663</v>
      </c>
      <c r="J98" s="623"/>
      <c r="K98" s="171"/>
      <c r="L98" s="538" t="s">
        <v>1145</v>
      </c>
      <c r="M98" s="538" t="s">
        <v>1145</v>
      </c>
      <c r="N98" s="187" t="s">
        <v>73</v>
      </c>
      <c r="O98" s="594">
        <f>'RECETAS GOTAS'!Z24</f>
        <v>1932.5350000000001</v>
      </c>
      <c r="P98" s="594">
        <f>'Gtos Varios'!$B$22</f>
        <v>3070.542857142857</v>
      </c>
      <c r="Q98" s="591">
        <f>+LISTPROD[[#This Row],[TOTAL GASTOS VARIOS]]+LISTPROD[[#This Row],[PRECIO DE PRODUCCIÓN POR UND]]</f>
        <v>5003.0778571428573</v>
      </c>
      <c r="R98" s="591">
        <f>'RECETAS GOTAS'!Z29</f>
        <v>3363.279</v>
      </c>
      <c r="S98" s="386">
        <f>'RECETAS GOTAS'!AA29</f>
        <v>0.6</v>
      </c>
      <c r="T98" s="659">
        <f>'RECETAS GOTAS'!Z30</f>
        <v>8968.7440000000006</v>
      </c>
      <c r="U98" s="432">
        <v>8044.9245714285717</v>
      </c>
      <c r="V98" s="589">
        <f>(LISTPROD[[#This Row],[PRECIO DE VENTA 1]]-LISTPROD[[#This Row],[COSTO TOTAL UNIDAD]])/LISTPROD[[#This Row],[COSTO TOTAL UNIDAD]]</f>
        <v>0.60799507845813194</v>
      </c>
      <c r="W98" s="435">
        <f>LISTPROD[[#This Row],[% GANANCIA]]*LISTPROD[[#This Row],[COSTO TOTAL UNIDAD]]</f>
        <v>3041.8467142857144</v>
      </c>
      <c r="X98" s="590">
        <f>+LISTPROD[[#This Row],[PRECIO DE VENTA 1]]-LISTPROD[[#This Row],[PRECIO VENTA POR RECETA]]</f>
        <v>-923.81942857142894</v>
      </c>
      <c r="Y98" s="432">
        <v>7000</v>
      </c>
      <c r="Z98" s="589">
        <f>(LISTPROD[[#This Row],[PRECIO DE VENTA2]]-LISTPROD[[#This Row],[COSTO TOTAL UNIDAD]])/LISTPROD[[#This Row],[COSTO TOTAL UNIDAD]]</f>
        <v>0.3991387301730977</v>
      </c>
      <c r="AA98" s="435">
        <f>LISTPROD[[#This Row],[PRECIO DE VENTA2]]*LISTPROD[[#This Row],[% GANANCIA2]]</f>
        <v>2793.9711112116838</v>
      </c>
      <c r="AB98" s="590">
        <f>LISTPROD[[#This Row],[PRECIO DE VENTA2]]-LISTPROD[[#This Row],[PRECIO VENTA POR RECETA]]</f>
        <v>-1968.7440000000006</v>
      </c>
      <c r="AC98" s="432">
        <v>7000</v>
      </c>
      <c r="AD98" s="592">
        <f>(LISTPROD[[#This Row],[PRECIO DE VENTA 3]]-LISTPROD[[#This Row],[COSTO TOTAL UNIDAD]])/LISTPROD[[#This Row],[COSTO TOTAL UNIDAD]]</f>
        <v>0.3991387301730977</v>
      </c>
      <c r="AE98" s="435">
        <f>LISTPROD[[#This Row],[% GANANCIA3]]*LISTPROD[[#This Row],[COSTO TOTAL UNIDAD]]</f>
        <v>1996.9221428571427</v>
      </c>
      <c r="AF98" s="395"/>
      <c r="AG98" s="395"/>
      <c r="AH98" s="184">
        <v>8000</v>
      </c>
      <c r="AI98" s="184">
        <v>7000</v>
      </c>
      <c r="AJ98" s="184">
        <v>7000</v>
      </c>
      <c r="AK98" s="89">
        <v>7000</v>
      </c>
      <c r="AL98" s="40" t="s">
        <v>336</v>
      </c>
      <c r="AM98" s="626" t="s">
        <v>728</v>
      </c>
      <c r="AN98" t="s">
        <v>304</v>
      </c>
    </row>
    <row r="99" spans="1:40" ht="34.9" customHeight="1" x14ac:dyDescent="0.25">
      <c r="A99" s="49" t="s">
        <v>339</v>
      </c>
      <c r="B99" s="9" t="s">
        <v>340</v>
      </c>
      <c r="C99" s="9" t="s">
        <v>1118</v>
      </c>
      <c r="D99" s="240" t="s">
        <v>1057</v>
      </c>
      <c r="E99" s="329" t="s">
        <v>654</v>
      </c>
      <c r="F99" s="329" t="s">
        <v>797</v>
      </c>
      <c r="G99" s="329" t="s">
        <v>644</v>
      </c>
      <c r="H99" s="645" t="s">
        <v>815</v>
      </c>
      <c r="I99" s="329" t="s">
        <v>663</v>
      </c>
      <c r="J99" s="623"/>
      <c r="K99" s="171"/>
      <c r="L99" s="538" t="s">
        <v>1145</v>
      </c>
      <c r="M99" s="538" t="s">
        <v>1145</v>
      </c>
      <c r="N99" s="187" t="s">
        <v>73</v>
      </c>
      <c r="O99" s="594">
        <f>'RECETAS GOTAS'!AO24</f>
        <v>1932.5350000000001</v>
      </c>
      <c r="P99" s="594">
        <f>'Gtos Varios'!$B$22</f>
        <v>3070.542857142857</v>
      </c>
      <c r="Q99" s="591">
        <f>+LISTPROD[[#This Row],[TOTAL GASTOS VARIOS]]+LISTPROD[[#This Row],[PRECIO DE PRODUCCIÓN POR UND]]</f>
        <v>5003.0778571428573</v>
      </c>
      <c r="R99" s="591">
        <f>'RECETAS GOTAS'!AO29</f>
        <v>3001.8467142857144</v>
      </c>
      <c r="S99" s="386">
        <f>'RECETAS GOTAS'!AP29</f>
        <v>0.6</v>
      </c>
      <c r="T99" s="659">
        <f>'RECETAS GOTAS'!AO30</f>
        <v>8004.9245714285717</v>
      </c>
      <c r="U99" s="432">
        <v>8044.9245714285717</v>
      </c>
      <c r="V99" s="589">
        <f>(LISTPROD[[#This Row],[PRECIO DE VENTA 1]]-LISTPROD[[#This Row],[COSTO TOTAL UNIDAD]])/LISTPROD[[#This Row],[COSTO TOTAL UNIDAD]]</f>
        <v>0.60799507845813194</v>
      </c>
      <c r="W99" s="435">
        <f>LISTPROD[[#This Row],[% GANANCIA]]*LISTPROD[[#This Row],[COSTO TOTAL UNIDAD]]</f>
        <v>3041.8467142857144</v>
      </c>
      <c r="X99" s="590">
        <f>+LISTPROD[[#This Row],[PRECIO DE VENTA 1]]-LISTPROD[[#This Row],[PRECIO VENTA POR RECETA]]</f>
        <v>40</v>
      </c>
      <c r="Y99" s="432">
        <v>7000</v>
      </c>
      <c r="Z99" s="589">
        <f>(LISTPROD[[#This Row],[PRECIO DE VENTA2]]-LISTPROD[[#This Row],[COSTO TOTAL UNIDAD]])/LISTPROD[[#This Row],[COSTO TOTAL UNIDAD]]</f>
        <v>0.3991387301730977</v>
      </c>
      <c r="AA99" s="435">
        <f>LISTPROD[[#This Row],[PRECIO DE VENTA2]]*LISTPROD[[#This Row],[% GANANCIA2]]</f>
        <v>2793.9711112116838</v>
      </c>
      <c r="AB99" s="590">
        <f>LISTPROD[[#This Row],[PRECIO DE VENTA2]]-LISTPROD[[#This Row],[PRECIO VENTA POR RECETA]]</f>
        <v>-1004.9245714285717</v>
      </c>
      <c r="AC99" s="432">
        <v>7000</v>
      </c>
      <c r="AD99" s="592">
        <f>(LISTPROD[[#This Row],[PRECIO DE VENTA 3]]-LISTPROD[[#This Row],[COSTO TOTAL UNIDAD]])/LISTPROD[[#This Row],[COSTO TOTAL UNIDAD]]</f>
        <v>0.3991387301730977</v>
      </c>
      <c r="AE99" s="435">
        <f>LISTPROD[[#This Row],[% GANANCIA3]]*LISTPROD[[#This Row],[COSTO TOTAL UNIDAD]]</f>
        <v>1996.9221428571427</v>
      </c>
      <c r="AF99" s="395"/>
      <c r="AG99" s="395"/>
      <c r="AH99" s="184">
        <v>8000</v>
      </c>
      <c r="AI99" s="184">
        <v>7000</v>
      </c>
      <c r="AJ99" s="184">
        <v>7000</v>
      </c>
      <c r="AK99" s="89">
        <v>7000</v>
      </c>
      <c r="AL99" s="40" t="s">
        <v>336</v>
      </c>
      <c r="AM99" s="626" t="s">
        <v>728</v>
      </c>
      <c r="AN99" t="s">
        <v>304</v>
      </c>
    </row>
    <row r="100" spans="1:40" ht="34.9" customHeight="1" x14ac:dyDescent="0.25">
      <c r="A100" s="49" t="s">
        <v>341</v>
      </c>
      <c r="B100" s="9" t="s">
        <v>342</v>
      </c>
      <c r="C100" s="9" t="s">
        <v>525</v>
      </c>
      <c r="D100" s="240" t="s">
        <v>517</v>
      </c>
      <c r="E100" s="329" t="s">
        <v>654</v>
      </c>
      <c r="F100" s="329" t="s">
        <v>797</v>
      </c>
      <c r="G100" s="329" t="s">
        <v>508</v>
      </c>
      <c r="H100" s="645" t="s">
        <v>812</v>
      </c>
      <c r="I100" s="329" t="s">
        <v>657</v>
      </c>
      <c r="J100" s="623"/>
      <c r="K100" s="171"/>
      <c r="L100" s="538" t="s">
        <v>1145</v>
      </c>
      <c r="M100" s="538" t="s">
        <v>1145</v>
      </c>
      <c r="N100" s="187" t="s">
        <v>73</v>
      </c>
      <c r="O100" s="594">
        <f>'RECETAS CAPS'!AI51</f>
        <v>3265.4</v>
      </c>
      <c r="P100" s="588">
        <f>'Gtos Varios'!$B$22</f>
        <v>3070.542857142857</v>
      </c>
      <c r="Q100" s="510">
        <f>+LISTPROD[[#This Row],[TOTAL GASTOS VARIOS]]+LISTPROD[[#This Row],[PRECIO DE PRODUCCIÓN POR UND]]</f>
        <v>6335.9428571428571</v>
      </c>
      <c r="R100" s="591">
        <f>'RECETAS CAPS'!AI57</f>
        <v>3330.3984</v>
      </c>
      <c r="S100" s="386">
        <f>'RECETAS CAPS'!AJ57</f>
        <v>0.48</v>
      </c>
      <c r="T100" s="659">
        <f>'RECETAS CAPS'!AI58</f>
        <v>10268.7284</v>
      </c>
      <c r="U100" s="361">
        <v>9377.1954285714273</v>
      </c>
      <c r="V100" s="589">
        <f>(LISTPROD[[#This Row],[PRECIO DE VENTA 1]]-LISTPROD[[#This Row],[COSTO TOTAL UNIDAD]])/LISTPROD[[#This Row],[COSTO TOTAL UNIDAD]]</f>
        <v>0.47999999999999982</v>
      </c>
      <c r="W100" s="435">
        <f>LISTPROD[[#This Row],[% GANANCIA]]*LISTPROD[[#This Row],[COSTO TOTAL UNIDAD]]</f>
        <v>3041.2525714285703</v>
      </c>
      <c r="X100" s="590">
        <f>+LISTPROD[[#This Row],[PRECIO DE VENTA 1]]-LISTPROD[[#This Row],[PRECIO VENTA POR RECETA]]</f>
        <v>-891.53297142857264</v>
      </c>
      <c r="Y100" s="432">
        <v>7000</v>
      </c>
      <c r="Z100" s="589">
        <f>(LISTPROD[[#This Row],[PRECIO DE VENTA2]]-LISTPROD[[#This Row],[COSTO TOTAL UNIDAD]])/LISTPROD[[#This Row],[COSTO TOTAL UNIDAD]]</f>
        <v>0.10480794379458691</v>
      </c>
      <c r="AA100" s="435">
        <f>LISTPROD[[#This Row],[PRECIO DE VENTA2]]*LISTPROD[[#This Row],[% GANANCIA2]]</f>
        <v>733.65560656210835</v>
      </c>
      <c r="AB100" s="590">
        <f>LISTPROD[[#This Row],[PRECIO DE VENTA2]]-LISTPROD[[#This Row],[PRECIO VENTA POR RECETA]]</f>
        <v>-3268.7284</v>
      </c>
      <c r="AC100" s="432">
        <v>7000</v>
      </c>
      <c r="AD100" s="592">
        <f>(LISTPROD[[#This Row],[PRECIO DE VENTA 3]]-LISTPROD[[#This Row],[COSTO TOTAL UNIDAD]])/LISTPROD[[#This Row],[COSTO TOTAL UNIDAD]]</f>
        <v>0.10480794379458691</v>
      </c>
      <c r="AE100" s="435">
        <f>LISTPROD[[#This Row],[% GANANCIA3]]*LISTPROD[[#This Row],[COSTO TOTAL UNIDAD]]</f>
        <v>664.05714285714294</v>
      </c>
      <c r="AF100" s="395"/>
      <c r="AG100" s="395"/>
      <c r="AH100" s="184">
        <v>9000</v>
      </c>
      <c r="AI100" s="184">
        <v>7000</v>
      </c>
      <c r="AJ100" s="184">
        <v>7000</v>
      </c>
      <c r="AK100" s="89">
        <v>7000</v>
      </c>
      <c r="AL100" s="40" t="s">
        <v>336</v>
      </c>
      <c r="AM100" s="626" t="s">
        <v>728</v>
      </c>
      <c r="AN100" t="s">
        <v>304</v>
      </c>
    </row>
    <row r="101" spans="1:40" ht="34.9" customHeight="1" x14ac:dyDescent="0.25">
      <c r="A101" s="49" t="s">
        <v>343</v>
      </c>
      <c r="B101" s="9" t="s">
        <v>344</v>
      </c>
      <c r="C101" s="9" t="s">
        <v>1119</v>
      </c>
      <c r="D101" s="240" t="s">
        <v>517</v>
      </c>
      <c r="E101" s="329" t="s">
        <v>654</v>
      </c>
      <c r="F101" s="329" t="s">
        <v>797</v>
      </c>
      <c r="G101" s="329" t="s">
        <v>508</v>
      </c>
      <c r="H101" s="645" t="s">
        <v>812</v>
      </c>
      <c r="I101" s="329" t="s">
        <v>657</v>
      </c>
      <c r="J101" s="623"/>
      <c r="K101" s="171"/>
      <c r="L101" s="538" t="s">
        <v>1145</v>
      </c>
      <c r="M101" s="538" t="s">
        <v>1145</v>
      </c>
      <c r="N101" s="187" t="s">
        <v>73</v>
      </c>
      <c r="O101" s="594">
        <f>'RECETAS CAPS'!AW51</f>
        <v>3622.4</v>
      </c>
      <c r="P101" s="588">
        <f>'Gtos Varios'!$B$22</f>
        <v>3070.542857142857</v>
      </c>
      <c r="Q101" s="510">
        <f>+LISTPROD[[#This Row],[TOTAL GASTOS VARIOS]]+LISTPROD[[#This Row],[PRECIO DE PRODUCCIÓN POR UND]]</f>
        <v>6692.9428571428571</v>
      </c>
      <c r="R101" s="591">
        <f>'RECETAS CAPS'!AW57</f>
        <v>3355.8517999999999</v>
      </c>
      <c r="S101" s="386">
        <f>'RECETAS CAPS'!AX57</f>
        <v>0.46</v>
      </c>
      <c r="T101" s="659">
        <f>'RECETAS CAPS'!AW58</f>
        <v>10651.1818</v>
      </c>
      <c r="U101" s="361">
        <v>9771.6965714285725</v>
      </c>
      <c r="V101" s="589">
        <f>(LISTPROD[[#This Row],[PRECIO DE VENTA 1]]-LISTPROD[[#This Row],[COSTO TOTAL UNIDAD]])/LISTPROD[[#This Row],[COSTO TOTAL UNIDAD]]</f>
        <v>0.46000000000000019</v>
      </c>
      <c r="W101" s="435">
        <f>LISTPROD[[#This Row],[% GANANCIA]]*LISTPROD[[#This Row],[COSTO TOTAL UNIDAD]]</f>
        <v>3078.7537142857154</v>
      </c>
      <c r="X101" s="590">
        <f>+LISTPROD[[#This Row],[PRECIO DE VENTA 1]]-LISTPROD[[#This Row],[PRECIO VENTA POR RECETA]]</f>
        <v>-879.4852285714278</v>
      </c>
      <c r="Y101" s="432">
        <v>7000</v>
      </c>
      <c r="Z101" s="589">
        <f>(LISTPROD[[#This Row],[PRECIO DE VENTA2]]-LISTPROD[[#This Row],[COSTO TOTAL UNIDAD]])/LISTPROD[[#This Row],[COSTO TOTAL UNIDAD]]</f>
        <v>4.5877747563531752E-2</v>
      </c>
      <c r="AA101" s="435">
        <f>LISTPROD[[#This Row],[PRECIO DE VENTA2]]*LISTPROD[[#This Row],[% GANANCIA2]]</f>
        <v>321.14423294472226</v>
      </c>
      <c r="AB101" s="590">
        <f>LISTPROD[[#This Row],[PRECIO DE VENTA2]]-LISTPROD[[#This Row],[PRECIO VENTA POR RECETA]]</f>
        <v>-3651.1818000000003</v>
      </c>
      <c r="AC101" s="432">
        <v>7000</v>
      </c>
      <c r="AD101" s="592">
        <f>(LISTPROD[[#This Row],[PRECIO DE VENTA 3]]-LISTPROD[[#This Row],[COSTO TOTAL UNIDAD]])/LISTPROD[[#This Row],[COSTO TOTAL UNIDAD]]</f>
        <v>4.5877747563531752E-2</v>
      </c>
      <c r="AE101" s="435">
        <f>LISTPROD[[#This Row],[% GANANCIA3]]*LISTPROD[[#This Row],[COSTO TOTAL UNIDAD]]</f>
        <v>307.05714285714294</v>
      </c>
      <c r="AF101" s="395"/>
      <c r="AG101" s="395"/>
      <c r="AH101" s="184">
        <v>9500</v>
      </c>
      <c r="AI101" s="184">
        <v>7000</v>
      </c>
      <c r="AJ101" s="184">
        <v>7000</v>
      </c>
      <c r="AK101" s="89">
        <v>7000</v>
      </c>
      <c r="AL101" s="40" t="s">
        <v>336</v>
      </c>
      <c r="AM101" s="626" t="s">
        <v>728</v>
      </c>
      <c r="AN101" t="s">
        <v>304</v>
      </c>
    </row>
    <row r="102" spans="1:40" ht="34.9" customHeight="1" x14ac:dyDescent="0.25">
      <c r="A102" s="49" t="s">
        <v>345</v>
      </c>
      <c r="B102" s="9" t="s">
        <v>346</v>
      </c>
      <c r="C102" s="9" t="s">
        <v>1120</v>
      </c>
      <c r="D102" s="240" t="s">
        <v>1057</v>
      </c>
      <c r="E102" s="329" t="s">
        <v>654</v>
      </c>
      <c r="F102" s="329" t="s">
        <v>797</v>
      </c>
      <c r="G102" s="329" t="s">
        <v>644</v>
      </c>
      <c r="H102" s="645" t="s">
        <v>815</v>
      </c>
      <c r="I102" s="329" t="s">
        <v>663</v>
      </c>
      <c r="J102" s="623"/>
      <c r="K102" s="171"/>
      <c r="L102" s="655"/>
      <c r="M102" s="655"/>
      <c r="N102" s="187" t="s">
        <v>73</v>
      </c>
      <c r="O102" s="353">
        <f>'RECETAS GOTAS'!BD24</f>
        <v>3940.8739</v>
      </c>
      <c r="P102" s="353">
        <f>'Gtos Varios'!$B$22</f>
        <v>3070.542857142857</v>
      </c>
      <c r="Q102" s="418">
        <f>+LISTPROD[[#This Row],[TOTAL GASTOS VARIOS]]+LISTPROD[[#This Row],[PRECIO DE PRODUCCIÓN POR UND]]</f>
        <v>7011.416757142857</v>
      </c>
      <c r="R102" s="418">
        <f>'RECETAS GOTAS'!BD29</f>
        <v>3014.9092055714286</v>
      </c>
      <c r="S102" s="386">
        <f>'RECETAS GOTAS'!BE29</f>
        <v>0.43</v>
      </c>
      <c r="T102" s="659">
        <f>'RECETAS GOTAS'!BD30</f>
        <v>10026.325962714285</v>
      </c>
      <c r="U102" s="432">
        <v>10062.075962714285</v>
      </c>
      <c r="V102" s="589">
        <f>(LISTPROD[[#This Row],[PRECIO DE VENTA 1]]-LISTPROD[[#This Row],[COSTO TOTAL UNIDAD]])/LISTPROD[[#This Row],[COSTO TOTAL UNIDAD]]</f>
        <v>0.43509882684745271</v>
      </c>
      <c r="W102" s="435">
        <f>LISTPROD[[#This Row],[% GANANCIA]]*LISTPROD[[#This Row],[COSTO TOTAL UNIDAD]]</f>
        <v>3050.6592055714282</v>
      </c>
      <c r="X102" s="590">
        <f>+LISTPROD[[#This Row],[PRECIO DE VENTA 1]]-LISTPROD[[#This Row],[PRECIO VENTA POR RECETA]]</f>
        <v>35.75</v>
      </c>
      <c r="Y102" s="432">
        <v>7000</v>
      </c>
      <c r="Z102" s="592">
        <f>(LISTPROD[[#This Row],[PRECIO DE VENTA2]]-LISTPROD[[#This Row],[COSTO TOTAL UNIDAD]])/LISTPROD[[#This Row],[COSTO TOTAL UNIDAD]]</f>
        <v>-1.6283095896740471E-3</v>
      </c>
      <c r="AA102" s="435">
        <f>LISTPROD[[#This Row],[PRECIO DE VENTA2]]*LISTPROD[[#This Row],[% GANANCIA2]]</f>
        <v>-11.398167127718329</v>
      </c>
      <c r="AB102" s="590">
        <f>LISTPROD[[#This Row],[PRECIO DE VENTA2]]-LISTPROD[[#This Row],[PRECIO VENTA POR RECETA]]</f>
        <v>-3026.3259627142852</v>
      </c>
      <c r="AC102" s="432">
        <v>7000</v>
      </c>
      <c r="AD102" s="592">
        <f>(LISTPROD[[#This Row],[PRECIO DE VENTA 3]]-LISTPROD[[#This Row],[COSTO TOTAL UNIDAD]])/LISTPROD[[#This Row],[COSTO TOTAL UNIDAD]]</f>
        <v>-1.6283095896740471E-3</v>
      </c>
      <c r="AE102" s="435">
        <f>LISTPROD[[#This Row],[% GANANCIA3]]*LISTPROD[[#This Row],[COSTO TOTAL UNIDAD]]</f>
        <v>-11.416757142857023</v>
      </c>
      <c r="AF102" s="395"/>
      <c r="AG102" s="395"/>
      <c r="AH102" s="69">
        <v>8000</v>
      </c>
      <c r="AI102" s="69">
        <v>7000</v>
      </c>
      <c r="AJ102" s="69">
        <v>7000</v>
      </c>
      <c r="AK102" s="70">
        <v>7000</v>
      </c>
      <c r="AL102" s="40" t="s">
        <v>336</v>
      </c>
      <c r="AM102" s="626" t="s">
        <v>728</v>
      </c>
      <c r="AN102" s="242" t="s">
        <v>304</v>
      </c>
    </row>
    <row r="103" spans="1:40" ht="34.9" customHeight="1" x14ac:dyDescent="0.25">
      <c r="A103" s="49" t="s">
        <v>347</v>
      </c>
      <c r="B103" s="9" t="s">
        <v>348</v>
      </c>
      <c r="C103" s="9" t="s">
        <v>1121</v>
      </c>
      <c r="D103" s="240" t="s">
        <v>1057</v>
      </c>
      <c r="E103" s="329" t="s">
        <v>654</v>
      </c>
      <c r="F103" s="329" t="s">
        <v>797</v>
      </c>
      <c r="G103" s="329" t="s">
        <v>644</v>
      </c>
      <c r="H103" s="645" t="s">
        <v>815</v>
      </c>
      <c r="I103" s="329" t="s">
        <v>663</v>
      </c>
      <c r="J103" s="623"/>
      <c r="K103" s="171"/>
      <c r="L103" s="538" t="s">
        <v>1145</v>
      </c>
      <c r="M103" s="538" t="s">
        <v>1145</v>
      </c>
      <c r="N103" s="187" t="s">
        <v>73</v>
      </c>
      <c r="O103" s="594">
        <f>'RECETAS GOTAS'!BS24</f>
        <v>1908.7380000000001</v>
      </c>
      <c r="P103" s="594">
        <f>'Gtos Varios'!$B$22</f>
        <v>3070.542857142857</v>
      </c>
      <c r="Q103" s="591">
        <f>+LISTPROD[[#This Row],[TOTAL GASTOS VARIOS]]+LISTPROD[[#This Row],[PRECIO DE PRODUCCIÓN POR UND]]</f>
        <v>4979.2808571428568</v>
      </c>
      <c r="R103" s="591">
        <f>'RECETAS GOTAS'!BS29</f>
        <v>2987.5685142857142</v>
      </c>
      <c r="S103" s="386">
        <f>'RECETAS GOTAS'!BT29</f>
        <v>0.6</v>
      </c>
      <c r="T103" s="659">
        <f>'RECETAS GOTAS'!BS30</f>
        <v>7966.8493714285705</v>
      </c>
      <c r="U103" s="432">
        <v>8006.8493714285705</v>
      </c>
      <c r="V103" s="589">
        <f>(LISTPROD[[#This Row],[PRECIO DE VENTA 1]]-LISTPROD[[#This Row],[COSTO TOTAL UNIDAD]])/LISTPROD[[#This Row],[COSTO TOTAL UNIDAD]]</f>
        <v>0.60803328857070171</v>
      </c>
      <c r="W103" s="435">
        <f>LISTPROD[[#This Row],[% GANANCIA]]*LISTPROD[[#This Row],[COSTO TOTAL UNIDAD]]</f>
        <v>3027.5685142857137</v>
      </c>
      <c r="X103" s="590">
        <f>+LISTPROD[[#This Row],[PRECIO DE VENTA 1]]-LISTPROD[[#This Row],[PRECIO VENTA POR RECETA]]</f>
        <v>40</v>
      </c>
      <c r="Y103" s="432">
        <v>7000</v>
      </c>
      <c r="Z103" s="589">
        <f>(LISTPROD[[#This Row],[PRECIO DE VENTA2]]-LISTPROD[[#This Row],[COSTO TOTAL UNIDAD]])/LISTPROD[[#This Row],[COSTO TOTAL UNIDAD]]</f>
        <v>0.40582549987281591</v>
      </c>
      <c r="AA103" s="435">
        <f>LISTPROD[[#This Row],[PRECIO DE VENTA2]]*LISTPROD[[#This Row],[% GANANCIA2]]</f>
        <v>2840.7784991097114</v>
      </c>
      <c r="AB103" s="590">
        <f>LISTPROD[[#This Row],[PRECIO DE VENTA2]]-LISTPROD[[#This Row],[PRECIO VENTA POR RECETA]]</f>
        <v>-966.84937142857052</v>
      </c>
      <c r="AC103" s="432">
        <v>7000</v>
      </c>
      <c r="AD103" s="592">
        <f>(LISTPROD[[#This Row],[PRECIO DE VENTA 3]]-LISTPROD[[#This Row],[COSTO TOTAL UNIDAD]])/LISTPROD[[#This Row],[COSTO TOTAL UNIDAD]]</f>
        <v>0.40582549987281591</v>
      </c>
      <c r="AE103" s="435">
        <f>LISTPROD[[#This Row],[% GANANCIA3]]*LISTPROD[[#This Row],[COSTO TOTAL UNIDAD]]</f>
        <v>2020.7191428571432</v>
      </c>
      <c r="AF103" s="395"/>
      <c r="AG103" s="395"/>
      <c r="AH103" s="184">
        <v>8000</v>
      </c>
      <c r="AI103" s="184">
        <v>7000</v>
      </c>
      <c r="AJ103" s="184">
        <v>7000</v>
      </c>
      <c r="AK103" s="89">
        <v>7000</v>
      </c>
      <c r="AL103" s="40" t="s">
        <v>336</v>
      </c>
      <c r="AM103" s="626" t="s">
        <v>728</v>
      </c>
      <c r="AN103" t="s">
        <v>304</v>
      </c>
    </row>
    <row r="104" spans="1:40" ht="34.9" customHeight="1" x14ac:dyDescent="0.25">
      <c r="A104" s="49" t="s">
        <v>349</v>
      </c>
      <c r="B104" s="9" t="s">
        <v>350</v>
      </c>
      <c r="C104" s="9" t="s">
        <v>1122</v>
      </c>
      <c r="D104" s="240" t="s">
        <v>1057</v>
      </c>
      <c r="E104" s="329" t="s">
        <v>654</v>
      </c>
      <c r="F104" s="329" t="s">
        <v>797</v>
      </c>
      <c r="G104" s="329" t="s">
        <v>644</v>
      </c>
      <c r="H104" s="645" t="s">
        <v>815</v>
      </c>
      <c r="I104" s="329" t="s">
        <v>663</v>
      </c>
      <c r="J104" s="623"/>
      <c r="K104" s="171"/>
      <c r="L104" s="538" t="s">
        <v>1145</v>
      </c>
      <c r="M104" s="538" t="s">
        <v>1145</v>
      </c>
      <c r="N104" s="187" t="s">
        <v>73</v>
      </c>
      <c r="O104" s="594">
        <f>'RECETAS GOTAS'!CH24</f>
        <v>1837.35</v>
      </c>
      <c r="P104" s="594">
        <f>'Gtos Varios'!$B$22</f>
        <v>3070.542857142857</v>
      </c>
      <c r="Q104" s="591">
        <f>+LISTPROD[[#This Row],[TOTAL GASTOS VARIOS]]+LISTPROD[[#This Row],[PRECIO DE PRODUCCIÓN POR UND]]</f>
        <v>4907.8928571428569</v>
      </c>
      <c r="R104" s="591">
        <f>'RECETAS GOTAS'!CH29</f>
        <v>2993.8146428571426</v>
      </c>
      <c r="S104" s="386">
        <f>'RECETAS GOTAS'!CI29</f>
        <v>0.61</v>
      </c>
      <c r="T104" s="659">
        <f>'RECETAS GOTAS'!CH30</f>
        <v>7901.7074999999995</v>
      </c>
      <c r="U104" s="432">
        <v>7941.9574999999995</v>
      </c>
      <c r="V104" s="589">
        <f>(LISTPROD[[#This Row],[PRECIO DE VENTA 1]]-LISTPROD[[#This Row],[COSTO TOTAL UNIDAD]])/LISTPROD[[#This Row],[COSTO TOTAL UNIDAD]]</f>
        <v>0.61820107552703008</v>
      </c>
      <c r="W104" s="435">
        <f>LISTPROD[[#This Row],[% GANANCIA]]*LISTPROD[[#This Row],[COSTO TOTAL UNIDAD]]</f>
        <v>3034.0646428571426</v>
      </c>
      <c r="X104" s="590">
        <f>+LISTPROD[[#This Row],[PRECIO DE VENTA 1]]-LISTPROD[[#This Row],[PRECIO VENTA POR RECETA]]</f>
        <v>40.25</v>
      </c>
      <c r="Y104" s="432">
        <v>7000</v>
      </c>
      <c r="Z104" s="589">
        <f>(LISTPROD[[#This Row],[PRECIO DE VENTA2]]-LISTPROD[[#This Row],[COSTO TOTAL UNIDAD]])/LISTPROD[[#This Row],[COSTO TOTAL UNIDAD]]</f>
        <v>0.42627400470088278</v>
      </c>
      <c r="AA104" s="435">
        <f>LISTPROD[[#This Row],[PRECIO DE VENTA2]]*LISTPROD[[#This Row],[% GANANCIA2]]</f>
        <v>2983.9180329061796</v>
      </c>
      <c r="AB104" s="590">
        <f>LISTPROD[[#This Row],[PRECIO DE VENTA2]]-LISTPROD[[#This Row],[PRECIO VENTA POR RECETA]]</f>
        <v>-901.70749999999953</v>
      </c>
      <c r="AC104" s="432">
        <v>7000</v>
      </c>
      <c r="AD104" s="592">
        <f>(LISTPROD[[#This Row],[PRECIO DE VENTA 3]]-LISTPROD[[#This Row],[COSTO TOTAL UNIDAD]])/LISTPROD[[#This Row],[COSTO TOTAL UNIDAD]]</f>
        <v>0.42627400470088278</v>
      </c>
      <c r="AE104" s="435">
        <f>LISTPROD[[#This Row],[% GANANCIA3]]*LISTPROD[[#This Row],[COSTO TOTAL UNIDAD]]</f>
        <v>2092.1071428571431</v>
      </c>
      <c r="AF104" s="395"/>
      <c r="AG104" s="395"/>
      <c r="AH104" s="184">
        <v>8000</v>
      </c>
      <c r="AI104" s="184">
        <v>7000</v>
      </c>
      <c r="AJ104" s="184">
        <v>7000</v>
      </c>
      <c r="AK104" s="89">
        <v>7000</v>
      </c>
      <c r="AL104" s="40" t="s">
        <v>336</v>
      </c>
      <c r="AM104" s="626" t="s">
        <v>728</v>
      </c>
      <c r="AN104" t="s">
        <v>304</v>
      </c>
    </row>
    <row r="105" spans="1:40" ht="34.9" customHeight="1" x14ac:dyDescent="0.25">
      <c r="A105" s="49" t="s">
        <v>351</v>
      </c>
      <c r="B105" s="9" t="s">
        <v>352</v>
      </c>
      <c r="C105" s="9" t="s">
        <v>1123</v>
      </c>
      <c r="D105" s="240" t="s">
        <v>1057</v>
      </c>
      <c r="E105" s="329" t="s">
        <v>654</v>
      </c>
      <c r="F105" s="329" t="s">
        <v>797</v>
      </c>
      <c r="G105" s="329" t="s">
        <v>644</v>
      </c>
      <c r="H105" s="645" t="s">
        <v>815</v>
      </c>
      <c r="I105" s="329" t="s">
        <v>663</v>
      </c>
      <c r="J105" s="623"/>
      <c r="K105" s="171"/>
      <c r="L105" s="538" t="s">
        <v>1145</v>
      </c>
      <c r="M105" s="538" t="s">
        <v>1145</v>
      </c>
      <c r="N105" s="187" t="s">
        <v>73</v>
      </c>
      <c r="O105" s="594">
        <f>'RECETAS GOTAS'!K57</f>
        <v>2006</v>
      </c>
      <c r="P105" s="594">
        <f>'Gtos Varios'!$B$22</f>
        <v>3070.542857142857</v>
      </c>
      <c r="Q105" s="591">
        <f>+LISTPROD[[#This Row],[TOTAL GASTOS VARIOS]]+LISTPROD[[#This Row],[PRECIO DE PRODUCCIÓN POR UND]]</f>
        <v>5076.5428571428565</v>
      </c>
      <c r="R105" s="591">
        <f>'RECETAS GOTAS'!K62</f>
        <v>3350.5686999999998</v>
      </c>
      <c r="S105" s="386">
        <f>'RECETAS GOTAS'!L62</f>
        <v>0.59</v>
      </c>
      <c r="T105" s="659">
        <f>'RECETAS GOTAS'!K63</f>
        <v>9029.4987000000001</v>
      </c>
      <c r="U105" s="432">
        <v>8111.4531428571418</v>
      </c>
      <c r="V105" s="589">
        <f>(LISTPROD[[#This Row],[PRECIO DE VENTA 1]]-LISTPROD[[#This Row],[COSTO TOTAL UNIDAD]])/LISTPROD[[#This Row],[COSTO TOTAL UNIDAD]]</f>
        <v>0.59783013186701861</v>
      </c>
      <c r="W105" s="435">
        <f>LISTPROD[[#This Row],[% GANANCIA]]*LISTPROD[[#This Row],[COSTO TOTAL UNIDAD]]</f>
        <v>3034.9102857142852</v>
      </c>
      <c r="X105" s="590">
        <f>+LISTPROD[[#This Row],[PRECIO DE VENTA 1]]-LISTPROD[[#This Row],[PRECIO VENTA POR RECETA]]</f>
        <v>-918.04555714285834</v>
      </c>
      <c r="Y105" s="432">
        <v>7000</v>
      </c>
      <c r="Z105" s="589">
        <f>(LISTPROD[[#This Row],[PRECIO DE VENTA2]]-LISTPROD[[#This Row],[COSTO TOTAL UNIDAD]])/LISTPROD[[#This Row],[COSTO TOTAL UNIDAD]]</f>
        <v>0.37889114639321492</v>
      </c>
      <c r="AA105" s="435">
        <f>LISTPROD[[#This Row],[PRECIO DE VENTA2]]*LISTPROD[[#This Row],[% GANANCIA2]]</f>
        <v>2652.2380247525043</v>
      </c>
      <c r="AB105" s="590">
        <f>LISTPROD[[#This Row],[PRECIO DE VENTA2]]-LISTPROD[[#This Row],[PRECIO VENTA POR RECETA]]</f>
        <v>-2029.4987000000001</v>
      </c>
      <c r="AC105" s="432">
        <v>7000</v>
      </c>
      <c r="AD105" s="592">
        <f>(LISTPROD[[#This Row],[PRECIO DE VENTA 3]]-LISTPROD[[#This Row],[COSTO TOTAL UNIDAD]])/LISTPROD[[#This Row],[COSTO TOTAL UNIDAD]]</f>
        <v>0.37889114639321492</v>
      </c>
      <c r="AE105" s="435">
        <f>LISTPROD[[#This Row],[% GANANCIA3]]*LISTPROD[[#This Row],[COSTO TOTAL UNIDAD]]</f>
        <v>1923.4571428571435</v>
      </c>
      <c r="AF105" s="395"/>
      <c r="AG105" s="395"/>
      <c r="AH105" s="184">
        <v>8000</v>
      </c>
      <c r="AI105" s="184">
        <v>7000</v>
      </c>
      <c r="AJ105" s="184">
        <v>7000</v>
      </c>
      <c r="AK105" s="89">
        <v>7000</v>
      </c>
      <c r="AL105" s="40" t="s">
        <v>336</v>
      </c>
      <c r="AM105" s="626" t="s">
        <v>728</v>
      </c>
      <c r="AN105" t="s">
        <v>304</v>
      </c>
    </row>
    <row r="106" spans="1:40" ht="34.9" customHeight="1" x14ac:dyDescent="0.25">
      <c r="A106" s="49" t="s">
        <v>353</v>
      </c>
      <c r="B106" s="9" t="s">
        <v>354</v>
      </c>
      <c r="C106" s="9" t="s">
        <v>1124</v>
      </c>
      <c r="D106" s="240" t="s">
        <v>1057</v>
      </c>
      <c r="E106" s="329" t="s">
        <v>654</v>
      </c>
      <c r="F106" s="329" t="s">
        <v>797</v>
      </c>
      <c r="G106" s="329" t="s">
        <v>644</v>
      </c>
      <c r="H106" s="645" t="s">
        <v>815</v>
      </c>
      <c r="I106" s="329" t="s">
        <v>663</v>
      </c>
      <c r="J106" s="623"/>
      <c r="K106" s="171"/>
      <c r="L106" s="538" t="s">
        <v>1145</v>
      </c>
      <c r="M106" s="538" t="s">
        <v>1145</v>
      </c>
      <c r="N106" s="187" t="s">
        <v>73</v>
      </c>
      <c r="O106" s="594">
        <f>'RECETAS GOTAS'!Z57</f>
        <v>1863.2</v>
      </c>
      <c r="P106" s="594">
        <f>'Gtos Varios'!$B$22</f>
        <v>3070.542857142857</v>
      </c>
      <c r="Q106" s="591">
        <f>+LISTPROD[[#This Row],[TOTAL GASTOS VARIOS]]+LISTPROD[[#This Row],[PRECIO DE PRODUCCIÓN POR UND]]</f>
        <v>4933.7428571428572</v>
      </c>
      <c r="R106" s="591">
        <f>'RECETAS GOTAS'!Z62</f>
        <v>3377.0392999999999</v>
      </c>
      <c r="S106" s="386">
        <f>'RECETAS GOTAS'!AA62</f>
        <v>0.61</v>
      </c>
      <c r="T106" s="659">
        <f>'RECETAS GOTAS'!Z63</f>
        <v>8913.1692999999996</v>
      </c>
      <c r="U106" s="432">
        <v>7983.576</v>
      </c>
      <c r="V106" s="589">
        <f>(LISTPROD[[#This Row],[PRECIO DE VENTA 1]]-LISTPROD[[#This Row],[COSTO TOTAL UNIDAD]])/LISTPROD[[#This Row],[COSTO TOTAL UNIDAD]]</f>
        <v>0.61815810656644332</v>
      </c>
      <c r="W106" s="435">
        <f>LISTPROD[[#This Row],[% GANANCIA]]*LISTPROD[[#This Row],[COSTO TOTAL UNIDAD]]</f>
        <v>3049.8331428571428</v>
      </c>
      <c r="X106" s="590">
        <f>+LISTPROD[[#This Row],[PRECIO DE VENTA 1]]-LISTPROD[[#This Row],[PRECIO VENTA POR RECETA]]</f>
        <v>-929.59329999999954</v>
      </c>
      <c r="Y106" s="432">
        <v>7000</v>
      </c>
      <c r="Z106" s="589">
        <f>(LISTPROD[[#This Row],[PRECIO DE VENTA2]]-LISTPROD[[#This Row],[COSTO TOTAL UNIDAD]])/LISTPROD[[#This Row],[COSTO TOTAL UNIDAD]]</f>
        <v>0.41880114199014362</v>
      </c>
      <c r="AA106" s="435">
        <f>LISTPROD[[#This Row],[PRECIO DE VENTA2]]*LISTPROD[[#This Row],[% GANANCIA2]]</f>
        <v>2931.6079939310052</v>
      </c>
      <c r="AB106" s="590">
        <f>LISTPROD[[#This Row],[PRECIO DE VENTA2]]-LISTPROD[[#This Row],[PRECIO VENTA POR RECETA]]</f>
        <v>-1913.1692999999996</v>
      </c>
      <c r="AC106" s="432">
        <v>7000</v>
      </c>
      <c r="AD106" s="592">
        <f>(LISTPROD[[#This Row],[PRECIO DE VENTA 3]]-LISTPROD[[#This Row],[COSTO TOTAL UNIDAD]])/LISTPROD[[#This Row],[COSTO TOTAL UNIDAD]]</f>
        <v>0.41880114199014362</v>
      </c>
      <c r="AE106" s="435">
        <f>LISTPROD[[#This Row],[% GANANCIA3]]*LISTPROD[[#This Row],[COSTO TOTAL UNIDAD]]</f>
        <v>2066.2571428571428</v>
      </c>
      <c r="AF106" s="395"/>
      <c r="AG106" s="395"/>
      <c r="AH106" s="184">
        <v>8000</v>
      </c>
      <c r="AI106" s="184">
        <v>7000</v>
      </c>
      <c r="AJ106" s="184">
        <v>7000</v>
      </c>
      <c r="AK106" s="89">
        <v>7000</v>
      </c>
      <c r="AL106" s="40" t="s">
        <v>336</v>
      </c>
      <c r="AM106" s="626" t="s">
        <v>728</v>
      </c>
      <c r="AN106" t="s">
        <v>304</v>
      </c>
    </row>
    <row r="107" spans="1:40" ht="34.9" customHeight="1" x14ac:dyDescent="0.25">
      <c r="A107" s="49" t="s">
        <v>355</v>
      </c>
      <c r="B107" s="9" t="s">
        <v>356</v>
      </c>
      <c r="C107" s="9" t="s">
        <v>527</v>
      </c>
      <c r="D107" s="240" t="s">
        <v>517</v>
      </c>
      <c r="E107" s="329" t="s">
        <v>654</v>
      </c>
      <c r="F107" s="329" t="s">
        <v>797</v>
      </c>
      <c r="G107" s="329" t="s">
        <v>508</v>
      </c>
      <c r="H107" s="645" t="s">
        <v>812</v>
      </c>
      <c r="I107" s="329" t="s">
        <v>657</v>
      </c>
      <c r="J107" s="623"/>
      <c r="K107" s="171"/>
      <c r="L107" s="538" t="s">
        <v>1145</v>
      </c>
      <c r="M107" s="538" t="s">
        <v>1145</v>
      </c>
      <c r="N107" s="187" t="s">
        <v>73</v>
      </c>
      <c r="O107" s="594">
        <f>'RECETAS CAPS'!BK51</f>
        <v>3311.81</v>
      </c>
      <c r="P107" s="588">
        <f>'Gtos Varios'!$B$22</f>
        <v>3070.542857142857</v>
      </c>
      <c r="Q107" s="510">
        <f>+LISTPROD[[#This Row],[TOTAL GASTOS VARIOS]]+LISTPROD[[#This Row],[PRECIO DE PRODUCCIÓN POR UND]]</f>
        <v>6382.3528571428569</v>
      </c>
      <c r="R107" s="591">
        <f>'RECETAS CAPS'!BK57</f>
        <v>3422.5225999999998</v>
      </c>
      <c r="S107" s="386">
        <f>'RECETAS CAPS'!BL57</f>
        <v>0.49</v>
      </c>
      <c r="T107" s="659">
        <f>'RECETAS CAPS'!BK58</f>
        <v>10407.2626</v>
      </c>
      <c r="U107" s="361">
        <v>9280.9758571428574</v>
      </c>
      <c r="V107" s="589">
        <f>(LISTPROD[[#This Row],[PRECIO DE VENTA 1]]-LISTPROD[[#This Row],[COSTO TOTAL UNIDAD]])/LISTPROD[[#This Row],[COSTO TOTAL UNIDAD]]</f>
        <v>0.45416213501200975</v>
      </c>
      <c r="W107" s="435">
        <f>LISTPROD[[#This Row],[% GANANCIA]]*LISTPROD[[#This Row],[COSTO TOTAL UNIDAD]]</f>
        <v>2898.6230000000005</v>
      </c>
      <c r="X107" s="590">
        <f>+LISTPROD[[#This Row],[PRECIO DE VENTA 1]]-LISTPROD[[#This Row],[PRECIO VENTA POR RECETA]]</f>
        <v>-1126.2867428571426</v>
      </c>
      <c r="Y107" s="432">
        <v>7000</v>
      </c>
      <c r="Z107" s="589">
        <f>(LISTPROD[[#This Row],[PRECIO DE VENTA2]]-LISTPROD[[#This Row],[COSTO TOTAL UNIDAD]])/LISTPROD[[#This Row],[COSTO TOTAL UNIDAD]]</f>
        <v>9.6774207989127198E-2</v>
      </c>
      <c r="AA107" s="435">
        <f>LISTPROD[[#This Row],[PRECIO DE VENTA2]]*LISTPROD[[#This Row],[% GANANCIA2]]</f>
        <v>677.41945592389038</v>
      </c>
      <c r="AB107" s="590">
        <f>LISTPROD[[#This Row],[PRECIO DE VENTA2]]-LISTPROD[[#This Row],[PRECIO VENTA POR RECETA]]</f>
        <v>-3407.2626</v>
      </c>
      <c r="AC107" s="432">
        <v>7000</v>
      </c>
      <c r="AD107" s="592">
        <f>(LISTPROD[[#This Row],[PRECIO DE VENTA 3]]-LISTPROD[[#This Row],[COSTO TOTAL UNIDAD]])/LISTPROD[[#This Row],[COSTO TOTAL UNIDAD]]</f>
        <v>9.6774207989127198E-2</v>
      </c>
      <c r="AE107" s="435">
        <f>LISTPROD[[#This Row],[% GANANCIA3]]*LISTPROD[[#This Row],[COSTO TOTAL UNIDAD]]</f>
        <v>617.64714285714308</v>
      </c>
      <c r="AF107" s="395"/>
      <c r="AG107" s="395"/>
      <c r="AH107" s="184">
        <v>9500</v>
      </c>
      <c r="AI107" s="184">
        <v>7000</v>
      </c>
      <c r="AJ107" s="184">
        <v>7000</v>
      </c>
      <c r="AK107" s="89">
        <v>7000</v>
      </c>
      <c r="AL107" s="40" t="s">
        <v>336</v>
      </c>
      <c r="AM107" s="626" t="s">
        <v>728</v>
      </c>
      <c r="AN107" t="s">
        <v>304</v>
      </c>
    </row>
    <row r="108" spans="1:40" ht="34.9" customHeight="1" x14ac:dyDescent="0.25">
      <c r="A108" s="44" t="s">
        <v>357</v>
      </c>
      <c r="B108" s="19" t="s">
        <v>358</v>
      </c>
      <c r="C108" s="19" t="s">
        <v>585</v>
      </c>
      <c r="D108" s="240" t="s">
        <v>517</v>
      </c>
      <c r="E108" s="329" t="s">
        <v>654</v>
      </c>
      <c r="F108" s="329" t="s">
        <v>797</v>
      </c>
      <c r="G108" s="329" t="s">
        <v>508</v>
      </c>
      <c r="H108" s="645" t="s">
        <v>812</v>
      </c>
      <c r="I108" s="329" t="s">
        <v>657</v>
      </c>
      <c r="J108" s="624"/>
      <c r="K108" s="160"/>
      <c r="L108" s="538" t="s">
        <v>1145</v>
      </c>
      <c r="M108" s="538" t="s">
        <v>1145</v>
      </c>
      <c r="N108" s="187" t="s">
        <v>73</v>
      </c>
      <c r="O108" s="594">
        <f>'RECETAS CAPS'!BY51</f>
        <v>2979.8</v>
      </c>
      <c r="P108" s="588">
        <f>'Gtos Varios'!$B$22</f>
        <v>3070.542857142857</v>
      </c>
      <c r="Q108" s="510">
        <f>+LISTPROD[[#This Row],[TOTAL GASTOS VARIOS]]+LISTPROD[[#This Row],[PRECIO DE PRODUCCIÓN POR UND]]</f>
        <v>6050.3428571428576</v>
      </c>
      <c r="R108" s="591">
        <f>'RECETAS CAPS'!BY57</f>
        <v>3392.8923</v>
      </c>
      <c r="S108" s="386">
        <f>'RECETAS CAPS'!BZ57</f>
        <v>0.51</v>
      </c>
      <c r="T108" s="659">
        <f>'RECETAS CAPS'!BY58</f>
        <v>10045.622299999999</v>
      </c>
      <c r="U108" s="361">
        <v>9136.0177142857156</v>
      </c>
      <c r="V108" s="589">
        <f>(LISTPROD[[#This Row],[PRECIO DE VENTA 1]]-LISTPROD[[#This Row],[COSTO TOTAL UNIDAD]])/LISTPROD[[#This Row],[COSTO TOTAL UNIDAD]]</f>
        <v>0.51000000000000012</v>
      </c>
      <c r="W108" s="435">
        <f>LISTPROD[[#This Row],[% GANANCIA]]*LISTPROD[[#This Row],[COSTO TOTAL UNIDAD]]</f>
        <v>3085.6748571428579</v>
      </c>
      <c r="X108" s="590">
        <f>+LISTPROD[[#This Row],[PRECIO DE VENTA 1]]-LISTPROD[[#This Row],[PRECIO VENTA POR RECETA]]</f>
        <v>-909.60458571428353</v>
      </c>
      <c r="Y108" s="432">
        <v>7000</v>
      </c>
      <c r="Z108" s="589">
        <f>(LISTPROD[[#This Row],[PRECIO DE VENTA2]]-LISTPROD[[#This Row],[COSTO TOTAL UNIDAD]])/LISTPROD[[#This Row],[COSTO TOTAL UNIDAD]]</f>
        <v>0.1569592278123553</v>
      </c>
      <c r="AA108" s="435">
        <f>LISTPROD[[#This Row],[PRECIO DE VENTA2]]*LISTPROD[[#This Row],[% GANANCIA2]]</f>
        <v>1098.7145946864871</v>
      </c>
      <c r="AB108" s="590">
        <f>LISTPROD[[#This Row],[PRECIO DE VENTA2]]-LISTPROD[[#This Row],[PRECIO VENTA POR RECETA]]</f>
        <v>-3045.6222999999991</v>
      </c>
      <c r="AC108" s="432">
        <v>7000</v>
      </c>
      <c r="AD108" s="592">
        <f>(LISTPROD[[#This Row],[PRECIO DE VENTA 3]]-LISTPROD[[#This Row],[COSTO TOTAL UNIDAD]])/LISTPROD[[#This Row],[COSTO TOTAL UNIDAD]]</f>
        <v>0.1569592278123553</v>
      </c>
      <c r="AE108" s="435">
        <f>LISTPROD[[#This Row],[% GANANCIA3]]*LISTPROD[[#This Row],[COSTO TOTAL UNIDAD]]</f>
        <v>949.6571428571425</v>
      </c>
      <c r="AF108" s="397"/>
      <c r="AG108" s="397"/>
      <c r="AH108" s="673">
        <v>8800</v>
      </c>
      <c r="AI108" s="184">
        <v>7000</v>
      </c>
      <c r="AJ108" s="184">
        <v>7000</v>
      </c>
      <c r="AK108" s="89">
        <v>7000</v>
      </c>
      <c r="AL108" s="40" t="s">
        <v>329</v>
      </c>
      <c r="AM108" s="626" t="s">
        <v>728</v>
      </c>
      <c r="AN108" t="s">
        <v>304</v>
      </c>
    </row>
    <row r="109" spans="1:40" ht="34.9" customHeight="1" x14ac:dyDescent="0.25">
      <c r="A109" s="49" t="s">
        <v>367</v>
      </c>
      <c r="B109" s="9" t="s">
        <v>383</v>
      </c>
      <c r="C109" s="9" t="s">
        <v>1125</v>
      </c>
      <c r="D109" s="240" t="s">
        <v>1057</v>
      </c>
      <c r="E109" s="329" t="s">
        <v>654</v>
      </c>
      <c r="F109" s="329" t="s">
        <v>797</v>
      </c>
      <c r="G109" s="329" t="s">
        <v>644</v>
      </c>
      <c r="H109" s="645" t="s">
        <v>815</v>
      </c>
      <c r="I109" s="329" t="s">
        <v>663</v>
      </c>
      <c r="J109" s="623"/>
      <c r="K109" s="171"/>
      <c r="L109" s="538" t="s">
        <v>1145</v>
      </c>
      <c r="M109" s="538" t="s">
        <v>1145</v>
      </c>
      <c r="N109" s="187" t="s">
        <v>73</v>
      </c>
      <c r="O109" s="594">
        <f>'RECETAS GOTAS'!AO57</f>
        <v>1921.6</v>
      </c>
      <c r="P109" s="594">
        <f>'Gtos Varios'!$B$22</f>
        <v>3070.542857142857</v>
      </c>
      <c r="Q109" s="591">
        <f>+LISTPROD[[#This Row],[TOTAL GASTOS VARIOS]]+LISTPROD[[#This Row],[PRECIO DE PRODUCCIÓN POR UND]]</f>
        <v>4992.1428571428569</v>
      </c>
      <c r="R109" s="591">
        <f>'RECETAS GOTAS'!AO62</f>
        <v>3412.6632999999997</v>
      </c>
      <c r="S109" s="386">
        <f>'RECETAS GOTAS'!AP62</f>
        <v>0.61</v>
      </c>
      <c r="T109" s="659">
        <f>'RECETAS GOTAS'!AO63</f>
        <v>9007.193299999999</v>
      </c>
      <c r="U109" s="432">
        <v>8077.5999999999995</v>
      </c>
      <c r="V109" s="589">
        <f>(LISTPROD[[#This Row],[PRECIO DE VENTA 1]]-LISTPROD[[#This Row],[COSTO TOTAL UNIDAD]])/LISTPROD[[#This Row],[COSTO TOTAL UNIDAD]]</f>
        <v>0.61806266990985836</v>
      </c>
      <c r="W109" s="435">
        <f>LISTPROD[[#This Row],[% GANANCIA]]*LISTPROD[[#This Row],[COSTO TOTAL UNIDAD]]</f>
        <v>3085.4571428571426</v>
      </c>
      <c r="X109" s="590">
        <f>+LISTPROD[[#This Row],[PRECIO DE VENTA 1]]-LISTPROD[[#This Row],[PRECIO VENTA POR RECETA]]</f>
        <v>-929.59329999999954</v>
      </c>
      <c r="Y109" s="432"/>
      <c r="Z109" s="589"/>
      <c r="AA109" s="435"/>
      <c r="AB109" s="590"/>
      <c r="AC109" s="432"/>
      <c r="AD109" s="395"/>
      <c r="AE109" s="395"/>
      <c r="AF109" s="395"/>
      <c r="AG109" s="395"/>
      <c r="AH109" s="86">
        <v>8000</v>
      </c>
      <c r="AI109" s="86"/>
      <c r="AJ109" s="86"/>
      <c r="AK109" s="87"/>
      <c r="AL109" s="90" t="s">
        <v>390</v>
      </c>
      <c r="AM109" s="626" t="s">
        <v>728</v>
      </c>
      <c r="AN109" t="s">
        <v>304</v>
      </c>
    </row>
    <row r="110" spans="1:40" ht="34.9" customHeight="1" x14ac:dyDescent="0.25">
      <c r="A110" s="49" t="s">
        <v>384</v>
      </c>
      <c r="B110" s="9" t="s">
        <v>385</v>
      </c>
      <c r="C110" s="9" t="s">
        <v>1126</v>
      </c>
      <c r="D110" s="240" t="s">
        <v>1057</v>
      </c>
      <c r="E110" s="329" t="s">
        <v>654</v>
      </c>
      <c r="F110" s="329" t="s">
        <v>797</v>
      </c>
      <c r="G110" s="329" t="s">
        <v>644</v>
      </c>
      <c r="H110" s="645" t="s">
        <v>815</v>
      </c>
      <c r="I110" s="329" t="s">
        <v>663</v>
      </c>
      <c r="J110" s="623"/>
      <c r="K110" s="171"/>
      <c r="L110" s="538" t="s">
        <v>1145</v>
      </c>
      <c r="M110" s="538" t="s">
        <v>1145</v>
      </c>
      <c r="N110" s="187" t="s">
        <v>73</v>
      </c>
      <c r="O110" s="594">
        <f>'RECETAS GOTAS'!BD57</f>
        <v>1863.2</v>
      </c>
      <c r="P110" s="594">
        <f>'Gtos Varios'!$B$22</f>
        <v>3070.542857142857</v>
      </c>
      <c r="Q110" s="591">
        <f>+LISTPROD[[#This Row],[TOTAL GASTOS VARIOS]]+LISTPROD[[#This Row],[PRECIO DE PRODUCCIÓN POR UND]]</f>
        <v>4933.7428571428572</v>
      </c>
      <c r="R110" s="591">
        <f>'RECETAS GOTAS'!BD62</f>
        <v>3009.5831428571428</v>
      </c>
      <c r="S110" s="386">
        <f>'RECETAS GOTAS'!BE62</f>
        <v>0.61</v>
      </c>
      <c r="T110" s="659">
        <f>'RECETAS GOTAS'!BD63</f>
        <v>7943.326</v>
      </c>
      <c r="U110" s="432">
        <v>7983.576</v>
      </c>
      <c r="V110" s="589">
        <f>(LISTPROD[[#This Row],[PRECIO DE VENTA 1]]-LISTPROD[[#This Row],[COSTO TOTAL UNIDAD]])/LISTPROD[[#This Row],[COSTO TOTAL UNIDAD]]</f>
        <v>0.61815810656644332</v>
      </c>
      <c r="W110" s="435">
        <f>LISTPROD[[#This Row],[% GANANCIA]]*LISTPROD[[#This Row],[COSTO TOTAL UNIDAD]]</f>
        <v>3049.8331428571428</v>
      </c>
      <c r="X110" s="590">
        <f>+LISTPROD[[#This Row],[PRECIO DE VENTA 1]]-LISTPROD[[#This Row],[PRECIO VENTA POR RECETA]]</f>
        <v>40.25</v>
      </c>
      <c r="Y110" s="432"/>
      <c r="Z110" s="589"/>
      <c r="AA110" s="435"/>
      <c r="AB110" s="590"/>
      <c r="AC110" s="432"/>
      <c r="AD110" s="395"/>
      <c r="AE110" s="395"/>
      <c r="AF110" s="395"/>
      <c r="AG110" s="395"/>
      <c r="AH110" s="86">
        <v>8000</v>
      </c>
      <c r="AI110" s="87"/>
      <c r="AJ110" s="87"/>
      <c r="AK110" s="87"/>
      <c r="AL110" s="90" t="s">
        <v>390</v>
      </c>
      <c r="AM110" s="626" t="s">
        <v>728</v>
      </c>
      <c r="AN110" s="674" t="s">
        <v>304</v>
      </c>
    </row>
    <row r="111" spans="1:40" ht="34.9" customHeight="1" x14ac:dyDescent="0.25">
      <c r="A111" s="49" t="s">
        <v>386</v>
      </c>
      <c r="B111" s="19" t="s">
        <v>387</v>
      </c>
      <c r="C111" s="19" t="s">
        <v>397</v>
      </c>
      <c r="D111" s="240" t="s">
        <v>517</v>
      </c>
      <c r="E111" s="329" t="s">
        <v>654</v>
      </c>
      <c r="F111" s="329" t="s">
        <v>797</v>
      </c>
      <c r="G111" s="329" t="s">
        <v>508</v>
      </c>
      <c r="H111" s="645" t="s">
        <v>812</v>
      </c>
      <c r="I111" s="329" t="s">
        <v>657</v>
      </c>
      <c r="J111" s="624"/>
      <c r="K111" s="160"/>
      <c r="L111" s="538" t="s">
        <v>1145</v>
      </c>
      <c r="M111" s="538" t="s">
        <v>1145</v>
      </c>
      <c r="N111" s="187" t="s">
        <v>73</v>
      </c>
      <c r="O111" s="594">
        <f>'RECETAS CAPS'!G19</f>
        <v>3229.7000000000003</v>
      </c>
      <c r="P111" s="588">
        <f>'Gtos Varios'!$B$22</f>
        <v>3070.542857142857</v>
      </c>
      <c r="Q111" s="510">
        <f>+LISTPROD[[#This Row],[TOTAL GASTOS VARIOS]]+LISTPROD[[#This Row],[PRECIO DE PRODUCCIÓN POR UND]]</f>
        <v>6300.2428571428572</v>
      </c>
      <c r="R111" s="591">
        <f>'RECETAS CAPS'!G25</f>
        <v>3382.2887000000001</v>
      </c>
      <c r="S111" s="387">
        <f>'RECETAS CAPS'!H25</f>
        <v>0.49</v>
      </c>
      <c r="T111" s="664">
        <f>'RECETAS CAPS'!G26</f>
        <v>10284.9187</v>
      </c>
      <c r="U111" s="362">
        <v>9387.3618571428578</v>
      </c>
      <c r="V111" s="589">
        <f>(LISTPROD[[#This Row],[PRECIO DE VENTA 1]]-LISTPROD[[#This Row],[COSTO TOTAL UNIDAD]])/LISTPROD[[#This Row],[COSTO TOTAL UNIDAD]]</f>
        <v>0.4900000000000001</v>
      </c>
      <c r="W111" s="435">
        <f>LISTPROD[[#This Row],[% GANANCIA]]*LISTPROD[[#This Row],[COSTO TOTAL UNIDAD]]</f>
        <v>3087.1190000000006</v>
      </c>
      <c r="X111" s="590">
        <f>+LISTPROD[[#This Row],[PRECIO DE VENTA 1]]-LISTPROD[[#This Row],[PRECIO VENTA POR RECETA]]</f>
        <v>-897.55684285714233</v>
      </c>
      <c r="Y111" s="435"/>
      <c r="Z111" s="589"/>
      <c r="AA111" s="435"/>
      <c r="AB111" s="590"/>
      <c r="AC111" s="435"/>
      <c r="AD111" s="399"/>
      <c r="AE111" s="399"/>
      <c r="AF111" s="399"/>
      <c r="AG111" s="399"/>
      <c r="AH111" s="310">
        <v>9000</v>
      </c>
      <c r="AI111" s="88">
        <v>0</v>
      </c>
      <c r="AJ111" s="88">
        <v>0</v>
      </c>
      <c r="AK111" s="88">
        <v>0</v>
      </c>
      <c r="AL111" s="90" t="s">
        <v>329</v>
      </c>
      <c r="AM111" s="626" t="s">
        <v>728</v>
      </c>
      <c r="AN111" t="s">
        <v>304</v>
      </c>
    </row>
    <row r="112" spans="1:40" ht="34.9" customHeight="1" x14ac:dyDescent="0.25">
      <c r="A112" s="49" t="s">
        <v>388</v>
      </c>
      <c r="B112" s="19" t="s">
        <v>389</v>
      </c>
      <c r="C112" s="19" t="s">
        <v>103</v>
      </c>
      <c r="D112" s="240" t="s">
        <v>517</v>
      </c>
      <c r="E112" s="329" t="s">
        <v>654</v>
      </c>
      <c r="F112" s="329" t="s">
        <v>797</v>
      </c>
      <c r="G112" s="329" t="s">
        <v>508</v>
      </c>
      <c r="H112" s="645" t="s">
        <v>812</v>
      </c>
      <c r="I112" s="329" t="s">
        <v>657</v>
      </c>
      <c r="J112" s="624"/>
      <c r="K112" s="160"/>
      <c r="L112" s="538" t="s">
        <v>1145</v>
      </c>
      <c r="M112" s="538" t="s">
        <v>1145</v>
      </c>
      <c r="N112" s="187" t="s">
        <v>73</v>
      </c>
      <c r="O112" s="594">
        <f>'RECETAS CAPS'!G83</f>
        <v>3979.4</v>
      </c>
      <c r="P112" s="588">
        <f>'Gtos Varios'!$B$22</f>
        <v>3070.542857142857</v>
      </c>
      <c r="Q112" s="510">
        <f>+LISTPROD[[#This Row],[TOTAL GASTOS VARIOS]]+LISTPROD[[#This Row],[PRECIO DE PRODUCCIÓN POR UND]]</f>
        <v>7049.9428571428571</v>
      </c>
      <c r="R112" s="591">
        <f>'RECETAS CAPS'!G89</f>
        <v>3290.5018999999998</v>
      </c>
      <c r="S112" s="387">
        <f>'RECETAS CAPS'!H89</f>
        <v>0.43</v>
      </c>
      <c r="T112" s="664">
        <f>'RECETAS CAPS'!G90</f>
        <v>10942.831899999999</v>
      </c>
      <c r="U112" s="362">
        <v>10081.418285714286</v>
      </c>
      <c r="V112" s="589">
        <f>(LISTPROD[[#This Row],[PRECIO DE VENTA 1]]-LISTPROD[[#This Row],[COSTO TOTAL UNIDAD]])/LISTPROD[[#This Row],[COSTO TOTAL UNIDAD]]</f>
        <v>0.43000000000000005</v>
      </c>
      <c r="W112" s="435">
        <f>LISTPROD[[#This Row],[% GANANCIA]]*LISTPROD[[#This Row],[COSTO TOTAL UNIDAD]]</f>
        <v>3031.4754285714289</v>
      </c>
      <c r="X112" s="590">
        <f>+LISTPROD[[#This Row],[PRECIO DE VENTA 1]]-LISTPROD[[#This Row],[PRECIO VENTA POR RECETA]]</f>
        <v>-861.41361428571327</v>
      </c>
      <c r="Y112" s="435"/>
      <c r="Z112" s="589"/>
      <c r="AA112" s="435"/>
      <c r="AB112" s="590"/>
      <c r="AC112" s="435"/>
      <c r="AD112" s="393"/>
      <c r="AE112" s="393"/>
      <c r="AF112" s="393"/>
      <c r="AG112" s="393"/>
      <c r="AH112" s="88">
        <v>9800</v>
      </c>
      <c r="AI112" s="88">
        <v>0</v>
      </c>
      <c r="AJ112" s="88">
        <v>0</v>
      </c>
      <c r="AK112" s="88">
        <v>0</v>
      </c>
      <c r="AL112" s="90" t="s">
        <v>329</v>
      </c>
      <c r="AM112" s="626" t="s">
        <v>728</v>
      </c>
      <c r="AN112" t="s">
        <v>304</v>
      </c>
    </row>
    <row r="113" spans="1:40" ht="34.9" customHeight="1" x14ac:dyDescent="0.25">
      <c r="A113" s="49" t="s">
        <v>627</v>
      </c>
      <c r="B113" s="9" t="s">
        <v>628</v>
      </c>
      <c r="C113" s="9" t="s">
        <v>1127</v>
      </c>
      <c r="D113" s="251" t="s">
        <v>517</v>
      </c>
      <c r="E113" s="332" t="s">
        <v>654</v>
      </c>
      <c r="F113" s="329" t="s">
        <v>797</v>
      </c>
      <c r="G113" s="329" t="s">
        <v>508</v>
      </c>
      <c r="H113" s="645" t="s">
        <v>812</v>
      </c>
      <c r="I113" s="329" t="s">
        <v>657</v>
      </c>
      <c r="J113" s="624"/>
      <c r="K113" s="160"/>
      <c r="L113" s="538" t="s">
        <v>1145</v>
      </c>
      <c r="M113" s="538" t="s">
        <v>1145</v>
      </c>
      <c r="N113" s="187" t="s">
        <v>73</v>
      </c>
      <c r="O113" s="594">
        <f>'RECETAS CAPS'!G114</f>
        <v>4836.2000000000007</v>
      </c>
      <c r="P113" s="588">
        <f>'Gtos Varios'!$B$22</f>
        <v>3070.542857142857</v>
      </c>
      <c r="Q113" s="510">
        <f>+LISTPROD[[#This Row],[TOTAL GASTOS VARIOS]]+LISTPROD[[#This Row],[PRECIO DE PRODUCCIÓN POR UND]]</f>
        <v>7906.7428571428572</v>
      </c>
      <c r="R113" s="591">
        <f>'RECETAS CAPS'!G120</f>
        <v>3233.4694000000004</v>
      </c>
      <c r="S113" s="387">
        <f>'RECETAS CAPS'!H120</f>
        <v>0.38</v>
      </c>
      <c r="T113" s="675">
        <f>'RECETAS CAPS'!G121</f>
        <v>11742.599400000001</v>
      </c>
      <c r="U113" s="534">
        <v>10911.305142857143</v>
      </c>
      <c r="V113" s="589">
        <f>(LISTPROD[[#This Row],[PRECIO DE VENTA 1]]-LISTPROD[[#This Row],[COSTO TOTAL UNIDAD]])/LISTPROD[[#This Row],[COSTO TOTAL UNIDAD]]</f>
        <v>0.38000000000000006</v>
      </c>
      <c r="W113" s="435">
        <f>LISTPROD[[#This Row],[% GANANCIA]]*LISTPROD[[#This Row],[COSTO TOTAL UNIDAD]]</f>
        <v>3004.5622857142862</v>
      </c>
      <c r="X113" s="590">
        <f>+LISTPROD[[#This Row],[PRECIO DE VENTA 1]]-LISTPROD[[#This Row],[PRECIO VENTA POR RECETA]]</f>
        <v>-831.29425714285753</v>
      </c>
      <c r="Y113" s="439"/>
      <c r="Z113" s="589"/>
      <c r="AA113" s="435"/>
      <c r="AB113" s="590"/>
      <c r="AC113" s="439"/>
      <c r="AD113" s="400"/>
      <c r="AE113" s="400"/>
      <c r="AF113" s="400"/>
      <c r="AG113" s="400"/>
      <c r="AH113" s="317"/>
      <c r="AI113" s="184"/>
      <c r="AJ113" s="184"/>
      <c r="AK113" s="89"/>
      <c r="AL113" s="40" t="s">
        <v>630</v>
      </c>
      <c r="AM113" s="626" t="s">
        <v>728</v>
      </c>
    </row>
    <row r="114" spans="1:40" ht="34.9" customHeight="1" x14ac:dyDescent="0.25">
      <c r="A114" s="49" t="s">
        <v>545</v>
      </c>
      <c r="B114" s="19" t="s">
        <v>546</v>
      </c>
      <c r="C114" s="160" t="s">
        <v>546</v>
      </c>
      <c r="D114" s="240" t="s">
        <v>464</v>
      </c>
      <c r="E114" s="329" t="s">
        <v>654</v>
      </c>
      <c r="F114" s="329"/>
      <c r="G114" s="329" t="s">
        <v>642</v>
      </c>
      <c r="H114" s="329"/>
      <c r="I114" s="329" t="s">
        <v>655</v>
      </c>
      <c r="J114" s="623" t="s">
        <v>487</v>
      </c>
      <c r="K114" s="160"/>
      <c r="L114" s="336"/>
      <c r="M114" s="336"/>
      <c r="N114" s="187" t="s">
        <v>74</v>
      </c>
      <c r="O114" s="588">
        <f>'RECETAS JARAB NUEVOS'!G28</f>
        <v>2086.3376455967664</v>
      </c>
      <c r="P114" s="588">
        <f>'Gtos Varios'!$B$22</f>
        <v>3070.542857142857</v>
      </c>
      <c r="Q114" s="598">
        <f>+LISTPROD[[#This Row],[PRECIO DE PRODUCCIÓN POR UND]]+LISTPROD[[#This Row],[TOTAL GASTOS VARIOS]]</f>
        <v>5156.8805027396229</v>
      </c>
      <c r="R114" s="591">
        <f>'RECETAS JARAB NUEVOS'!G33</f>
        <v>3397.9679109020922</v>
      </c>
      <c r="S114" s="387">
        <f>'RECETAS JARAB NUEVOS'!H33</f>
        <v>0.59</v>
      </c>
      <c r="T114" s="368">
        <f>'RECETAS JARAB NUEVOS'!G34</f>
        <v>9157.2355564988593</v>
      </c>
      <c r="U114" s="435">
        <v>6000</v>
      </c>
      <c r="V114" s="589">
        <f>(LISTPROD[[#This Row],[PRECIO DE VENTA 1]]-LISTPROD[[#This Row],[COSTO TOTAL UNIDAD]])/LISTPROD[[#This Row],[COSTO TOTAL UNIDAD]]</f>
        <v>0.16349409237085577</v>
      </c>
      <c r="W114" s="435">
        <f>LISTPROD[[#This Row],[% GANANCIA]]*LISTPROD[[#This Row],[COSTO TOTAL UNIDAD]]</f>
        <v>843.1194972603771</v>
      </c>
      <c r="X114" s="590">
        <f>+LISTPROD[[#This Row],[PRECIO DE VENTA 1]]-LISTPROD[[#This Row],[PRECIO VENTA POR RECETA]]</f>
        <v>-3157.2355564988593</v>
      </c>
      <c r="Y114" s="435"/>
      <c r="Z114" s="589"/>
      <c r="AA114" s="435"/>
      <c r="AB114" s="590"/>
      <c r="AC114" s="435"/>
      <c r="AD114" s="589"/>
      <c r="AE114" s="590"/>
      <c r="AF114" s="590"/>
      <c r="AG114" s="590"/>
      <c r="AH114" s="88"/>
      <c r="AI114" s="89"/>
      <c r="AJ114" s="89"/>
      <c r="AK114" s="89"/>
      <c r="AL114" s="90"/>
      <c r="AM114" s="676"/>
    </row>
    <row r="115" spans="1:40" ht="34.9" customHeight="1" x14ac:dyDescent="0.25">
      <c r="A115" s="49" t="s">
        <v>547</v>
      </c>
      <c r="B115" s="19" t="s">
        <v>548</v>
      </c>
      <c r="C115" s="160" t="s">
        <v>548</v>
      </c>
      <c r="D115" s="240" t="s">
        <v>464</v>
      </c>
      <c r="E115" s="329" t="s">
        <v>654</v>
      </c>
      <c r="F115" s="329"/>
      <c r="G115" s="329" t="s">
        <v>642</v>
      </c>
      <c r="H115" s="329"/>
      <c r="I115" s="329" t="s">
        <v>655</v>
      </c>
      <c r="J115" s="623" t="s">
        <v>487</v>
      </c>
      <c r="K115" s="160"/>
      <c r="L115" s="336"/>
      <c r="M115" s="336"/>
      <c r="N115" s="187" t="s">
        <v>74</v>
      </c>
      <c r="O115" s="588">
        <f>'RECETAS JARAB NUEVOS'!G102</f>
        <v>2144.4561122634332</v>
      </c>
      <c r="P115" s="588">
        <f>'Gtos Varios'!$B$22</f>
        <v>3070.542857142857</v>
      </c>
      <c r="Q115" s="598">
        <f>+LISTPROD[[#This Row],[PRECIO DE PRODUCCIÓN POR UND]]+LISTPROD[[#This Row],[TOTAL GASTOS VARIOS]]</f>
        <v>5214.9989694062897</v>
      </c>
      <c r="R115" s="591">
        <f>'RECETAS JARAB NUEVOS'!G107</f>
        <v>3374.0839451127913</v>
      </c>
      <c r="S115" s="387">
        <f>'RECETAS JARAB NUEVOS'!H107</f>
        <v>0.57999999999999996</v>
      </c>
      <c r="T115" s="368">
        <f>'RECETAS JARAB NUEVOS'!G108</f>
        <v>9191.4700573762238</v>
      </c>
      <c r="U115" s="435">
        <v>6000</v>
      </c>
      <c r="V115" s="589">
        <f>(LISTPROD[[#This Row],[PRECIO DE VENTA 1]]-LISTPROD[[#This Row],[COSTO TOTAL UNIDAD]])/LISTPROD[[#This Row],[COSTO TOTAL UNIDAD]]</f>
        <v>0.15052755239241783</v>
      </c>
      <c r="W115" s="435">
        <f>LISTPROD[[#This Row],[% GANANCIA]]*LISTPROD[[#This Row],[COSTO TOTAL UNIDAD]]</f>
        <v>785.00103059371031</v>
      </c>
      <c r="X115" s="590">
        <f>+LISTPROD[[#This Row],[PRECIO DE VENTA 1]]-LISTPROD[[#This Row],[PRECIO VENTA POR RECETA]]</f>
        <v>-3191.4700573762238</v>
      </c>
      <c r="Y115" s="435"/>
      <c r="Z115" s="589"/>
      <c r="AA115" s="435"/>
      <c r="AB115" s="590"/>
      <c r="AC115" s="435"/>
      <c r="AD115" s="589"/>
      <c r="AE115" s="590"/>
      <c r="AF115" s="590"/>
      <c r="AG115" s="590"/>
      <c r="AH115" s="88"/>
      <c r="AI115" s="89"/>
      <c r="AJ115" s="89"/>
      <c r="AK115" s="89"/>
      <c r="AL115" s="90"/>
      <c r="AM115" s="676"/>
    </row>
    <row r="116" spans="1:40" ht="34.9" customHeight="1" x14ac:dyDescent="0.25">
      <c r="A116" s="49" t="s">
        <v>549</v>
      </c>
      <c r="B116" s="19" t="s">
        <v>550</v>
      </c>
      <c r="C116" s="160" t="s">
        <v>550</v>
      </c>
      <c r="D116" s="240" t="s">
        <v>464</v>
      </c>
      <c r="E116" s="329" t="s">
        <v>654</v>
      </c>
      <c r="F116" s="329"/>
      <c r="G116" s="329" t="s">
        <v>642</v>
      </c>
      <c r="H116" s="329"/>
      <c r="I116" s="329" t="s">
        <v>655</v>
      </c>
      <c r="J116" s="623" t="s">
        <v>487</v>
      </c>
      <c r="K116" s="160"/>
      <c r="L116" s="336"/>
      <c r="M116" s="336"/>
      <c r="N116" s="187" t="s">
        <v>74</v>
      </c>
      <c r="O116" s="588">
        <f>'RECETAS JARAB NUEVOS'!G64</f>
        <v>2112.039560263433</v>
      </c>
      <c r="P116" s="588">
        <f>'Gtos Varios'!$B$22</f>
        <v>3070.542857142857</v>
      </c>
      <c r="Q116" s="598">
        <f>+LISTPROD[[#This Row],[PRECIO DE PRODUCCIÓN POR UND]]+LISTPROD[[#This Row],[TOTAL GASTOS VARIOS]]</f>
        <v>5182.58241740629</v>
      </c>
      <c r="R116" s="591">
        <f>'RECETAS JARAB NUEVOS'!G69</f>
        <v>3355.2823449527909</v>
      </c>
      <c r="S116" s="387">
        <f>'RECETAS JARAB NUEVOS'!H69</f>
        <v>0.57999999999999996</v>
      </c>
      <c r="T116" s="368">
        <f>'RECETAS JARAB NUEVOS'!G70</f>
        <v>9140.2519052162243</v>
      </c>
      <c r="U116" s="435">
        <v>6000</v>
      </c>
      <c r="V116" s="589">
        <f>(LISTPROD[[#This Row],[PRECIO DE VENTA 1]]-LISTPROD[[#This Row],[COSTO TOTAL UNIDAD]])/LISTPROD[[#This Row],[COSTO TOTAL UNIDAD]]</f>
        <v>0.15772399100655313</v>
      </c>
      <c r="W116" s="435">
        <f>LISTPROD[[#This Row],[% GANANCIA]]*LISTPROD[[#This Row],[COSTO TOTAL UNIDAD]]</f>
        <v>817.41758259370999</v>
      </c>
      <c r="X116" s="590">
        <f>+LISTPROD[[#This Row],[PRECIO DE VENTA 1]]-LISTPROD[[#This Row],[PRECIO VENTA POR RECETA]]</f>
        <v>-3140.2519052162243</v>
      </c>
      <c r="Y116" s="435"/>
      <c r="Z116" s="589"/>
      <c r="AA116" s="435"/>
      <c r="AB116" s="590"/>
      <c r="AC116" s="435"/>
      <c r="AD116" s="589"/>
      <c r="AE116" s="590"/>
      <c r="AF116" s="590"/>
      <c r="AG116" s="590"/>
      <c r="AH116" s="88"/>
      <c r="AI116" s="89"/>
      <c r="AJ116" s="89"/>
      <c r="AK116" s="89"/>
      <c r="AL116" s="90"/>
      <c r="AM116" s="676"/>
    </row>
    <row r="117" spans="1:40" ht="34.9" customHeight="1" x14ac:dyDescent="0.25">
      <c r="A117" s="49" t="s">
        <v>551</v>
      </c>
      <c r="B117" s="19" t="s">
        <v>552</v>
      </c>
      <c r="C117" s="160" t="s">
        <v>552</v>
      </c>
      <c r="D117" s="240" t="s">
        <v>464</v>
      </c>
      <c r="E117" s="329" t="s">
        <v>654</v>
      </c>
      <c r="F117" s="329"/>
      <c r="G117" s="329" t="s">
        <v>642</v>
      </c>
      <c r="H117" s="329"/>
      <c r="I117" s="329" t="s">
        <v>655</v>
      </c>
      <c r="J117" s="623" t="s">
        <v>487</v>
      </c>
      <c r="K117" s="160"/>
      <c r="L117" s="336"/>
      <c r="M117" s="336"/>
      <c r="N117" s="187" t="s">
        <v>74</v>
      </c>
      <c r="O117" s="588">
        <f>'RECETAS JARAB NUEVOS'!G136</f>
        <v>2104.1856622634332</v>
      </c>
      <c r="P117" s="588">
        <f>'Gtos Varios'!$B$22</f>
        <v>3070.542857142857</v>
      </c>
      <c r="Q117" s="598">
        <f>+LISTPROD[[#This Row],[PRECIO DE PRODUCCIÓN POR UND]]+LISTPROD[[#This Row],[TOTAL GASTOS VARIOS]]</f>
        <v>5174.7285194062897</v>
      </c>
      <c r="R117" s="591">
        <f>'RECETAS JARAB NUEVOS'!G141</f>
        <v>3350.7270841127911</v>
      </c>
      <c r="S117" s="387">
        <f>'RECETAS JARAB NUEVOS'!H141</f>
        <v>0.57999999999999996</v>
      </c>
      <c r="T117" s="368">
        <f>'RECETAS JARAB NUEVOS'!G142</f>
        <v>9127.8427463762237</v>
      </c>
      <c r="U117" s="435">
        <v>6000</v>
      </c>
      <c r="V117" s="589">
        <f>(LISTPROD[[#This Row],[PRECIO DE VENTA 1]]-LISTPROD[[#This Row],[COSTO TOTAL UNIDAD]])/LISTPROD[[#This Row],[COSTO TOTAL UNIDAD]]</f>
        <v>0.15948111625542741</v>
      </c>
      <c r="W117" s="435">
        <f>LISTPROD[[#This Row],[% GANANCIA]]*LISTPROD[[#This Row],[COSTO TOTAL UNIDAD]]</f>
        <v>825.27148059371018</v>
      </c>
      <c r="X117" s="590">
        <f>+LISTPROD[[#This Row],[PRECIO DE VENTA 1]]-LISTPROD[[#This Row],[PRECIO VENTA POR RECETA]]</f>
        <v>-3127.8427463762237</v>
      </c>
      <c r="Y117" s="435"/>
      <c r="Z117" s="589"/>
      <c r="AA117" s="435"/>
      <c r="AB117" s="590"/>
      <c r="AC117" s="435"/>
      <c r="AD117" s="589"/>
      <c r="AE117" s="590"/>
      <c r="AF117" s="590"/>
      <c r="AG117" s="590"/>
      <c r="AH117" s="88"/>
      <c r="AI117" s="89"/>
      <c r="AJ117" s="89"/>
      <c r="AK117" s="89"/>
      <c r="AL117" s="90"/>
      <c r="AM117" s="676"/>
    </row>
    <row r="118" spans="1:40" ht="34.9" customHeight="1" x14ac:dyDescent="0.25">
      <c r="A118" s="49" t="s">
        <v>553</v>
      </c>
      <c r="B118" s="19" t="s">
        <v>554</v>
      </c>
      <c r="C118" s="160" t="s">
        <v>554</v>
      </c>
      <c r="D118" s="240" t="s">
        <v>464</v>
      </c>
      <c r="E118" s="329" t="s">
        <v>654</v>
      </c>
      <c r="F118" s="329"/>
      <c r="G118" s="329" t="s">
        <v>642</v>
      </c>
      <c r="H118" s="329"/>
      <c r="I118" s="329" t="s">
        <v>655</v>
      </c>
      <c r="J118" s="623" t="s">
        <v>487</v>
      </c>
      <c r="K118" s="160"/>
      <c r="L118" s="336"/>
      <c r="M118" s="336"/>
      <c r="N118" s="187" t="s">
        <v>74</v>
      </c>
      <c r="O118" s="588">
        <f>'RECETAS JARAB NUEVOS'!G168</f>
        <v>2100.6247855967663</v>
      </c>
      <c r="P118" s="588">
        <f>'Gtos Varios'!$B$22</f>
        <v>3070.542857142857</v>
      </c>
      <c r="Q118" s="598">
        <f>+LISTPROD[[#This Row],[PRECIO DE PRODUCCIÓN POR UND]]+LISTPROD[[#This Row],[TOTAL GASTOS VARIOS]]</f>
        <v>5171.1676427396233</v>
      </c>
      <c r="R118" s="591">
        <f>'RECETAS JARAB NUEVOS'!G173</f>
        <v>3348.6617756461242</v>
      </c>
      <c r="S118" s="387">
        <f>'RECETAS JARAB NUEVOS'!H173</f>
        <v>0.57999999999999996</v>
      </c>
      <c r="T118" s="368">
        <f>'RECETAS JARAB NUEVOS'!G174</f>
        <v>9122.2165612428907</v>
      </c>
      <c r="U118" s="435">
        <v>6000</v>
      </c>
      <c r="V118" s="589">
        <f>(LISTPROD[[#This Row],[PRECIO DE VENTA 1]]-LISTPROD[[#This Row],[COSTO TOTAL UNIDAD]])/LISTPROD[[#This Row],[COSTO TOTAL UNIDAD]]</f>
        <v>0.16027953733506717</v>
      </c>
      <c r="W118" s="435">
        <f>LISTPROD[[#This Row],[% GANANCIA]]*LISTPROD[[#This Row],[COSTO TOTAL UNIDAD]]</f>
        <v>828.83235726037674</v>
      </c>
      <c r="X118" s="590">
        <f>+LISTPROD[[#This Row],[PRECIO DE VENTA 1]]-LISTPROD[[#This Row],[PRECIO VENTA POR RECETA]]</f>
        <v>-3122.2165612428907</v>
      </c>
      <c r="Y118" s="435"/>
      <c r="Z118" s="589"/>
      <c r="AA118" s="435"/>
      <c r="AB118" s="590"/>
      <c r="AC118" s="435"/>
      <c r="AD118" s="589"/>
      <c r="AE118" s="590"/>
      <c r="AF118" s="590"/>
      <c r="AG118" s="590"/>
      <c r="AH118" s="88"/>
      <c r="AI118" s="89"/>
      <c r="AJ118" s="89"/>
      <c r="AK118" s="89"/>
      <c r="AL118" s="90"/>
      <c r="AM118" s="676"/>
    </row>
    <row r="119" spans="1:40" s="275" customFormat="1" ht="34.9" customHeight="1" x14ac:dyDescent="0.25">
      <c r="A119" s="258" t="s">
        <v>555</v>
      </c>
      <c r="B119" s="259" t="s">
        <v>556</v>
      </c>
      <c r="C119" s="160" t="s">
        <v>556</v>
      </c>
      <c r="D119" s="558" t="s">
        <v>637</v>
      </c>
      <c r="E119" s="339" t="s">
        <v>654</v>
      </c>
      <c r="F119" s="329"/>
      <c r="G119" s="329" t="s">
        <v>642</v>
      </c>
      <c r="H119" s="329"/>
      <c r="I119" s="329" t="s">
        <v>655</v>
      </c>
      <c r="J119" s="623" t="s">
        <v>487</v>
      </c>
      <c r="K119" s="501"/>
      <c r="L119" s="587"/>
      <c r="M119" s="587"/>
      <c r="N119" s="473" t="s">
        <v>74</v>
      </c>
      <c r="O119" s="599" t="s">
        <v>667</v>
      </c>
      <c r="P119" s="603">
        <f>'Gtos Varios'!$B$22</f>
        <v>3070.542857142857</v>
      </c>
      <c r="Q119" s="613" t="e">
        <f>+LISTPROD[[#This Row],[PRECIO DE PRODUCCIÓN POR UND]]+LISTPROD[[#This Row],[TOTAL GASTOS VARIOS]]</f>
        <v>#VALUE!</v>
      </c>
      <c r="R119" s="506"/>
      <c r="S119" s="524"/>
      <c r="T119" s="535"/>
      <c r="U119" s="435">
        <v>6000</v>
      </c>
      <c r="V119" s="589" t="e">
        <f>(LISTPROD[[#This Row],[PRECIO DE VENTA 1]]-LISTPROD[[#This Row],[COSTO TOTAL UNIDAD]])/LISTPROD[[#This Row],[COSTO TOTAL UNIDAD]]</f>
        <v>#VALUE!</v>
      </c>
      <c r="W119" s="435" t="e">
        <f>LISTPROD[[#This Row],[% GANANCIA]]*LISTPROD[[#This Row],[COSTO TOTAL UNIDAD]]</f>
        <v>#VALUE!</v>
      </c>
      <c r="X119" s="602">
        <f>+LISTPROD[[#This Row],[PRECIO DE VENTA 1]]-LISTPROD[[#This Row],[PRECIO VENTA POR RECETA]]</f>
        <v>6000</v>
      </c>
      <c r="Y119" s="507"/>
      <c r="Z119" s="589"/>
      <c r="AA119" s="435"/>
      <c r="AB119" s="602"/>
      <c r="AC119" s="507"/>
      <c r="AD119" s="589"/>
      <c r="AE119" s="602"/>
      <c r="AF119" s="602"/>
      <c r="AG119" s="590"/>
      <c r="AH119" s="508"/>
      <c r="AI119" s="71"/>
      <c r="AJ119" s="71"/>
      <c r="AK119" s="71"/>
      <c r="AL119" s="367"/>
      <c r="AM119" s="632"/>
    </row>
    <row r="120" spans="1:40" ht="34.9" customHeight="1" x14ac:dyDescent="0.25">
      <c r="A120" s="49" t="s">
        <v>557</v>
      </c>
      <c r="B120" s="19" t="s">
        <v>558</v>
      </c>
      <c r="C120" s="160" t="s">
        <v>558</v>
      </c>
      <c r="D120" s="240" t="s">
        <v>464</v>
      </c>
      <c r="E120" s="329" t="s">
        <v>654</v>
      </c>
      <c r="F120" s="329"/>
      <c r="G120" s="329" t="s">
        <v>642</v>
      </c>
      <c r="H120" s="329"/>
      <c r="I120" s="329" t="s">
        <v>655</v>
      </c>
      <c r="J120" s="623" t="s">
        <v>487</v>
      </c>
      <c r="K120" s="160"/>
      <c r="L120" s="336"/>
      <c r="M120" s="336"/>
      <c r="N120" s="187" t="s">
        <v>74</v>
      </c>
      <c r="O120" s="588">
        <f>'RECETAS JARAB NUEVOS'!G238</f>
        <v>2142.8119932158143</v>
      </c>
      <c r="P120" s="588">
        <f>'Gtos Varios'!$B$22</f>
        <v>3070.542857142857</v>
      </c>
      <c r="Q120" s="598">
        <f>+LISTPROD[[#This Row],[PRECIO DE PRODUCCIÓN POR UND]]+LISTPROD[[#This Row],[TOTAL GASTOS VARIOS]]</f>
        <v>5213.3548503586717</v>
      </c>
      <c r="R120" s="591">
        <f>'RECETAS JARAB NUEVOS'!G243</f>
        <v>3373.1303560651718</v>
      </c>
      <c r="S120" s="387">
        <f>'RECETAS JARAB NUEVOS'!H243</f>
        <v>0.57999999999999996</v>
      </c>
      <c r="T120" s="368">
        <f>'RECETAS JARAB NUEVOS'!G244</f>
        <v>9188.8723492809859</v>
      </c>
      <c r="U120" s="435">
        <v>6000</v>
      </c>
      <c r="V120" s="589">
        <f>(LISTPROD[[#This Row],[PRECIO DE VENTA 1]]-LISTPROD[[#This Row],[COSTO TOTAL UNIDAD]])/LISTPROD[[#This Row],[COSTO TOTAL UNIDAD]]</f>
        <v>0.15089039058739848</v>
      </c>
      <c r="W120" s="435">
        <f>LISTPROD[[#This Row],[% GANANCIA]]*LISTPROD[[#This Row],[COSTO TOTAL UNIDAD]]</f>
        <v>786.64514964132832</v>
      </c>
      <c r="X120" s="590">
        <f>+LISTPROD[[#This Row],[PRECIO DE VENTA 1]]-LISTPROD[[#This Row],[PRECIO VENTA POR RECETA]]</f>
        <v>-3188.8723492809859</v>
      </c>
      <c r="Y120" s="435"/>
      <c r="Z120" s="589"/>
      <c r="AA120" s="435"/>
      <c r="AB120" s="590"/>
      <c r="AC120" s="435"/>
      <c r="AD120" s="589"/>
      <c r="AE120" s="590"/>
      <c r="AF120" s="590"/>
      <c r="AG120" s="590"/>
      <c r="AH120" s="88"/>
      <c r="AI120" s="89"/>
      <c r="AJ120" s="89"/>
      <c r="AK120" s="89"/>
      <c r="AL120" s="90"/>
      <c r="AM120" s="676"/>
    </row>
    <row r="121" spans="1:40" s="275" customFormat="1" ht="34.9" customHeight="1" x14ac:dyDescent="0.25">
      <c r="A121" s="258" t="s">
        <v>136</v>
      </c>
      <c r="B121" s="259" t="s">
        <v>559</v>
      </c>
      <c r="C121" s="160" t="s">
        <v>559</v>
      </c>
      <c r="D121" s="558" t="s">
        <v>637</v>
      </c>
      <c r="E121" s="339" t="s">
        <v>654</v>
      </c>
      <c r="F121" s="329"/>
      <c r="G121" s="329" t="s">
        <v>642</v>
      </c>
      <c r="H121" s="329"/>
      <c r="I121" s="329" t="s">
        <v>655</v>
      </c>
      <c r="J121" s="623" t="s">
        <v>487</v>
      </c>
      <c r="K121" s="501"/>
      <c r="L121" s="587"/>
      <c r="M121" s="587"/>
      <c r="N121" s="473" t="s">
        <v>74</v>
      </c>
      <c r="O121" s="599" t="s">
        <v>667</v>
      </c>
      <c r="P121" s="603">
        <f>'Gtos Varios'!$B$22</f>
        <v>3070.542857142857</v>
      </c>
      <c r="Q121" s="613" t="e">
        <f>+LISTPROD[[#This Row],[PRECIO DE PRODUCCIÓN POR UND]]+LISTPROD[[#This Row],[TOTAL GASTOS VARIOS]]</f>
        <v>#VALUE!</v>
      </c>
      <c r="R121" s="506"/>
      <c r="S121" s="524"/>
      <c r="T121" s="535"/>
      <c r="U121" s="435">
        <v>6000</v>
      </c>
      <c r="V121" s="589" t="e">
        <f>(LISTPROD[[#This Row],[PRECIO DE VENTA 1]]-LISTPROD[[#This Row],[COSTO TOTAL UNIDAD]])/LISTPROD[[#This Row],[COSTO TOTAL UNIDAD]]</f>
        <v>#VALUE!</v>
      </c>
      <c r="W121" s="435" t="e">
        <f>LISTPROD[[#This Row],[% GANANCIA]]*LISTPROD[[#This Row],[COSTO TOTAL UNIDAD]]</f>
        <v>#VALUE!</v>
      </c>
      <c r="X121" s="602">
        <f>+LISTPROD[[#This Row],[PRECIO DE VENTA 1]]-LISTPROD[[#This Row],[PRECIO VENTA POR RECETA]]</f>
        <v>6000</v>
      </c>
      <c r="Y121" s="507"/>
      <c r="Z121" s="589"/>
      <c r="AA121" s="435"/>
      <c r="AB121" s="602"/>
      <c r="AC121" s="507"/>
      <c r="AD121" s="589"/>
      <c r="AE121" s="602"/>
      <c r="AF121" s="602"/>
      <c r="AG121" s="590"/>
      <c r="AH121" s="508"/>
      <c r="AI121" s="71"/>
      <c r="AJ121" s="71"/>
      <c r="AK121" s="71"/>
      <c r="AL121" s="367"/>
      <c r="AM121" s="632"/>
    </row>
    <row r="122" spans="1:40" s="275" customFormat="1" ht="34.9" customHeight="1" x14ac:dyDescent="0.25">
      <c r="A122" s="258" t="s">
        <v>560</v>
      </c>
      <c r="B122" s="259" t="s">
        <v>561</v>
      </c>
      <c r="C122" s="160" t="s">
        <v>561</v>
      </c>
      <c r="D122" s="558" t="s">
        <v>637</v>
      </c>
      <c r="E122" s="339" t="s">
        <v>654</v>
      </c>
      <c r="F122" s="329"/>
      <c r="G122" s="329" t="s">
        <v>642</v>
      </c>
      <c r="H122" s="329"/>
      <c r="I122" s="329" t="s">
        <v>655</v>
      </c>
      <c r="J122" s="623" t="s">
        <v>487</v>
      </c>
      <c r="K122" s="501"/>
      <c r="L122" s="587"/>
      <c r="M122" s="587"/>
      <c r="N122" s="473" t="s">
        <v>74</v>
      </c>
      <c r="O122" s="599" t="s">
        <v>667</v>
      </c>
      <c r="P122" s="603">
        <f>'Gtos Varios'!$B$22</f>
        <v>3070.542857142857</v>
      </c>
      <c r="Q122" s="613" t="e">
        <f>+LISTPROD[[#This Row],[PRECIO DE PRODUCCIÓN POR UND]]+LISTPROD[[#This Row],[TOTAL GASTOS VARIOS]]</f>
        <v>#VALUE!</v>
      </c>
      <c r="R122" s="506"/>
      <c r="S122" s="524"/>
      <c r="T122" s="535"/>
      <c r="U122" s="435">
        <v>6000</v>
      </c>
      <c r="V122" s="589" t="e">
        <f>(LISTPROD[[#This Row],[PRECIO DE VENTA 1]]-LISTPROD[[#This Row],[COSTO TOTAL UNIDAD]])/LISTPROD[[#This Row],[COSTO TOTAL UNIDAD]]</f>
        <v>#VALUE!</v>
      </c>
      <c r="W122" s="435" t="e">
        <f>LISTPROD[[#This Row],[% GANANCIA]]*LISTPROD[[#This Row],[COSTO TOTAL UNIDAD]]</f>
        <v>#VALUE!</v>
      </c>
      <c r="X122" s="602">
        <f>+LISTPROD[[#This Row],[PRECIO DE VENTA 1]]-LISTPROD[[#This Row],[PRECIO VENTA POR RECETA]]</f>
        <v>6000</v>
      </c>
      <c r="Y122" s="507"/>
      <c r="Z122" s="589"/>
      <c r="AA122" s="435"/>
      <c r="AB122" s="602"/>
      <c r="AC122" s="507"/>
      <c r="AD122" s="589"/>
      <c r="AE122" s="602"/>
      <c r="AF122" s="602"/>
      <c r="AG122" s="590"/>
      <c r="AH122" s="508"/>
      <c r="AI122" s="71"/>
      <c r="AJ122" s="71"/>
      <c r="AK122" s="71"/>
      <c r="AL122" s="367"/>
      <c r="AM122" s="632"/>
    </row>
    <row r="123" spans="1:40" ht="34.9" customHeight="1" x14ac:dyDescent="0.25">
      <c r="A123" s="49" t="s">
        <v>538</v>
      </c>
      <c r="B123" s="19" t="s">
        <v>537</v>
      </c>
      <c r="C123" s="19" t="s">
        <v>661</v>
      </c>
      <c r="D123" s="251" t="s">
        <v>517</v>
      </c>
      <c r="E123" s="332" t="s">
        <v>654</v>
      </c>
      <c r="F123" s="329" t="s">
        <v>797</v>
      </c>
      <c r="G123" s="329" t="s">
        <v>508</v>
      </c>
      <c r="H123" s="645" t="s">
        <v>812</v>
      </c>
      <c r="I123" s="329" t="s">
        <v>657</v>
      </c>
      <c r="J123" s="624"/>
      <c r="K123" s="160"/>
      <c r="L123" s="538" t="s">
        <v>1145</v>
      </c>
      <c r="M123" s="538" t="s">
        <v>1145</v>
      </c>
      <c r="N123" s="187" t="s">
        <v>73</v>
      </c>
      <c r="O123" s="594">
        <f>'RECETAS CAPS'!U83</f>
        <v>11619.199999999999</v>
      </c>
      <c r="P123" s="588">
        <f>'Gtos Varios'!$B$22</f>
        <v>3070.542857142857</v>
      </c>
      <c r="Q123" s="510">
        <f>+LISTPROD[[#This Row],[TOTAL GASTOS VARIOS]]+LISTPROD[[#This Row],[PRECIO DE PRODUCCIÓN POR UND]]</f>
        <v>14689.742857142855</v>
      </c>
      <c r="R123" s="591">
        <f>'RECETAS CAPS'!U89</f>
        <v>3211.3472999999999</v>
      </c>
      <c r="S123" s="525">
        <f>'RECETAS CAPS'!V89</f>
        <v>0.21</v>
      </c>
      <c r="T123" s="675">
        <f>'RECETAS CAPS'!U90</f>
        <v>18503.477299999999</v>
      </c>
      <c r="U123" s="505">
        <v>17774.588857142855</v>
      </c>
      <c r="V123" s="589">
        <f>(LISTPROD[[#This Row],[PRECIO DE VENTA 1]]-LISTPROD[[#This Row],[COSTO TOTAL UNIDAD]])/LISTPROD[[#This Row],[COSTO TOTAL UNIDAD]]</f>
        <v>0.21</v>
      </c>
      <c r="W123" s="435">
        <f>LISTPROD[[#This Row],[% GANANCIA]]*LISTPROD[[#This Row],[COSTO TOTAL UNIDAD]]</f>
        <v>3084.8459999999995</v>
      </c>
      <c r="X123" s="400"/>
      <c r="Y123" s="439"/>
      <c r="Z123" s="400"/>
      <c r="AA123" s="400"/>
      <c r="AB123" s="400"/>
      <c r="AC123" s="439"/>
      <c r="AD123" s="400"/>
      <c r="AE123" s="400"/>
      <c r="AF123" s="400"/>
      <c r="AG123" s="400"/>
      <c r="AH123" s="88">
        <v>0</v>
      </c>
      <c r="AI123" s="88">
        <v>0</v>
      </c>
      <c r="AJ123" s="88">
        <v>0</v>
      </c>
      <c r="AK123" s="88">
        <v>0</v>
      </c>
      <c r="AL123" s="90"/>
      <c r="AM123" s="626" t="s">
        <v>728</v>
      </c>
      <c r="AN123" t="s">
        <v>304</v>
      </c>
    </row>
    <row r="124" spans="1:40" ht="34.9" customHeight="1" x14ac:dyDescent="0.25">
      <c r="A124" s="49" t="s">
        <v>541</v>
      </c>
      <c r="B124" s="9" t="s">
        <v>540</v>
      </c>
      <c r="C124" s="9" t="s">
        <v>1128</v>
      </c>
      <c r="D124" s="251" t="s">
        <v>517</v>
      </c>
      <c r="E124" s="332" t="s">
        <v>654</v>
      </c>
      <c r="F124" s="329" t="s">
        <v>797</v>
      </c>
      <c r="G124" s="329" t="s">
        <v>508</v>
      </c>
      <c r="H124" s="645" t="s">
        <v>812</v>
      </c>
      <c r="I124" s="329" t="s">
        <v>657</v>
      </c>
      <c r="J124" s="624"/>
      <c r="K124" s="160"/>
      <c r="L124" s="538" t="s">
        <v>1145</v>
      </c>
      <c r="M124" s="538" t="s">
        <v>1145</v>
      </c>
      <c r="N124" s="187" t="s">
        <v>73</v>
      </c>
      <c r="O124" s="594">
        <f>'RECETAS CAPS'!AI83</f>
        <v>5978.6</v>
      </c>
      <c r="P124" s="588">
        <f>'Gtos Varios'!$B$22</f>
        <v>3070.542857142857</v>
      </c>
      <c r="Q124" s="510">
        <f>+LISTPROD[[#This Row],[TOTAL GASTOS VARIOS]]+LISTPROD[[#This Row],[PRECIO DE PRODUCCIÓN POR UND]]</f>
        <v>9049.1428571428569</v>
      </c>
      <c r="R124" s="591">
        <f>'RECETAS CAPS'!AI90</f>
        <v>12933.050200000001</v>
      </c>
      <c r="S124" s="525">
        <f>'RECETAS CAPS'!AJ89</f>
        <v>0.34</v>
      </c>
      <c r="T124" s="675">
        <f>'RECETAS CAPS'!AI90</f>
        <v>12933.050200000001</v>
      </c>
      <c r="U124" s="505">
        <v>12125.851428571428</v>
      </c>
      <c r="V124" s="589">
        <f>(LISTPROD[[#This Row],[PRECIO DE VENTA 1]]-LISTPROD[[#This Row],[COSTO TOTAL UNIDAD]])/LISTPROD[[#This Row],[COSTO TOTAL UNIDAD]]</f>
        <v>0.33999999999999997</v>
      </c>
      <c r="W124" s="435">
        <f>LISTPROD[[#This Row],[% GANANCIA]]*LISTPROD[[#This Row],[COSTO TOTAL UNIDAD]]</f>
        <v>3076.7085714285708</v>
      </c>
      <c r="X124" s="400"/>
      <c r="Y124" s="439"/>
      <c r="Z124" s="400"/>
      <c r="AA124" s="400"/>
      <c r="AB124" s="400"/>
      <c r="AC124" s="439"/>
      <c r="AD124" s="400"/>
      <c r="AE124" s="400"/>
      <c r="AF124" s="400"/>
      <c r="AG124" s="400"/>
      <c r="AH124" s="88">
        <v>0</v>
      </c>
      <c r="AI124" s="88">
        <v>0</v>
      </c>
      <c r="AJ124" s="88">
        <v>0</v>
      </c>
      <c r="AK124" s="88">
        <v>0</v>
      </c>
      <c r="AL124" s="40"/>
      <c r="AM124" s="626" t="s">
        <v>728</v>
      </c>
      <c r="AN124" t="s">
        <v>304</v>
      </c>
    </row>
    <row r="125" spans="1:40" ht="34.9" customHeight="1" x14ac:dyDescent="0.25">
      <c r="A125" s="49" t="s">
        <v>586</v>
      </c>
      <c r="B125" s="9" t="s">
        <v>588</v>
      </c>
      <c r="C125" s="9" t="s">
        <v>1129</v>
      </c>
      <c r="D125" s="240" t="s">
        <v>465</v>
      </c>
      <c r="E125" s="329" t="s">
        <v>654</v>
      </c>
      <c r="F125" s="329" t="s">
        <v>797</v>
      </c>
      <c r="G125" s="329" t="s">
        <v>642</v>
      </c>
      <c r="H125" s="329" t="s">
        <v>803</v>
      </c>
      <c r="I125" s="329" t="s">
        <v>747</v>
      </c>
      <c r="J125" s="624"/>
      <c r="K125" s="160"/>
      <c r="L125" s="337" t="s">
        <v>1146</v>
      </c>
      <c r="M125" s="538" t="s">
        <v>1150</v>
      </c>
      <c r="N125" s="189" t="s">
        <v>70</v>
      </c>
      <c r="O125" s="509">
        <f>'RECETAS JARAB NUEVOS'!G267</f>
        <v>2286.8336253978873</v>
      </c>
      <c r="P125" s="588">
        <f>'Gtos Varios'!$B$22</f>
        <v>3070.542857142857</v>
      </c>
      <c r="Q125" s="598">
        <f>+LISTPROD[[#This Row],[PRECIO DE PRODUCCIÓN POR UND]]+LISTPROD[[#This Row],[TOTAL GASTOS VARIOS]]</f>
        <v>5357.3764825407443</v>
      </c>
      <c r="R125" s="510">
        <f>'RECETAS JARAB NUEVOS'!G272</f>
        <v>5184.9943540961622</v>
      </c>
      <c r="S125" s="525">
        <f>'RECETAS JARAB NUEVOS'!H272</f>
        <v>0.87</v>
      </c>
      <c r="T125" s="534">
        <f>'RECETAS JARAB NUEVOS'!G273</f>
        <v>11144.75797949405</v>
      </c>
      <c r="U125" s="505">
        <v>10000</v>
      </c>
      <c r="V125" s="589">
        <f>(LISTPROD[[#This Row],[PRECIO DE VENTA 1]]-LISTPROD[[#This Row],[COSTO TOTAL UNIDAD]])/LISTPROD[[#This Row],[COSTO TOTAL UNIDAD]]</f>
        <v>0.8665852647446356</v>
      </c>
      <c r="W125" s="435">
        <f>LISTPROD[[#This Row],[% GANANCIA]]*LISTPROD[[#This Row],[COSTO TOTAL UNIDAD]]</f>
        <v>4642.6235174592557</v>
      </c>
      <c r="X125" s="590">
        <f>+LISTPROD[[#This Row],[PRECIO DE VENTA 1]]-LISTPROD[[#This Row],[PRECIO VENTA POR RECETA]]</f>
        <v>-1144.7579794940502</v>
      </c>
      <c r="Y125" s="435"/>
      <c r="Z125" s="589"/>
      <c r="AA125" s="435"/>
      <c r="AB125" s="590"/>
      <c r="AC125" s="435"/>
      <c r="AD125" s="589"/>
      <c r="AE125" s="590"/>
      <c r="AF125" s="590"/>
      <c r="AG125" s="590"/>
      <c r="AH125" s="88"/>
      <c r="AI125" s="88"/>
      <c r="AJ125" s="88"/>
      <c r="AK125" s="88"/>
      <c r="AL125" s="40" t="s">
        <v>629</v>
      </c>
      <c r="AM125" s="626" t="s">
        <v>728</v>
      </c>
    </row>
    <row r="126" spans="1:40" ht="34.9" customHeight="1" x14ac:dyDescent="0.25">
      <c r="A126" s="49" t="s">
        <v>587</v>
      </c>
      <c r="B126" s="9" t="s">
        <v>605</v>
      </c>
      <c r="C126" s="9" t="s">
        <v>605</v>
      </c>
      <c r="D126" s="240" t="s">
        <v>589</v>
      </c>
      <c r="E126" s="329" t="s">
        <v>654</v>
      </c>
      <c r="F126" s="329" t="s">
        <v>797</v>
      </c>
      <c r="G126" s="329" t="s">
        <v>642</v>
      </c>
      <c r="H126" s="645" t="s">
        <v>805</v>
      </c>
      <c r="I126" s="329" t="s">
        <v>746</v>
      </c>
      <c r="J126" s="624"/>
      <c r="K126" s="160"/>
      <c r="L126" s="337" t="s">
        <v>1146</v>
      </c>
      <c r="M126" s="538" t="s">
        <v>1150</v>
      </c>
      <c r="N126" s="189" t="s">
        <v>70</v>
      </c>
      <c r="O126" s="509">
        <f>'RECETAS JARAB NUEVOS'!G303</f>
        <v>608.84007009549305</v>
      </c>
      <c r="P126" s="588">
        <f>'Gtos Varios'!$B$22</f>
        <v>3070.542857142857</v>
      </c>
      <c r="Q126" s="598">
        <f>+LISTPROD[[#This Row],[PRECIO DE PRODUCCIÓN POR UND]]+LISTPROD[[#This Row],[TOTAL GASTOS VARIOS]]</f>
        <v>3679.38292723835</v>
      </c>
      <c r="R126" s="510">
        <f>'RECETAS JARAB NUEVOS'!G308</f>
        <v>428.1770070095493</v>
      </c>
      <c r="S126" s="525">
        <f>'RECETAS JARAB NUEVOS'!H308</f>
        <v>0.1</v>
      </c>
      <c r="T126" s="534">
        <f>'RECETAS JARAB NUEVOS'!G309</f>
        <v>4709.9470771050419</v>
      </c>
      <c r="U126" s="505">
        <v>4000</v>
      </c>
      <c r="V126" s="589">
        <f>(LISTPROD[[#This Row],[PRECIO DE VENTA 1]]-LISTPROD[[#This Row],[COSTO TOTAL UNIDAD]])/LISTPROD[[#This Row],[COSTO TOTAL UNIDAD]]</f>
        <v>8.713881623685657E-2</v>
      </c>
      <c r="W126" s="435">
        <f>LISTPROD[[#This Row],[% GANANCIA]]*LISTPROD[[#This Row],[COSTO TOTAL UNIDAD]]</f>
        <v>320.61707276164998</v>
      </c>
      <c r="X126" s="590">
        <f>+LISTPROD[[#This Row],[PRECIO DE VENTA 1]]-LISTPROD[[#This Row],[PRECIO VENTA POR RECETA]]</f>
        <v>-709.9470771050419</v>
      </c>
      <c r="Y126" s="435"/>
      <c r="Z126" s="589"/>
      <c r="AA126" s="435"/>
      <c r="AB126" s="590"/>
      <c r="AC126" s="435"/>
      <c r="AD126" s="589"/>
      <c r="AE126" s="590"/>
      <c r="AF126" s="590"/>
      <c r="AG126" s="590"/>
      <c r="AH126" s="88"/>
      <c r="AI126" s="88"/>
      <c r="AJ126" s="88"/>
      <c r="AK126" s="88"/>
      <c r="AL126" s="40" t="s">
        <v>629</v>
      </c>
      <c r="AM126" s="626" t="s">
        <v>728</v>
      </c>
    </row>
    <row r="127" spans="1:40" ht="34.9" customHeight="1" x14ac:dyDescent="0.25">
      <c r="A127" s="49" t="s">
        <v>590</v>
      </c>
      <c r="B127" s="9" t="s">
        <v>592</v>
      </c>
      <c r="C127" s="9" t="s">
        <v>1130</v>
      </c>
      <c r="D127" s="240" t="s">
        <v>465</v>
      </c>
      <c r="E127" s="329" t="s">
        <v>654</v>
      </c>
      <c r="F127" s="329" t="s">
        <v>797</v>
      </c>
      <c r="G127" s="329" t="s">
        <v>642</v>
      </c>
      <c r="H127" s="329" t="s">
        <v>803</v>
      </c>
      <c r="I127" s="329" t="s">
        <v>747</v>
      </c>
      <c r="J127" s="624"/>
      <c r="K127" s="160"/>
      <c r="L127" s="337" t="s">
        <v>1146</v>
      </c>
      <c r="M127" s="538" t="s">
        <v>1150</v>
      </c>
      <c r="N127" s="189" t="s">
        <v>70</v>
      </c>
      <c r="O127" s="509">
        <f>'RECETAS JARAB NUEVOS'!G335</f>
        <v>1943.7617895131086</v>
      </c>
      <c r="P127" s="588">
        <f>'Gtos Varios'!$B$22</f>
        <v>3070.542857142857</v>
      </c>
      <c r="Q127" s="598">
        <f>+LISTPROD[[#This Row],[PRECIO DE PRODUCCIÓN POR UND]]+LISTPROD[[#This Row],[TOTAL GASTOS VARIOS]]</f>
        <v>5014.3046466559654</v>
      </c>
      <c r="R127" s="510">
        <f>'RECETAS JARAB NUEVOS'!G340</f>
        <v>5616.6917895131082</v>
      </c>
      <c r="S127" s="387">
        <f>'RECETAS JARAB NUEVOS'!H340</f>
        <v>1</v>
      </c>
      <c r="T127" s="534">
        <f>'RECETAS JARAB NUEVOS'!G341</f>
        <v>11233.383579026216</v>
      </c>
      <c r="U127" s="505">
        <v>10000</v>
      </c>
      <c r="V127" s="589">
        <f>(LISTPROD[[#This Row],[PRECIO DE VENTA 1]]-LISTPROD[[#This Row],[COSTO TOTAL UNIDAD]])/LISTPROD[[#This Row],[COSTO TOTAL UNIDAD]]</f>
        <v>0.99429446447155734</v>
      </c>
      <c r="W127" s="435">
        <f>LISTPROD[[#This Row],[% GANANCIA]]*LISTPROD[[#This Row],[COSTO TOTAL UNIDAD]]</f>
        <v>4985.6953533440346</v>
      </c>
      <c r="X127" s="590">
        <f>+LISTPROD[[#This Row],[PRECIO DE VENTA 1]]-LISTPROD[[#This Row],[PRECIO VENTA POR RECETA]]</f>
        <v>-1233.3835790262165</v>
      </c>
      <c r="Y127" s="435"/>
      <c r="Z127" s="589"/>
      <c r="AA127" s="435"/>
      <c r="AB127" s="590"/>
      <c r="AC127" s="435"/>
      <c r="AD127" s="589"/>
      <c r="AE127" s="590"/>
      <c r="AF127" s="590"/>
      <c r="AG127" s="590"/>
      <c r="AH127" s="317"/>
      <c r="AI127" s="184"/>
      <c r="AJ127" s="184"/>
      <c r="AK127" s="89"/>
      <c r="AL127" s="40" t="s">
        <v>629</v>
      </c>
      <c r="AM127" s="626" t="s">
        <v>728</v>
      </c>
    </row>
    <row r="128" spans="1:40" ht="34.9" customHeight="1" x14ac:dyDescent="0.25">
      <c r="A128" s="49" t="s">
        <v>591</v>
      </c>
      <c r="B128" s="9" t="s">
        <v>606</v>
      </c>
      <c r="C128" s="9" t="s">
        <v>1131</v>
      </c>
      <c r="D128" s="240" t="s">
        <v>589</v>
      </c>
      <c r="E128" s="329" t="s">
        <v>654</v>
      </c>
      <c r="F128" s="329" t="s">
        <v>797</v>
      </c>
      <c r="G128" s="329" t="s">
        <v>642</v>
      </c>
      <c r="H128" s="645" t="s">
        <v>805</v>
      </c>
      <c r="I128" s="329" t="s">
        <v>746</v>
      </c>
      <c r="J128" s="624"/>
      <c r="K128" s="160"/>
      <c r="L128" s="337" t="s">
        <v>1146</v>
      </c>
      <c r="M128" s="538" t="s">
        <v>1150</v>
      </c>
      <c r="N128" s="189" t="s">
        <v>70</v>
      </c>
      <c r="O128" s="509">
        <f>'RECETAS JARAB NUEVOS'!G366</f>
        <v>525.49758166292133</v>
      </c>
      <c r="P128" s="588">
        <f>'Gtos Varios'!$B$22</f>
        <v>3070.542857142857</v>
      </c>
      <c r="Q128" s="598">
        <f>+LISTPROD[[#This Row],[PRECIO DE PRODUCCIÓN POR UND]]+LISTPROD[[#This Row],[TOTAL GASTOS VARIOS]]</f>
        <v>3596.0404388057782</v>
      </c>
      <c r="R128" s="510">
        <f>'RECETAS JARAB NUEVOS'!G371</f>
        <v>503.81130979955054</v>
      </c>
      <c r="S128" s="387">
        <f>'RECETAS JARAB NUEVOS'!H371</f>
        <v>0.12</v>
      </c>
      <c r="T128" s="534">
        <f>'RECETAS JARAB NUEVOS'!G372</f>
        <v>4702.2388914624717</v>
      </c>
      <c r="U128" s="505">
        <v>4000</v>
      </c>
      <c r="V128" s="589">
        <f>(LISTPROD[[#This Row],[PRECIO DE VENTA 1]]-LISTPROD[[#This Row],[COSTO TOTAL UNIDAD]])/LISTPROD[[#This Row],[COSTO TOTAL UNIDAD]]</f>
        <v>0.11233454352598275</v>
      </c>
      <c r="W128" s="435">
        <f>LISTPROD[[#This Row],[% GANANCIA]]*LISTPROD[[#This Row],[COSTO TOTAL UNIDAD]]</f>
        <v>403.95956119422181</v>
      </c>
      <c r="X128" s="590">
        <f>+LISTPROD[[#This Row],[PRECIO DE VENTA 1]]-LISTPROD[[#This Row],[PRECIO VENTA POR RECETA]]</f>
        <v>-702.23889146247166</v>
      </c>
      <c r="Y128" s="435"/>
      <c r="Z128" s="589"/>
      <c r="AA128" s="435"/>
      <c r="AB128" s="590"/>
      <c r="AC128" s="435"/>
      <c r="AD128" s="589"/>
      <c r="AE128" s="590"/>
      <c r="AF128" s="590"/>
      <c r="AG128" s="590"/>
      <c r="AH128" s="317"/>
      <c r="AI128" s="184"/>
      <c r="AJ128" s="184"/>
      <c r="AK128" s="89"/>
      <c r="AL128" s="40" t="s">
        <v>629</v>
      </c>
      <c r="AM128" s="626" t="s">
        <v>728</v>
      </c>
    </row>
    <row r="129" spans="1:40" ht="34.9" customHeight="1" x14ac:dyDescent="0.25">
      <c r="A129" s="90" t="s">
        <v>1086</v>
      </c>
      <c r="B129" s="90" t="s">
        <v>1092</v>
      </c>
      <c r="C129" s="9"/>
      <c r="D129" s="240"/>
      <c r="E129" s="329"/>
      <c r="F129" s="329"/>
      <c r="G129" s="329"/>
      <c r="H129" s="329"/>
      <c r="I129" s="329"/>
      <c r="J129" s="623"/>
      <c r="K129" s="171"/>
      <c r="L129" s="654"/>
      <c r="M129" s="654"/>
      <c r="N129" s="240" t="s">
        <v>74</v>
      </c>
      <c r="O129" s="649"/>
      <c r="P129" s="588"/>
      <c r="Q129" s="598"/>
      <c r="R129" s="591"/>
      <c r="S129" s="387"/>
      <c r="T129" s="368"/>
      <c r="U129" s="435"/>
      <c r="V129" s="589" t="e">
        <f>(LISTPROD[[#This Row],[PRECIO DE VENTA 1]]-LISTPROD[[#This Row],[COSTO TOTAL UNIDAD]])/LISTPROD[[#This Row],[COSTO TOTAL UNIDAD]]</f>
        <v>#DIV/0!</v>
      </c>
      <c r="W129" s="435" t="e">
        <f>+LISTPROD[[#This Row],[PRECIO DE VENTA 1]]*LISTPROD[[#This Row],[% GANANCIA]]</f>
        <v>#DIV/0!</v>
      </c>
      <c r="X129" s="590"/>
      <c r="Y129" s="435"/>
      <c r="Z129" s="589"/>
      <c r="AA129" s="435"/>
      <c r="AB129" s="590"/>
      <c r="AC129" s="435"/>
      <c r="AD129" s="592"/>
      <c r="AE129" s="435"/>
      <c r="AF129" s="590"/>
      <c r="AG129" s="590"/>
      <c r="AH129" s="88"/>
      <c r="AI129" s="184"/>
      <c r="AJ129" s="184"/>
      <c r="AK129" s="89"/>
      <c r="AL129" s="40"/>
      <c r="AN129" s="11"/>
    </row>
    <row r="130" spans="1:40" ht="34.9" customHeight="1" x14ac:dyDescent="0.25">
      <c r="A130" s="705" t="s">
        <v>1082</v>
      </c>
      <c r="B130" s="259" t="s">
        <v>1085</v>
      </c>
      <c r="C130" s="19" t="s">
        <v>1132</v>
      </c>
      <c r="D130" s="240" t="s">
        <v>464</v>
      </c>
      <c r="E130" s="655" t="s">
        <v>1147</v>
      </c>
      <c r="F130" s="329"/>
      <c r="G130" s="329" t="s">
        <v>642</v>
      </c>
      <c r="H130" s="329"/>
      <c r="I130" s="329" t="s">
        <v>655</v>
      </c>
      <c r="J130" s="623" t="s">
        <v>714</v>
      </c>
      <c r="K130" s="171"/>
      <c r="L130" s="655" t="s">
        <v>1147</v>
      </c>
      <c r="M130" s="337" t="s">
        <v>1146</v>
      </c>
      <c r="N130" s="189" t="s">
        <v>70</v>
      </c>
      <c r="O130" s="603" t="s">
        <v>665</v>
      </c>
      <c r="P130" s="588">
        <f>'[4]Gtos Varios'!$B$22</f>
        <v>3070.542857142857</v>
      </c>
      <c r="Q130" s="598" t="e">
        <f>+[4]!LISTPROD[[#This Row],[TOTAL GASTOS VARIOS]]+[4]!LISTPROD[[#This Row],[PRECIO DE PRODUCCIÓN POR UND]]</f>
        <v>#REF!</v>
      </c>
      <c r="R130" s="417">
        <f>'RECETAS JARABES'!G2192</f>
        <v>5959.4443089300994</v>
      </c>
      <c r="S130" s="387">
        <f>'RECETAS JARABES'!H2193</f>
        <v>0.47</v>
      </c>
      <c r="T130" s="368">
        <f>'RECETAS JARABES'!G2194</f>
        <v>8760.3831341272453</v>
      </c>
      <c r="U130" s="435"/>
      <c r="V130" s="589"/>
      <c r="W130" s="435"/>
      <c r="X130" s="590"/>
      <c r="Y130" s="435">
        <v>7000</v>
      </c>
      <c r="Z130" s="589" t="e">
        <f>(LISTPROD[[#This Row],[PRECIO DE VENTA2]]-LISTPROD[[#This Row],[COSTO TOTAL UNIDAD]])/LISTPROD[[#This Row],[COSTO TOTAL UNIDAD]]</f>
        <v>#REF!</v>
      </c>
      <c r="AA130" s="435" t="e">
        <f>+[4]!LISTPROD[[#This Row],[% GANANCIA2]]*[4]!LISTPROD[[#This Row],[COSTO TOTAL UNIDAD]]</f>
        <v>#REF!</v>
      </c>
      <c r="AB130" s="590">
        <f>LISTPROD[[#This Row],[PRECIO DE VENTA2]]-LISTPROD[[#This Row],[PRECIO VENTA POR RECETA]]</f>
        <v>-1760.3831341272453</v>
      </c>
      <c r="AC130" s="435">
        <v>7000</v>
      </c>
      <c r="AD130" s="592" t="e">
        <f>(LISTPROD[[#This Row],[PRECIO DE VENTA 3]]-LISTPROD[[#This Row],[COSTO TOTAL UNIDAD]])/LISTPROD[[#This Row],[COSTO TOTAL UNIDAD]]</f>
        <v>#REF!</v>
      </c>
      <c r="AE130" s="435" t="e">
        <f>LISTPROD[[#This Row],[% GANANCIA3]]*LISTPROD[[#This Row],[COSTO TOTAL UNIDAD]]</f>
        <v>#REF!</v>
      </c>
      <c r="AF130" s="590"/>
      <c r="AG130" s="590"/>
      <c r="AH130" s="309">
        <v>0</v>
      </c>
      <c r="AI130" s="67">
        <v>7000</v>
      </c>
      <c r="AJ130" s="67">
        <v>7000</v>
      </c>
      <c r="AK130" s="68">
        <v>7000</v>
      </c>
      <c r="AL130" s="48"/>
      <c r="AM130" s="628"/>
      <c r="AN130" s="12" t="s">
        <v>305</v>
      </c>
    </row>
    <row r="131" spans="1:40" ht="34.9" customHeight="1" x14ac:dyDescent="0.25">
      <c r="A131" s="705" t="s">
        <v>1141</v>
      </c>
      <c r="B131" s="9"/>
      <c r="C131" s="19" t="s">
        <v>1133</v>
      </c>
      <c r="D131" s="240" t="s">
        <v>465</v>
      </c>
      <c r="E131" s="329" t="s">
        <v>654</v>
      </c>
      <c r="F131" s="332" t="s">
        <v>797</v>
      </c>
      <c r="G131" s="329" t="s">
        <v>642</v>
      </c>
      <c r="H131" s="329" t="s">
        <v>803</v>
      </c>
      <c r="I131" s="329" t="s">
        <v>747</v>
      </c>
      <c r="J131" s="624"/>
      <c r="K131" s="160"/>
      <c r="L131" s="329" t="s">
        <v>1145</v>
      </c>
      <c r="M131" s="337"/>
      <c r="N131" s="189" t="s">
        <v>73</v>
      </c>
      <c r="O131" s="603" t="s">
        <v>667</v>
      </c>
      <c r="P131" s="189"/>
      <c r="Q131" s="610"/>
      <c r="R131" s="588"/>
      <c r="S131" s="598"/>
      <c r="T131" s="417"/>
      <c r="U131" s="368">
        <v>7500</v>
      </c>
      <c r="V131" s="368"/>
      <c r="W131" s="435"/>
      <c r="X131" s="589"/>
      <c r="Y131" s="435"/>
      <c r="Z131" s="590"/>
      <c r="AA131" s="435"/>
      <c r="AB131" s="590"/>
      <c r="AC131" s="435"/>
      <c r="AD131" s="589"/>
      <c r="AE131" s="590"/>
      <c r="AF131" s="590"/>
      <c r="AG131" s="590"/>
      <c r="AH131" s="317"/>
      <c r="AI131" s="184"/>
      <c r="AJ131" s="184"/>
      <c r="AK131" s="89"/>
      <c r="AL131" s="40"/>
    </row>
    <row r="132" spans="1:40" ht="34.9" customHeight="1" x14ac:dyDescent="0.25">
      <c r="A132" s="9" t="s">
        <v>1142</v>
      </c>
      <c r="B132" s="9"/>
      <c r="C132" s="19" t="s">
        <v>1134</v>
      </c>
      <c r="D132" s="240" t="s">
        <v>1140</v>
      </c>
      <c r="E132" s="329"/>
      <c r="F132" s="332"/>
      <c r="G132" s="329"/>
      <c r="H132" s="329"/>
      <c r="I132" s="329"/>
      <c r="J132" s="624"/>
      <c r="K132" s="160"/>
      <c r="L132" s="337" t="s">
        <v>1146</v>
      </c>
      <c r="M132" s="189"/>
      <c r="N132" s="189" t="s">
        <v>70</v>
      </c>
      <c r="O132" s="603" t="s">
        <v>667</v>
      </c>
      <c r="P132" s="189"/>
      <c r="Q132" s="588"/>
      <c r="R132" s="588"/>
      <c r="S132" s="598"/>
      <c r="T132" s="417"/>
      <c r="U132" s="368">
        <v>14000</v>
      </c>
      <c r="V132" s="368"/>
      <c r="W132" s="435"/>
      <c r="X132" s="589"/>
      <c r="Y132" s="435"/>
      <c r="Z132" s="590"/>
      <c r="AA132" s="435"/>
      <c r="AB132" s="590"/>
      <c r="AC132" s="435"/>
      <c r="AD132" s="589"/>
      <c r="AE132" s="590"/>
      <c r="AF132" s="590"/>
      <c r="AG132" s="590"/>
      <c r="AH132" s="317"/>
      <c r="AI132" s="184"/>
      <c r="AJ132" s="184"/>
      <c r="AK132" s="89"/>
      <c r="AL132" s="40"/>
    </row>
    <row r="133" spans="1:40" ht="34.9" customHeight="1" x14ac:dyDescent="0.25">
      <c r="A133" s="19" t="s">
        <v>1143</v>
      </c>
      <c r="B133" s="9"/>
      <c r="C133" s="19" t="s">
        <v>1135</v>
      </c>
      <c r="D133" s="251" t="s">
        <v>465</v>
      </c>
      <c r="E133" s="329" t="s">
        <v>654</v>
      </c>
      <c r="F133" s="332"/>
      <c r="G133" s="329"/>
      <c r="H133" s="329"/>
      <c r="I133" s="329"/>
      <c r="J133" s="624"/>
      <c r="K133" s="160"/>
      <c r="L133" s="337"/>
      <c r="M133" s="337"/>
      <c r="N133" s="251" t="s">
        <v>74</v>
      </c>
      <c r="O133" s="603" t="s">
        <v>667</v>
      </c>
      <c r="P133" s="372"/>
      <c r="Q133" s="588"/>
      <c r="R133" s="588"/>
      <c r="S133" s="598"/>
      <c r="T133" s="417"/>
      <c r="U133" s="651">
        <v>9000</v>
      </c>
      <c r="V133" s="651"/>
      <c r="W133" s="652"/>
      <c r="X133" s="589"/>
      <c r="Y133" s="435"/>
      <c r="Z133" s="653"/>
      <c r="AA133" s="652"/>
      <c r="AB133" s="590"/>
      <c r="AC133" s="435"/>
      <c r="AD133" s="589"/>
      <c r="AE133" s="590"/>
      <c r="AF133" s="590"/>
      <c r="AG133" s="590"/>
      <c r="AH133" s="317"/>
      <c r="AI133" s="184"/>
      <c r="AJ133" s="184"/>
      <c r="AK133" s="89"/>
      <c r="AL133" s="40"/>
    </row>
    <row r="134" spans="1:40" ht="34.9" customHeight="1" x14ac:dyDescent="0.25">
      <c r="A134" s="19" t="s">
        <v>1144</v>
      </c>
      <c r="B134" s="9"/>
      <c r="C134" s="19" t="s">
        <v>1136</v>
      </c>
      <c r="D134" s="240" t="s">
        <v>464</v>
      </c>
      <c r="E134" s="329"/>
      <c r="F134" s="332"/>
      <c r="G134" s="329" t="s">
        <v>642</v>
      </c>
      <c r="H134" s="329"/>
      <c r="I134" s="329" t="s">
        <v>655</v>
      </c>
      <c r="J134" s="624"/>
      <c r="K134" s="160"/>
      <c r="L134" s="538" t="s">
        <v>1145</v>
      </c>
      <c r="M134" s="337"/>
      <c r="N134" s="187" t="s">
        <v>73</v>
      </c>
      <c r="O134" s="603" t="s">
        <v>667</v>
      </c>
      <c r="P134" s="187"/>
      <c r="Q134" s="588"/>
      <c r="R134" s="588"/>
      <c r="S134" s="598"/>
      <c r="T134" s="591"/>
      <c r="U134" s="386"/>
      <c r="V134" s="651"/>
      <c r="W134" s="652"/>
      <c r="X134" s="589"/>
      <c r="Y134" s="435">
        <v>7500</v>
      </c>
      <c r="Z134" s="653"/>
      <c r="AA134" s="652"/>
      <c r="AB134" s="590"/>
      <c r="AC134" s="435"/>
      <c r="AD134" s="589"/>
      <c r="AE134" s="590"/>
      <c r="AF134" s="590"/>
      <c r="AG134" s="590"/>
      <c r="AH134" s="317"/>
      <c r="AI134" s="184"/>
      <c r="AJ134" s="184"/>
      <c r="AK134" s="89"/>
      <c r="AL134" s="40"/>
    </row>
    <row r="135" spans="1:40" ht="40.9" customHeight="1" x14ac:dyDescent="0.25">
      <c r="A135" s="49" t="s">
        <v>1151</v>
      </c>
      <c r="B135" s="382" t="s">
        <v>1093</v>
      </c>
      <c r="C135" s="19"/>
      <c r="D135" s="549" t="s">
        <v>1152</v>
      </c>
      <c r="E135" s="332"/>
      <c r="F135" s="332"/>
      <c r="G135" s="329" t="s">
        <v>508</v>
      </c>
      <c r="H135" s="329"/>
      <c r="I135" s="329"/>
      <c r="J135" s="624"/>
      <c r="K135" s="337"/>
      <c r="L135" s="635"/>
      <c r="M135" s="635"/>
      <c r="N135" s="473"/>
      <c r="O135" s="603" t="s">
        <v>667</v>
      </c>
      <c r="P135" s="649"/>
      <c r="Q135" s="650"/>
      <c r="R135" s="510"/>
      <c r="S135" s="387"/>
      <c r="T135" s="534"/>
      <c r="U135" s="505"/>
      <c r="V135" s="589"/>
      <c r="W135" s="435"/>
      <c r="X135" s="590"/>
      <c r="Y135" s="435"/>
      <c r="Z135" s="589"/>
      <c r="AA135" s="435"/>
      <c r="AB135" s="590"/>
      <c r="AC135" s="435"/>
      <c r="AD135" s="589"/>
      <c r="AE135" s="590"/>
      <c r="AF135" s="590"/>
      <c r="AG135" s="590"/>
      <c r="AH135" s="317"/>
      <c r="AI135" s="184"/>
      <c r="AJ135" s="184"/>
      <c r="AK135" s="89"/>
      <c r="AL135" s="40"/>
    </row>
    <row r="136" spans="1:40" ht="39" customHeight="1" x14ac:dyDescent="0.25">
      <c r="A136" s="49" t="s">
        <v>1156</v>
      </c>
      <c r="B136" s="382" t="s">
        <v>1153</v>
      </c>
      <c r="C136" s="19"/>
      <c r="D136" s="549" t="s">
        <v>1152</v>
      </c>
      <c r="E136" s="332"/>
      <c r="F136" s="332"/>
      <c r="G136" s="329" t="s">
        <v>508</v>
      </c>
      <c r="H136" s="329"/>
      <c r="I136" s="329"/>
      <c r="J136" s="624"/>
      <c r="K136" s="337"/>
      <c r="L136" s="635"/>
      <c r="M136" s="635"/>
      <c r="N136" s="473"/>
      <c r="O136" s="603" t="s">
        <v>667</v>
      </c>
      <c r="P136" s="649"/>
      <c r="Q136" s="650"/>
      <c r="R136" s="510"/>
      <c r="S136" s="387"/>
      <c r="T136" s="534"/>
      <c r="U136" s="505"/>
      <c r="V136" s="589"/>
      <c r="W136" s="435"/>
      <c r="X136" s="590"/>
      <c r="Y136" s="435"/>
      <c r="Z136" s="589"/>
      <c r="AA136" s="435"/>
      <c r="AB136" s="590"/>
      <c r="AC136" s="435"/>
      <c r="AD136" s="589"/>
      <c r="AE136" s="590"/>
      <c r="AF136" s="590"/>
      <c r="AG136" s="590"/>
      <c r="AH136" s="317"/>
      <c r="AI136" s="184"/>
      <c r="AJ136" s="184"/>
      <c r="AK136" s="89"/>
      <c r="AL136" s="40"/>
    </row>
    <row r="137" spans="1:40" ht="39" customHeight="1" x14ac:dyDescent="0.25">
      <c r="A137" s="49" t="s">
        <v>1155</v>
      </c>
      <c r="B137" s="382" t="s">
        <v>1154</v>
      </c>
      <c r="C137" s="19"/>
      <c r="D137" s="549" t="s">
        <v>1152</v>
      </c>
      <c r="E137" s="332"/>
      <c r="F137" s="332"/>
      <c r="G137" s="329" t="s">
        <v>508</v>
      </c>
      <c r="H137" s="329"/>
      <c r="I137" s="329"/>
      <c r="J137" s="624"/>
      <c r="K137" s="337"/>
      <c r="L137" s="635"/>
      <c r="M137" s="635"/>
      <c r="N137" s="473"/>
      <c r="O137" s="603" t="s">
        <v>667</v>
      </c>
      <c r="P137" s="649"/>
      <c r="Q137" s="650"/>
      <c r="R137" s="510"/>
      <c r="S137" s="387"/>
      <c r="T137" s="534"/>
      <c r="U137" s="505"/>
      <c r="V137" s="589"/>
      <c r="W137" s="435"/>
      <c r="X137" s="590"/>
      <c r="Y137" s="435"/>
      <c r="Z137" s="589"/>
      <c r="AA137" s="435"/>
      <c r="AB137" s="590"/>
      <c r="AC137" s="435"/>
      <c r="AD137" s="589"/>
      <c r="AE137" s="590"/>
      <c r="AF137" s="590"/>
      <c r="AG137" s="590"/>
      <c r="AH137" s="317"/>
      <c r="AI137" s="184"/>
      <c r="AJ137" s="184"/>
      <c r="AK137" s="89"/>
      <c r="AL137" s="40"/>
    </row>
    <row r="138" spans="1:40" ht="39" customHeight="1" x14ac:dyDescent="0.25">
      <c r="A138" s="49"/>
      <c r="B138" s="9"/>
      <c r="C138" s="9"/>
      <c r="D138" s="251"/>
      <c r="E138" s="329"/>
      <c r="F138" s="332"/>
      <c r="G138" s="329"/>
      <c r="H138" s="329"/>
      <c r="I138" s="329"/>
      <c r="J138" s="624"/>
      <c r="K138" s="160"/>
      <c r="L138" s="160"/>
      <c r="M138" s="160"/>
      <c r="N138" s="187"/>
      <c r="O138" s="671"/>
      <c r="P138" s="671"/>
      <c r="Q138" s="510"/>
      <c r="R138" s="510"/>
      <c r="S138" s="608"/>
      <c r="T138" s="534"/>
      <c r="U138" s="505"/>
      <c r="V138" s="1040"/>
      <c r="W138" s="439"/>
      <c r="X138" s="400"/>
      <c r="Y138" s="435"/>
      <c r="Z138" s="590"/>
      <c r="AA138" s="590"/>
      <c r="AB138" s="590"/>
      <c r="AC138" s="435"/>
      <c r="AD138" s="590"/>
      <c r="AE138" s="590"/>
      <c r="AF138" s="590"/>
      <c r="AG138" s="590"/>
      <c r="AH138" s="317"/>
      <c r="AI138" s="184"/>
      <c r="AJ138" s="184"/>
      <c r="AK138" s="89"/>
      <c r="AL138" s="1041"/>
    </row>
    <row r="139" spans="1:40" ht="39" customHeight="1" x14ac:dyDescent="0.25">
      <c r="A139" s="49"/>
      <c r="B139" s="9"/>
      <c r="C139" s="9"/>
      <c r="D139" s="251"/>
      <c r="E139" s="329"/>
      <c r="F139" s="332"/>
      <c r="G139" s="329"/>
      <c r="H139" s="329"/>
      <c r="I139" s="329"/>
      <c r="J139" s="624"/>
      <c r="K139" s="160"/>
      <c r="L139" s="160"/>
      <c r="M139" s="160"/>
      <c r="N139" s="187"/>
      <c r="O139" s="671"/>
      <c r="P139" s="671"/>
      <c r="Q139" s="510"/>
      <c r="R139" s="510"/>
      <c r="S139" s="608"/>
      <c r="T139" s="534"/>
      <c r="U139" s="505"/>
      <c r="V139" s="1040"/>
      <c r="W139" s="439"/>
      <c r="X139" s="400"/>
      <c r="Y139" s="435"/>
      <c r="Z139" s="590"/>
      <c r="AA139" s="590"/>
      <c r="AB139" s="590"/>
      <c r="AC139" s="435"/>
      <c r="AD139" s="590"/>
      <c r="AE139" s="590"/>
      <c r="AF139" s="590"/>
      <c r="AG139" s="590"/>
      <c r="AH139" s="317"/>
      <c r="AI139" s="184"/>
      <c r="AJ139" s="184"/>
      <c r="AK139" s="89"/>
      <c r="AL139" s="1041"/>
    </row>
    <row r="140" spans="1:40" ht="39" customHeight="1" x14ac:dyDescent="0.25">
      <c r="A140" s="49"/>
      <c r="B140" s="9"/>
      <c r="C140" s="9"/>
      <c r="D140" s="251"/>
      <c r="E140" s="329"/>
      <c r="F140" s="332"/>
      <c r="G140" s="329"/>
      <c r="H140" s="329"/>
      <c r="I140" s="329"/>
      <c r="J140" s="624"/>
      <c r="K140" s="160"/>
      <c r="L140" s="160"/>
      <c r="M140" s="160"/>
      <c r="N140" s="187"/>
      <c r="O140" s="671"/>
      <c r="P140" s="671"/>
      <c r="Q140" s="510"/>
      <c r="R140" s="510"/>
      <c r="S140" s="608"/>
      <c r="T140" s="534"/>
      <c r="U140" s="505"/>
      <c r="V140" s="1040"/>
      <c r="W140" s="439"/>
      <c r="X140" s="400"/>
      <c r="Y140" s="435"/>
      <c r="Z140" s="590"/>
      <c r="AA140" s="590"/>
      <c r="AB140" s="590"/>
      <c r="AC140" s="435"/>
      <c r="AD140" s="590"/>
      <c r="AE140" s="590"/>
      <c r="AF140" s="590"/>
      <c r="AG140" s="590"/>
      <c r="AH140" s="317"/>
      <c r="AI140" s="184"/>
      <c r="AJ140" s="184"/>
      <c r="AK140" s="89"/>
      <c r="AL140" s="1041"/>
    </row>
    <row r="141" spans="1:40" ht="39" customHeight="1" x14ac:dyDescent="0.25">
      <c r="A141" s="49"/>
      <c r="B141" s="9"/>
      <c r="C141" s="9"/>
      <c r="D141" s="251"/>
      <c r="E141" s="329"/>
      <c r="F141" s="332"/>
      <c r="G141" s="329"/>
      <c r="H141" s="329"/>
      <c r="I141" s="329"/>
      <c r="J141" s="624"/>
      <c r="K141" s="160"/>
      <c r="L141" s="160"/>
      <c r="M141" s="160"/>
      <c r="N141" s="187"/>
      <c r="O141" s="671"/>
      <c r="P141" s="671"/>
      <c r="Q141" s="510"/>
      <c r="R141" s="510"/>
      <c r="S141" s="608"/>
      <c r="T141" s="534"/>
      <c r="U141" s="505"/>
      <c r="V141" s="1040"/>
      <c r="W141" s="439"/>
      <c r="X141" s="400"/>
      <c r="Y141" s="435"/>
      <c r="Z141" s="590"/>
      <c r="AA141" s="590"/>
      <c r="AB141" s="590"/>
      <c r="AC141" s="435"/>
      <c r="AD141" s="590"/>
      <c r="AE141" s="590"/>
      <c r="AF141" s="590"/>
      <c r="AG141" s="590"/>
      <c r="AH141" s="317"/>
      <c r="AI141" s="184"/>
      <c r="AJ141" s="184"/>
      <c r="AK141" s="89"/>
      <c r="AL141" s="1041"/>
    </row>
    <row r="142" spans="1:40" ht="39" customHeight="1" x14ac:dyDescent="0.25">
      <c r="A142" s="49"/>
      <c r="B142" s="9"/>
      <c r="C142" s="9"/>
      <c r="D142" s="251"/>
      <c r="E142" s="329"/>
      <c r="F142" s="332"/>
      <c r="G142" s="329"/>
      <c r="H142" s="329"/>
      <c r="I142" s="329"/>
      <c r="J142" s="624"/>
      <c r="K142" s="160"/>
      <c r="L142" s="160"/>
      <c r="M142" s="160"/>
      <c r="N142" s="187"/>
      <c r="O142" s="671"/>
      <c r="P142" s="671"/>
      <c r="Q142" s="510"/>
      <c r="R142" s="510"/>
      <c r="S142" s="608"/>
      <c r="T142" s="534"/>
      <c r="U142" s="505"/>
      <c r="V142" s="1040"/>
      <c r="W142" s="439"/>
      <c r="X142" s="400"/>
      <c r="Y142" s="435"/>
      <c r="Z142" s="590"/>
      <c r="AA142" s="590"/>
      <c r="AB142" s="590"/>
      <c r="AC142" s="435"/>
      <c r="AD142" s="590"/>
      <c r="AE142" s="590"/>
      <c r="AF142" s="590"/>
      <c r="AG142" s="590"/>
      <c r="AH142" s="317"/>
      <c r="AI142" s="184"/>
      <c r="AJ142" s="184"/>
      <c r="AK142" s="89"/>
      <c r="AL142" s="1041"/>
    </row>
    <row r="143" spans="1:40" ht="39" customHeight="1" x14ac:dyDescent="0.25">
      <c r="A143" s="49"/>
      <c r="B143" s="9"/>
      <c r="C143" s="9"/>
      <c r="D143" s="251"/>
      <c r="E143" s="329"/>
      <c r="F143" s="332"/>
      <c r="G143" s="329"/>
      <c r="H143" s="329"/>
      <c r="I143" s="329"/>
      <c r="J143" s="624"/>
      <c r="K143" s="160"/>
      <c r="L143" s="160"/>
      <c r="M143" s="160"/>
      <c r="N143" s="187"/>
      <c r="O143" s="671"/>
      <c r="P143" s="671"/>
      <c r="Q143" s="510"/>
      <c r="R143" s="510"/>
      <c r="S143" s="608"/>
      <c r="T143" s="534"/>
      <c r="U143" s="505"/>
      <c r="V143" s="1040"/>
      <c r="W143" s="439"/>
      <c r="X143" s="400"/>
      <c r="Y143" s="435"/>
      <c r="Z143" s="590"/>
      <c r="AA143" s="590"/>
      <c r="AB143" s="590"/>
      <c r="AC143" s="435"/>
      <c r="AD143" s="590"/>
      <c r="AE143" s="590"/>
      <c r="AF143" s="590"/>
      <c r="AG143" s="590"/>
      <c r="AH143" s="317"/>
      <c r="AI143" s="184"/>
      <c r="AJ143" s="184"/>
      <c r="AK143" s="89"/>
      <c r="AL143" s="1041"/>
    </row>
    <row r="144" spans="1:40" ht="39" customHeight="1" x14ac:dyDescent="0.25">
      <c r="A144" s="49"/>
      <c r="B144" s="9"/>
      <c r="C144" s="19"/>
      <c r="D144" s="240"/>
      <c r="E144" s="332"/>
      <c r="F144" s="332"/>
      <c r="G144" s="329"/>
      <c r="H144" s="329"/>
      <c r="I144" s="329"/>
      <c r="J144" s="624"/>
      <c r="K144" s="337"/>
      <c r="L144" s="337"/>
      <c r="M144" s="337"/>
      <c r="N144" s="187"/>
      <c r="O144" s="649"/>
      <c r="P144" s="649"/>
      <c r="Q144" s="650"/>
      <c r="R144" s="510"/>
      <c r="S144" s="387"/>
      <c r="T144" s="534"/>
      <c r="U144" s="505"/>
      <c r="V144" s="589"/>
      <c r="W144" s="435"/>
      <c r="X144" s="590"/>
      <c r="Y144" s="435"/>
      <c r="Z144" s="589"/>
      <c r="AA144" s="435"/>
      <c r="AB144" s="590"/>
      <c r="AC144" s="435"/>
      <c r="AD144" s="589"/>
      <c r="AE144" s="590"/>
      <c r="AF144" s="590"/>
      <c r="AG144" s="590"/>
      <c r="AH144" s="317"/>
      <c r="AI144" s="184"/>
      <c r="AJ144" s="184"/>
      <c r="AK144" s="89"/>
      <c r="AL144" s="40"/>
    </row>
    <row r="145" spans="1:38" ht="48" customHeight="1" x14ac:dyDescent="0.25">
      <c r="A145" s="49"/>
      <c r="B145" s="9"/>
      <c r="C145" s="9"/>
      <c r="D145" s="251"/>
      <c r="E145" s="332"/>
      <c r="F145" s="332"/>
      <c r="G145" s="329"/>
      <c r="H145" s="329"/>
      <c r="I145" s="332"/>
      <c r="J145" s="624"/>
      <c r="K145" s="160"/>
      <c r="L145" s="160"/>
      <c r="M145" s="160"/>
      <c r="N145" s="187"/>
      <c r="O145" s="594"/>
      <c r="P145" s="649"/>
      <c r="Q145" s="650"/>
      <c r="R145" s="591"/>
      <c r="S145" s="387"/>
      <c r="T145" s="534"/>
      <c r="U145" s="505"/>
      <c r="V145" s="589"/>
      <c r="W145" s="435"/>
      <c r="X145" s="590"/>
      <c r="Y145" s="435"/>
      <c r="Z145" s="589"/>
      <c r="AA145" s="435"/>
      <c r="AB145" s="590"/>
      <c r="AC145" s="435"/>
      <c r="AD145" s="589"/>
      <c r="AE145" s="590"/>
      <c r="AF145" s="590"/>
      <c r="AG145" s="590"/>
      <c r="AH145" s="317"/>
      <c r="AI145" s="184"/>
      <c r="AJ145" s="184"/>
      <c r="AK145" s="89"/>
      <c r="AL145" s="40"/>
    </row>
    <row r="147" spans="1:38" x14ac:dyDescent="0.25">
      <c r="V147" s="537"/>
    </row>
    <row r="148" spans="1:38" x14ac:dyDescent="0.25">
      <c r="U148" s="536"/>
      <c r="V148" s="537"/>
    </row>
    <row r="149" spans="1:38" x14ac:dyDescent="0.25">
      <c r="V149" s="537"/>
    </row>
  </sheetData>
  <mergeCells count="9">
    <mergeCell ref="AH5:AK5"/>
    <mergeCell ref="A2:B2"/>
    <mergeCell ref="U5:X5"/>
    <mergeCell ref="U4:X4"/>
    <mergeCell ref="Y4:AB4"/>
    <mergeCell ref="Y5:AB5"/>
    <mergeCell ref="AC4:AF4"/>
    <mergeCell ref="AC5:AF5"/>
    <mergeCell ref="E5:I5"/>
  </mergeCells>
  <phoneticPr fontId="39" type="noConversion"/>
  <conditionalFormatting sqref="A16:B30">
    <cfRule type="expression" dxfId="156" priority="206" stopIfTrue="1">
      <formula>ROW()=CELL(¨FILA¨)</formula>
    </cfRule>
  </conditionalFormatting>
  <conditionalFormatting sqref="A47:B71">
    <cfRule type="expression" dxfId="155" priority="534" stopIfTrue="1">
      <formula>ROW()=CELL(¨FILA¨)</formula>
    </cfRule>
  </conditionalFormatting>
  <conditionalFormatting sqref="A76:B76">
    <cfRule type="expression" dxfId="154" priority="467" stopIfTrue="1">
      <formula>ROW()=CELL(¨FILA¨)</formula>
    </cfRule>
  </conditionalFormatting>
  <conditionalFormatting sqref="A89:B89 J89:K89">
    <cfRule type="expression" dxfId="153" priority="459" stopIfTrue="1">
      <formula>ROW()=CELL(¨FILA¨)</formula>
    </cfRule>
  </conditionalFormatting>
  <conditionalFormatting sqref="A91:B91 J91:K91">
    <cfRule type="expression" dxfId="152" priority="449" stopIfTrue="1">
      <formula>ROW()=CELL(¨FILA¨)</formula>
    </cfRule>
  </conditionalFormatting>
  <conditionalFormatting sqref="A100:B103 J100:K103">
    <cfRule type="expression" dxfId="151" priority="439" stopIfTrue="1">
      <formula>ROW()=CELL(¨FILA¨)</formula>
    </cfRule>
  </conditionalFormatting>
  <conditionalFormatting sqref="A105:B108 J105:K108">
    <cfRule type="expression" dxfId="150" priority="436" stopIfTrue="1">
      <formula>ROW()=CELL(¨FILA¨)</formula>
    </cfRule>
  </conditionalFormatting>
  <conditionalFormatting sqref="B31">
    <cfRule type="expression" dxfId="149" priority="238" stopIfTrue="1">
      <formula>ROW()=CELL(¨FILA¨)</formula>
    </cfRule>
  </conditionalFormatting>
  <conditionalFormatting sqref="B47">
    <cfRule type="expression" dxfId="148" priority="531" stopIfTrue="1">
      <formula>ROW()=CELL(¨FILA¨)</formula>
    </cfRule>
  </conditionalFormatting>
  <conditionalFormatting sqref="B111:B112 J111:K112 K114:K122 B114:B123 J123:K123">
    <cfRule type="expression" dxfId="147" priority="424" stopIfTrue="1">
      <formula>ROW()=CELL(¨FILA¨)</formula>
    </cfRule>
  </conditionalFormatting>
  <conditionalFormatting sqref="C7:C46">
    <cfRule type="expression" dxfId="146" priority="172" stopIfTrue="1">
      <formula>ROW()=CELL(¨FILA¨)</formula>
    </cfRule>
  </conditionalFormatting>
  <conditionalFormatting sqref="C47">
    <cfRule type="expression" dxfId="145" priority="173" stopIfTrue="1">
      <formula>ROW()=CELL(¨FILA¨)</formula>
    </cfRule>
  </conditionalFormatting>
  <conditionalFormatting sqref="C47:C50">
    <cfRule type="expression" dxfId="144" priority="174" stopIfTrue="1">
      <formula>ROW()=CELL(¨FILA¨)</formula>
    </cfRule>
  </conditionalFormatting>
  <conditionalFormatting sqref="C51:C71">
    <cfRule type="expression" dxfId="143" priority="170" stopIfTrue="1">
      <formula>ROW()=CELL(¨FILA¨)</formula>
    </cfRule>
  </conditionalFormatting>
  <conditionalFormatting sqref="C76">
    <cfRule type="expression" dxfId="142" priority="169" stopIfTrue="1">
      <formula>ROW()=CELL(¨FILA¨)</formula>
    </cfRule>
  </conditionalFormatting>
  <conditionalFormatting sqref="C89">
    <cfRule type="expression" dxfId="141" priority="168" stopIfTrue="1">
      <formula>ROW()=CELL(¨FILA¨)</formula>
    </cfRule>
  </conditionalFormatting>
  <conditionalFormatting sqref="C91">
    <cfRule type="expression" dxfId="140" priority="166" stopIfTrue="1">
      <formula>ROW()=CELL(¨FILA¨)</formula>
    </cfRule>
  </conditionalFormatting>
  <conditionalFormatting sqref="C100:C103">
    <cfRule type="expression" dxfId="139" priority="165" stopIfTrue="1">
      <formula>ROW()=CELL(¨FILA¨)</formula>
    </cfRule>
  </conditionalFormatting>
  <conditionalFormatting sqref="C105:C108">
    <cfRule type="expression" dxfId="138" priority="164" stopIfTrue="1">
      <formula>ROW()=CELL(¨FILA¨)</formula>
    </cfRule>
  </conditionalFormatting>
  <conditionalFormatting sqref="C111:C112">
    <cfRule type="expression" dxfId="137" priority="163" stopIfTrue="1">
      <formula>ROW()=CELL(¨FILA¨)</formula>
    </cfRule>
  </conditionalFormatting>
  <conditionalFormatting sqref="C114:C123">
    <cfRule type="expression" dxfId="136" priority="162" stopIfTrue="1">
      <formula>ROW()=CELL(¨FILA¨)</formula>
    </cfRule>
  </conditionalFormatting>
  <conditionalFormatting sqref="C135:C136">
    <cfRule type="expression" dxfId="135" priority="2" stopIfTrue="1">
      <formula>ROW()=CELL(¨FILA¨)</formula>
    </cfRule>
  </conditionalFormatting>
  <conditionalFormatting sqref="D85">
    <cfRule type="expression" dxfId="134" priority="244" stopIfTrue="1">
      <formula>ROW()=CELL(¨FILA¨)</formula>
    </cfRule>
  </conditionalFormatting>
  <conditionalFormatting sqref="D97:D99">
    <cfRule type="expression" dxfId="133" priority="242" stopIfTrue="1">
      <formula>ROW()=CELL(¨FILA¨)</formula>
    </cfRule>
  </conditionalFormatting>
  <conditionalFormatting sqref="D104">
    <cfRule type="expression" dxfId="132" priority="241" stopIfTrue="1">
      <formula>ROW()=CELL(¨FILA¨)</formula>
    </cfRule>
  </conditionalFormatting>
  <conditionalFormatting sqref="D109:D110">
    <cfRule type="expression" dxfId="131" priority="239" stopIfTrue="1">
      <formula>ROW()=CELL(¨FILA¨)</formula>
    </cfRule>
  </conditionalFormatting>
  <conditionalFormatting sqref="D113:D118">
    <cfRule type="expression" dxfId="130" priority="284" stopIfTrue="1">
      <formula>ROW()=CELL(¨FILA¨)</formula>
    </cfRule>
  </conditionalFormatting>
  <conditionalFormatting sqref="D120">
    <cfRule type="expression" dxfId="129" priority="283" stopIfTrue="1">
      <formula>ROW()=CELL(¨FILA¨)</formula>
    </cfRule>
  </conditionalFormatting>
  <conditionalFormatting sqref="D130">
    <cfRule type="expression" dxfId="128" priority="113" stopIfTrue="1">
      <formula>ROW()=CELL(¨FILA¨)</formula>
    </cfRule>
  </conditionalFormatting>
  <conditionalFormatting sqref="D133:D144">
    <cfRule type="expression" dxfId="127" priority="1" stopIfTrue="1">
      <formula>ROW()=CELL(¨FILA¨)</formula>
    </cfRule>
  </conditionalFormatting>
  <conditionalFormatting sqref="D131:F132">
    <cfRule type="expression" dxfId="126" priority="91" stopIfTrue="1">
      <formula>ROW()=CELL(¨FILA¨)</formula>
    </cfRule>
  </conditionalFormatting>
  <conditionalFormatting sqref="E114:E118 E120">
    <cfRule type="expression" dxfId="125" priority="304" stopIfTrue="1">
      <formula>ROW()=CELL(¨FILA¨)</formula>
    </cfRule>
  </conditionalFormatting>
  <conditionalFormatting sqref="E130">
    <cfRule type="expression" dxfId="124" priority="109" stopIfTrue="1">
      <formula>ROW()=CELL(¨FILA¨)</formula>
    </cfRule>
  </conditionalFormatting>
  <conditionalFormatting sqref="E1:F1">
    <cfRule type="expression" dxfId="123" priority="235" stopIfTrue="1">
      <formula>ROW()=CELL(¨FILA¨)</formula>
    </cfRule>
  </conditionalFormatting>
  <conditionalFormatting sqref="F133:F134">
    <cfRule type="expression" dxfId="122" priority="83" stopIfTrue="1">
      <formula>ROW()=CELL(¨FILA¨)</formula>
    </cfRule>
  </conditionalFormatting>
  <conditionalFormatting sqref="G132:G133">
    <cfRule type="expression" dxfId="121" priority="88" stopIfTrue="1">
      <formula>ROW()=CELL(¨FILA¨)</formula>
    </cfRule>
  </conditionalFormatting>
  <conditionalFormatting sqref="G18:H20 N18:N31 G21 G22:H22">
    <cfRule type="expression" dxfId="120" priority="207" stopIfTrue="1">
      <formula>ROW()=CELL(¨FILA¨)</formula>
    </cfRule>
  </conditionalFormatting>
  <conditionalFormatting sqref="G26:H30 G33:H34 G64:H67 G68 G69:H69 G70 G71:H79">
    <cfRule type="expression" dxfId="119" priority="302" stopIfTrue="1">
      <formula>ROW()=CELL(¨FILA¨)</formula>
    </cfRule>
  </conditionalFormatting>
  <conditionalFormatting sqref="G60:H61 G89:H91 G100:H101">
    <cfRule type="expression" dxfId="118" priority="301" stopIfTrue="1">
      <formula>ROW()=CELL(¨FILA¨)</formula>
    </cfRule>
  </conditionalFormatting>
  <conditionalFormatting sqref="G107:H124 G125 G126:H126 G127 G128:H128">
    <cfRule type="expression" dxfId="117" priority="300" stopIfTrue="1">
      <formula>ROW()=CELL(¨FILA¨)</formula>
    </cfRule>
  </conditionalFormatting>
  <conditionalFormatting sqref="G134:H145">
    <cfRule type="expression" dxfId="116" priority="80" stopIfTrue="1">
      <formula>ROW()=CELL(¨FILA¨)</formula>
    </cfRule>
  </conditionalFormatting>
  <conditionalFormatting sqref="G129:I131">
    <cfRule type="expression" dxfId="115" priority="95" stopIfTrue="1">
      <formula>ROW()=CELL(¨FILA¨)</formula>
    </cfRule>
  </conditionalFormatting>
  <conditionalFormatting sqref="H16 H21 H57 H68 H70 H82:H83 H125 H127">
    <cfRule type="expression" dxfId="114" priority="202" stopIfTrue="1">
      <formula>ROW()=CELL(¨FILA¨)</formula>
    </cfRule>
  </conditionalFormatting>
  <conditionalFormatting sqref="H132:H133">
    <cfRule type="expression" dxfId="113" priority="87" stopIfTrue="1">
      <formula>ROW()=CELL(¨FILA¨)</formula>
    </cfRule>
  </conditionalFormatting>
  <conditionalFormatting sqref="I9">
    <cfRule type="expression" dxfId="112" priority="234" stopIfTrue="1">
      <formula>ROW()=CELL(¨FILA¨)</formula>
    </cfRule>
  </conditionalFormatting>
  <conditionalFormatting sqref="I16">
    <cfRule type="expression" dxfId="111" priority="233" stopIfTrue="1">
      <formula>ROW()=CELL(¨FILA¨)</formula>
    </cfRule>
  </conditionalFormatting>
  <conditionalFormatting sqref="I18:I22">
    <cfRule type="expression" dxfId="110" priority="203" stopIfTrue="1">
      <formula>ROW()=CELL(¨FILA¨)</formula>
    </cfRule>
  </conditionalFormatting>
  <conditionalFormatting sqref="I26:I30 I33:I34">
    <cfRule type="expression" dxfId="109" priority="299" stopIfTrue="1">
      <formula>ROW()=CELL(¨FILA¨)</formula>
    </cfRule>
  </conditionalFormatting>
  <conditionalFormatting sqref="I36:I37 I47 I55:I57">
    <cfRule type="expression" dxfId="108" priority="226" stopIfTrue="1">
      <formula>ROW()=CELL(¨FILA¨)</formula>
    </cfRule>
  </conditionalFormatting>
  <conditionalFormatting sqref="I60:I61">
    <cfRule type="expression" dxfId="107" priority="225" stopIfTrue="1">
      <formula>ROW()=CELL(¨FILA¨)</formula>
    </cfRule>
  </conditionalFormatting>
  <conditionalFormatting sqref="I66:I79">
    <cfRule type="expression" dxfId="106" priority="223" stopIfTrue="1">
      <formula>ROW()=CELL(¨FILA¨)</formula>
    </cfRule>
  </conditionalFormatting>
  <conditionalFormatting sqref="I82:I85">
    <cfRule type="expression" dxfId="105" priority="221" stopIfTrue="1">
      <formula>ROW()=CELL(¨FILA¨)</formula>
    </cfRule>
  </conditionalFormatting>
  <conditionalFormatting sqref="I89:I91 I100:I101">
    <cfRule type="expression" dxfId="104" priority="297" stopIfTrue="1">
      <formula>ROW()=CELL(¨FILA¨)</formula>
    </cfRule>
  </conditionalFormatting>
  <conditionalFormatting sqref="I107:I128">
    <cfRule type="expression" dxfId="103" priority="282" stopIfTrue="1">
      <formula>ROW()=CELL(¨FILA¨)</formula>
    </cfRule>
  </conditionalFormatting>
  <conditionalFormatting sqref="I132:I144">
    <cfRule type="expression" dxfId="102" priority="84" stopIfTrue="1">
      <formula>ROW()=CELL(¨FILA¨)</formula>
    </cfRule>
  </conditionalFormatting>
  <conditionalFormatting sqref="J28">
    <cfRule type="expression" dxfId="101" priority="326" stopIfTrue="1">
      <formula>ROW()=CELL(¨FILA¨)</formula>
    </cfRule>
  </conditionalFormatting>
  <conditionalFormatting sqref="J67:J68">
    <cfRule type="expression" dxfId="100" priority="328" stopIfTrue="1">
      <formula>ROW()=CELL(¨FILA¨)</formula>
    </cfRule>
  </conditionalFormatting>
  <conditionalFormatting sqref="J70">
    <cfRule type="expression" dxfId="99" priority="293" stopIfTrue="1">
      <formula>ROW()=CELL(¨FILA¨)</formula>
    </cfRule>
  </conditionalFormatting>
  <conditionalFormatting sqref="J76">
    <cfRule type="expression" dxfId="98" priority="325" stopIfTrue="1">
      <formula>ROW()=CELL(¨FILA¨)</formula>
    </cfRule>
  </conditionalFormatting>
  <conditionalFormatting sqref="J82:J83">
    <cfRule type="expression" dxfId="97" priority="292" stopIfTrue="1">
      <formula>ROW()=CELL(¨FILA¨)</formula>
    </cfRule>
  </conditionalFormatting>
  <conditionalFormatting sqref="J93:J94">
    <cfRule type="expression" dxfId="96" priority="291" stopIfTrue="1">
      <formula>ROW()=CELL(¨FILA¨)</formula>
    </cfRule>
  </conditionalFormatting>
  <conditionalFormatting sqref="J114:J122">
    <cfRule type="expression" dxfId="95" priority="236" stopIfTrue="1">
      <formula>ROW()=CELL(¨FILA¨)</formula>
    </cfRule>
  </conditionalFormatting>
  <conditionalFormatting sqref="J129:J134">
    <cfRule type="expression" dxfId="94" priority="82" stopIfTrue="1">
      <formula>ROW()=CELL(¨FILA¨)</formula>
    </cfRule>
  </conditionalFormatting>
  <conditionalFormatting sqref="J13:K16">
    <cfRule type="expression" dxfId="93" priority="352" stopIfTrue="1">
      <formula>ROW()=CELL(¨FILA¨)</formula>
    </cfRule>
  </conditionalFormatting>
  <conditionalFormatting sqref="J18:K22">
    <cfRule type="expression" dxfId="92" priority="204" stopIfTrue="1">
      <formula>ROW()=CELL(¨FILA¨)</formula>
    </cfRule>
  </conditionalFormatting>
  <conditionalFormatting sqref="J26:K27">
    <cfRule type="expression" dxfId="91" priority="347" stopIfTrue="1">
      <formula>ROW()=CELL(¨FILA¨)</formula>
    </cfRule>
  </conditionalFormatting>
  <conditionalFormatting sqref="J29:K30">
    <cfRule type="expression" dxfId="90" priority="345" stopIfTrue="1">
      <formula>ROW()=CELL(¨FILA¨)</formula>
    </cfRule>
  </conditionalFormatting>
  <conditionalFormatting sqref="J33:K34">
    <cfRule type="expression" dxfId="89" priority="343" stopIfTrue="1">
      <formula>ROW()=CELL(¨FILA¨)</formula>
    </cfRule>
  </conditionalFormatting>
  <conditionalFormatting sqref="J39:K43">
    <cfRule type="expression" dxfId="88" priority="342" stopIfTrue="1">
      <formula>ROW()=CELL(¨FILA¨)</formula>
    </cfRule>
  </conditionalFormatting>
  <conditionalFormatting sqref="J50:K53">
    <cfRule type="expression" dxfId="87" priority="340" stopIfTrue="1">
      <formula>ROW()=CELL(¨FILA¨)</formula>
    </cfRule>
  </conditionalFormatting>
  <conditionalFormatting sqref="J55:K57">
    <cfRule type="expression" dxfId="86" priority="338" stopIfTrue="1">
      <formula>ROW()=CELL(¨FILA¨)</formula>
    </cfRule>
  </conditionalFormatting>
  <conditionalFormatting sqref="J66:K66">
    <cfRule type="expression" dxfId="85" priority="337" stopIfTrue="1">
      <formula>ROW()=CELL(¨FILA¨)</formula>
    </cfRule>
  </conditionalFormatting>
  <conditionalFormatting sqref="J69:K69">
    <cfRule type="expression" dxfId="84" priority="336" stopIfTrue="1">
      <formula>ROW()=CELL(¨FILA¨)</formula>
    </cfRule>
  </conditionalFormatting>
  <conditionalFormatting sqref="J71:K73">
    <cfRule type="expression" dxfId="83" priority="334" stopIfTrue="1">
      <formula>ROW()=CELL(¨FILA¨)</formula>
    </cfRule>
  </conditionalFormatting>
  <conditionalFormatting sqref="J75:K75">
    <cfRule type="expression" dxfId="82" priority="327" stopIfTrue="1">
      <formula>ROW()=CELL(¨FILA¨)</formula>
    </cfRule>
  </conditionalFormatting>
  <conditionalFormatting sqref="J77:K79">
    <cfRule type="expression" dxfId="81" priority="331" stopIfTrue="1">
      <formula>ROW()=CELL(¨FILA¨)</formula>
    </cfRule>
  </conditionalFormatting>
  <conditionalFormatting sqref="J84:K84">
    <cfRule type="expression" dxfId="80" priority="330" stopIfTrue="1">
      <formula>ROW()=CELL(¨FILA¨)</formula>
    </cfRule>
  </conditionalFormatting>
  <conditionalFormatting sqref="K28">
    <cfRule type="expression" dxfId="79" priority="323" stopIfTrue="1">
      <formula>ROW()=CELL(¨FILA¨)</formula>
    </cfRule>
  </conditionalFormatting>
  <conditionalFormatting sqref="K67:K68">
    <cfRule type="expression" dxfId="78" priority="324" stopIfTrue="1">
      <formula>ROW()=CELL(¨FILA¨)</formula>
    </cfRule>
  </conditionalFormatting>
  <conditionalFormatting sqref="K76">
    <cfRule type="expression" dxfId="77" priority="322" stopIfTrue="1">
      <formula>ROW()=CELL(¨FILA¨)</formula>
    </cfRule>
  </conditionalFormatting>
  <conditionalFormatting sqref="K93:K94 J95:K96">
    <cfRule type="expression" dxfId="76" priority="329" stopIfTrue="1">
      <formula>ROW()=CELL(¨FILA¨)</formula>
    </cfRule>
  </conditionalFormatting>
  <conditionalFormatting sqref="K129:K130">
    <cfRule type="expression" dxfId="75" priority="217" stopIfTrue="1">
      <formula>ROW()=CELL(¨FILA¨)</formula>
    </cfRule>
  </conditionalFormatting>
  <conditionalFormatting sqref="K135:M144">
    <cfRule type="expression" dxfId="74" priority="99" stopIfTrue="1">
      <formula>ROW()=CELL(¨FILA¨)</formula>
    </cfRule>
  </conditionalFormatting>
  <conditionalFormatting sqref="L16">
    <cfRule type="expression" dxfId="73" priority="59" stopIfTrue="1">
      <formula>ROW()=CELL(¨FILA¨)</formula>
    </cfRule>
  </conditionalFormatting>
  <conditionalFormatting sqref="L35:L37">
    <cfRule type="expression" dxfId="72" priority="48" stopIfTrue="1">
      <formula>ROW()=CELL(¨FILA¨)</formula>
    </cfRule>
  </conditionalFormatting>
  <conditionalFormatting sqref="L42">
    <cfRule type="expression" dxfId="71" priority="56" stopIfTrue="1">
      <formula>ROW()=CELL(¨FILA¨)</formula>
    </cfRule>
  </conditionalFormatting>
  <conditionalFormatting sqref="L61">
    <cfRule type="expression" dxfId="70" priority="51" stopIfTrue="1">
      <formula>ROW()=CELL(¨FILA¨)</formula>
    </cfRule>
  </conditionalFormatting>
  <conditionalFormatting sqref="L67:L68">
    <cfRule type="expression" dxfId="69" priority="39" stopIfTrue="1">
      <formula>ROW()=CELL(¨FILA¨)</formula>
    </cfRule>
  </conditionalFormatting>
  <conditionalFormatting sqref="L70">
    <cfRule type="expression" dxfId="68" priority="41" stopIfTrue="1">
      <formula>ROW()=CELL(¨FILA¨)</formula>
    </cfRule>
  </conditionalFormatting>
  <conditionalFormatting sqref="L74:L76">
    <cfRule type="expression" dxfId="67" priority="37" stopIfTrue="1">
      <formula>ROW()=CELL(¨FILA¨)</formula>
    </cfRule>
  </conditionalFormatting>
  <conditionalFormatting sqref="L81:L83">
    <cfRule type="expression" dxfId="66" priority="33" stopIfTrue="1">
      <formula>ROW()=CELL(¨FILA¨)</formula>
    </cfRule>
  </conditionalFormatting>
  <conditionalFormatting sqref="L89:L91">
    <cfRule type="expression" dxfId="65" priority="55" stopIfTrue="1">
      <formula>ROW()=CELL(¨FILA¨)</formula>
    </cfRule>
  </conditionalFormatting>
  <conditionalFormatting sqref="L98:L101">
    <cfRule type="expression" dxfId="64" priority="53" stopIfTrue="1">
      <formula>ROW()=CELL(¨FILA¨)</formula>
    </cfRule>
  </conditionalFormatting>
  <conditionalFormatting sqref="L105:L113">
    <cfRule type="expression" dxfId="63" priority="43" stopIfTrue="1">
      <formula>ROW()=CELL(¨FILA¨)</formula>
    </cfRule>
  </conditionalFormatting>
  <conditionalFormatting sqref="L123:L124">
    <cfRule type="expression" dxfId="62" priority="35" stopIfTrue="1">
      <formula>ROW()=CELL(¨FILA¨)</formula>
    </cfRule>
  </conditionalFormatting>
  <conditionalFormatting sqref="L130:L134">
    <cfRule type="expression" dxfId="61" priority="16" stopIfTrue="1">
      <formula>ROW()=CELL(¨FILA¨)</formula>
    </cfRule>
  </conditionalFormatting>
  <conditionalFormatting sqref="L7:M15">
    <cfRule type="expression" dxfId="60" priority="30" stopIfTrue="1">
      <formula>ROW()=CELL(¨FILA¨)</formula>
    </cfRule>
  </conditionalFormatting>
  <conditionalFormatting sqref="L17:M34">
    <cfRule type="expression" dxfId="59" priority="20" stopIfTrue="1">
      <formula>ROW()=CELL(¨FILA¨)</formula>
    </cfRule>
  </conditionalFormatting>
  <conditionalFormatting sqref="L38:M41">
    <cfRule type="expression" dxfId="58" priority="71" stopIfTrue="1">
      <formula>ROW()=CELL(¨FILA¨)</formula>
    </cfRule>
  </conditionalFormatting>
  <conditionalFormatting sqref="L43:M60">
    <cfRule type="expression" dxfId="57" priority="28" stopIfTrue="1">
      <formula>ROW()=CELL(¨FILA¨)</formula>
    </cfRule>
  </conditionalFormatting>
  <conditionalFormatting sqref="L62:M66">
    <cfRule type="expression" dxfId="56" priority="68" stopIfTrue="1">
      <formula>ROW()=CELL(¨FILA¨)</formula>
    </cfRule>
  </conditionalFormatting>
  <conditionalFormatting sqref="L69:M69">
    <cfRule type="expression" dxfId="55" priority="67" stopIfTrue="1">
      <formula>ROW()=CELL(¨FILA¨)</formula>
    </cfRule>
  </conditionalFormatting>
  <conditionalFormatting sqref="L71:M73">
    <cfRule type="expression" dxfId="54" priority="66" stopIfTrue="1">
      <formula>ROW()=CELL(¨FILA¨)</formula>
    </cfRule>
  </conditionalFormatting>
  <conditionalFormatting sqref="L77:M80">
    <cfRule type="expression" dxfId="53" priority="65" stopIfTrue="1">
      <formula>ROW()=CELL(¨FILA¨)</formula>
    </cfRule>
  </conditionalFormatting>
  <conditionalFormatting sqref="L84:M84">
    <cfRule type="expression" dxfId="52" priority="64" stopIfTrue="1">
      <formula>ROW()=CELL(¨FILA¨)</formula>
    </cfRule>
  </conditionalFormatting>
  <conditionalFormatting sqref="L86:M88">
    <cfRule type="expression" dxfId="51" priority="78" stopIfTrue="1">
      <formula>ROW()=CELL(¨FILA¨)</formula>
    </cfRule>
  </conditionalFormatting>
  <conditionalFormatting sqref="L92:M97">
    <cfRule type="expression" dxfId="50" priority="27" stopIfTrue="1">
      <formula>ROW()=CELL(¨FILA¨)</formula>
    </cfRule>
  </conditionalFormatting>
  <conditionalFormatting sqref="L102:M104">
    <cfRule type="expression" dxfId="49" priority="45" stopIfTrue="1">
      <formula>ROW()=CELL(¨FILA¨)</formula>
    </cfRule>
  </conditionalFormatting>
  <conditionalFormatting sqref="L114:M122">
    <cfRule type="expression" dxfId="48" priority="76" stopIfTrue="1">
      <formula>ROW()=CELL(¨FILA¨)</formula>
    </cfRule>
  </conditionalFormatting>
  <conditionalFormatting sqref="L125:M129">
    <cfRule type="expression" dxfId="47" priority="24" stopIfTrue="1">
      <formula>ROW()=CELL(¨FILA¨)</formula>
    </cfRule>
  </conditionalFormatting>
  <conditionalFormatting sqref="M16">
    <cfRule type="expression" dxfId="46" priority="58" stopIfTrue="1">
      <formula>ROW()=CELL(¨FILA¨)</formula>
    </cfRule>
  </conditionalFormatting>
  <conditionalFormatting sqref="M35:M37">
    <cfRule type="expression" dxfId="45" priority="47" stopIfTrue="1">
      <formula>ROW()=CELL(¨FILA¨)</formula>
    </cfRule>
  </conditionalFormatting>
  <conditionalFormatting sqref="M42">
    <cfRule type="expression" dxfId="44" priority="79" stopIfTrue="1">
      <formula>ROW()=CELL(¨FILA¨)</formula>
    </cfRule>
  </conditionalFormatting>
  <conditionalFormatting sqref="M61">
    <cfRule type="expression" dxfId="43" priority="50" stopIfTrue="1">
      <formula>ROW()=CELL(¨FILA¨)</formula>
    </cfRule>
  </conditionalFormatting>
  <conditionalFormatting sqref="M67:M68">
    <cfRule type="expression" dxfId="42" priority="38" stopIfTrue="1">
      <formula>ROW()=CELL(¨FILA¨)</formula>
    </cfRule>
  </conditionalFormatting>
  <conditionalFormatting sqref="M70">
    <cfRule type="expression" dxfId="41" priority="40" stopIfTrue="1">
      <formula>ROW()=CELL(¨FILA¨)</formula>
    </cfRule>
  </conditionalFormatting>
  <conditionalFormatting sqref="M74:M76">
    <cfRule type="expression" dxfId="40" priority="36" stopIfTrue="1">
      <formula>ROW()=CELL(¨FILA¨)</formula>
    </cfRule>
  </conditionalFormatting>
  <conditionalFormatting sqref="M81:M83">
    <cfRule type="expression" dxfId="39" priority="32" stopIfTrue="1">
      <formula>ROW()=CELL(¨FILA¨)</formula>
    </cfRule>
  </conditionalFormatting>
  <conditionalFormatting sqref="M89:M91">
    <cfRule type="expression" dxfId="38" priority="49" stopIfTrue="1">
      <formula>ROW()=CELL(¨FILA¨)</formula>
    </cfRule>
  </conditionalFormatting>
  <conditionalFormatting sqref="M98:M101">
    <cfRule type="expression" dxfId="37" priority="52" stopIfTrue="1">
      <formula>ROW()=CELL(¨FILA¨)</formula>
    </cfRule>
  </conditionalFormatting>
  <conditionalFormatting sqref="M105:M113">
    <cfRule type="expression" dxfId="36" priority="42" stopIfTrue="1">
      <formula>ROW()=CELL(¨FILA¨)</formula>
    </cfRule>
  </conditionalFormatting>
  <conditionalFormatting sqref="M123:M124">
    <cfRule type="expression" dxfId="35" priority="34" stopIfTrue="1">
      <formula>ROW()=CELL(¨FILA¨)</formula>
    </cfRule>
  </conditionalFormatting>
  <conditionalFormatting sqref="M130:M134">
    <cfRule type="expression" dxfId="34" priority="13" stopIfTrue="1">
      <formula>ROW()=CELL(¨FILA¨)</formula>
    </cfRule>
  </conditionalFormatting>
  <conditionalFormatting sqref="N129:N144">
    <cfRule type="expression" dxfId="33" priority="6" stopIfTrue="1">
      <formula>ROW()=CELL(¨FILA¨)</formula>
    </cfRule>
  </conditionalFormatting>
  <conditionalFormatting sqref="N111:O113 R113:S113">
    <cfRule type="expression" dxfId="32" priority="303" stopIfTrue="1">
      <formula>ROW()=CELL(¨FILA¨)</formula>
    </cfRule>
  </conditionalFormatting>
  <conditionalFormatting sqref="N123:O128 R124:S128 R135:S144">
    <cfRule type="expression" dxfId="31" priority="305" stopIfTrue="1">
      <formula>ROW()=CELL(¨FILA¨)</formula>
    </cfRule>
  </conditionalFormatting>
  <conditionalFormatting sqref="N7:X7 D7:K8 A7:B14 N8:N16 G9:H9 D9:F23 G10:K12 G17:K17 N17:O17 G23:K23 D24:K24 G25:K25 D25:E80 F25:F130 G31:K32 N32:R32 A32:B46 G35:K35 N35:O35 G36:H37 N36:N45 G38:K38 G44:K46 N46:O46 G47:H47 N47:N60 G48:K49 I54:K54 G58:K59 G62:K63 N62:N63 I64:K65 G80:K80 D82:E84 G86:K88 D86:E96 G92:K92 D100:E103 D105:E108 D111:E112 D119:E119 D121:E129 AD125:AD145">
    <cfRule type="expression" dxfId="30" priority="455" stopIfTrue="1">
      <formula>ROW()=CELL(¨FILA¨)</formula>
    </cfRule>
  </conditionalFormatting>
  <conditionalFormatting sqref="O7:S7">
    <cfRule type="expression" dxfId="29" priority="296" stopIfTrue="1">
      <formula>ROW()=CELL(¨FILA¨)</formula>
    </cfRule>
  </conditionalFormatting>
  <conditionalFormatting sqref="P23:P25">
    <cfRule type="expression" dxfId="28" priority="264" stopIfTrue="1">
      <formula>ROW()=CELL(¨FILA¨)</formula>
    </cfRule>
  </conditionalFormatting>
  <conditionalFormatting sqref="P44:P45">
    <cfRule type="expression" dxfId="27" priority="266" stopIfTrue="1">
      <formula>ROW()=CELL(¨FILA¨)</formula>
    </cfRule>
  </conditionalFormatting>
  <conditionalFormatting sqref="P85">
    <cfRule type="expression" dxfId="26" priority="263" stopIfTrue="1">
      <formula>ROW()=CELL(¨FILA¨)</formula>
    </cfRule>
  </conditionalFormatting>
  <conditionalFormatting sqref="P97:P99">
    <cfRule type="expression" dxfId="25" priority="260" stopIfTrue="1">
      <formula>ROW()=CELL(¨FILA¨)</formula>
    </cfRule>
  </conditionalFormatting>
  <conditionalFormatting sqref="P102:P104">
    <cfRule type="expression" dxfId="24" priority="257" stopIfTrue="1">
      <formula>ROW()=CELL(¨FILA¨)</formula>
    </cfRule>
  </conditionalFormatting>
  <conditionalFormatting sqref="P131:P134">
    <cfRule type="expression" dxfId="23" priority="114" stopIfTrue="1">
      <formula>ROW()=CELL(¨FILA¨)</formula>
    </cfRule>
  </conditionalFormatting>
  <conditionalFormatting sqref="Q44">
    <cfRule type="expression" dxfId="22" priority="256" stopIfTrue="1">
      <formula>ROW()=CELL(¨FILA¨)</formula>
    </cfRule>
  </conditionalFormatting>
  <conditionalFormatting sqref="Q74">
    <cfRule type="expression" dxfId="21" priority="267" stopIfTrue="1">
      <formula>ROW()=CELL(¨FILA¨)</formula>
    </cfRule>
  </conditionalFormatting>
  <conditionalFormatting sqref="Q85 Q97:Q106">
    <cfRule type="expression" dxfId="20" priority="255" stopIfTrue="1">
      <formula>ROW()=CELL(¨FILA¨)</formula>
    </cfRule>
  </conditionalFormatting>
  <conditionalFormatting sqref="S129:X130 AC129:AC130 AF129:AH130">
    <cfRule type="expression" dxfId="19" priority="219" stopIfTrue="1">
      <formula>ROW()=CELL(¨FILA¨)</formula>
    </cfRule>
  </conditionalFormatting>
  <conditionalFormatting sqref="S8:AH24 A15 S25:U43 X25:Y73 AC25:AH73 Z25:AB113 V25:W128 S44 U44 S45:U73 S75:U96 X75:Y96 AC75:AH96 AD97:AE108 X97:X113 N100:O103 R100:U103 Y100:Y103 AC100:AC103 AF100:AH103 AB114:AB117 Z114:AA122 AD114:AD122 V135:W145">
    <cfRule type="expression" dxfId="18" priority="470" stopIfTrue="1">
      <formula>ROW()=CELL(¨FILA¨)</formula>
    </cfRule>
  </conditionalFormatting>
  <conditionalFormatting sqref="U131:U133">
    <cfRule type="expression" dxfId="17" priority="3" stopIfTrue="1">
      <formula>ROW()=CELL(¨FILA¨)</formula>
    </cfRule>
  </conditionalFormatting>
  <conditionalFormatting sqref="V133:W133">
    <cfRule type="expression" dxfId="16" priority="137" stopIfTrue="1">
      <formula>ROW()=CELL(¨FILA¨)</formula>
    </cfRule>
  </conditionalFormatting>
  <conditionalFormatting sqref="V131:Z132">
    <cfRule type="expression" dxfId="15" priority="148" stopIfTrue="1">
      <formula>ROW()=CELL(¨FILA¨)</formula>
    </cfRule>
  </conditionalFormatting>
  <conditionalFormatting sqref="X125:Y128 AB125:AC128 AE125:AG128 AB131:AC145 AE131:AG145">
    <cfRule type="expression" dxfId="14" priority="275" stopIfTrue="1">
      <formula>ROW()=CELL(¨FILA¨)</formula>
    </cfRule>
  </conditionalFormatting>
  <conditionalFormatting sqref="X133:Y145">
    <cfRule type="expression" dxfId="13" priority="118" stopIfTrue="1">
      <formula>ROW()=CELL(¨FILA¨)</formula>
    </cfRule>
  </conditionalFormatting>
  <conditionalFormatting sqref="Y7 AA7:AB7">
    <cfRule type="expression" dxfId="12" priority="274" stopIfTrue="1">
      <formula>ROW()=CELL(¨FILA¨)</formula>
    </cfRule>
  </conditionalFormatting>
  <conditionalFormatting sqref="Y129:Y130">
    <cfRule type="expression" dxfId="11" priority="215" stopIfTrue="1">
      <formula>ROW()=CELL(¨FILA¨)</formula>
    </cfRule>
  </conditionalFormatting>
  <conditionalFormatting sqref="Z7">
    <cfRule type="expression" dxfId="10" priority="270" stopIfTrue="1">
      <formula>ROW()=CELL(¨FILA¨)</formula>
    </cfRule>
  </conditionalFormatting>
  <conditionalFormatting sqref="Z125:Z130">
    <cfRule type="expression" dxfId="9" priority="214" stopIfTrue="1">
      <formula>ROW()=CELL(¨FILA¨)</formula>
    </cfRule>
  </conditionalFormatting>
  <conditionalFormatting sqref="Z133:Z145 U134:W134">
    <cfRule type="expression" dxfId="8" priority="124" stopIfTrue="1">
      <formula>ROW()=CELL(¨FILA¨)</formula>
    </cfRule>
  </conditionalFormatting>
  <conditionalFormatting sqref="AA125:AA145">
    <cfRule type="expression" dxfId="7" priority="123" stopIfTrue="1">
      <formula>ROW()=CELL(¨FILA¨)</formula>
    </cfRule>
  </conditionalFormatting>
  <conditionalFormatting sqref="AB129:AB130">
    <cfRule type="expression" dxfId="6" priority="213" stopIfTrue="1">
      <formula>ROW()=CELL(¨FILA¨)</formula>
    </cfRule>
  </conditionalFormatting>
  <conditionalFormatting sqref="AC7 AE7:AG7">
    <cfRule type="expression" dxfId="5" priority="273" stopIfTrue="1">
      <formula>ROW()=CELL(¨FILA¨)</formula>
    </cfRule>
  </conditionalFormatting>
  <conditionalFormatting sqref="AD7">
    <cfRule type="expression" dxfId="4" priority="269" stopIfTrue="1">
      <formula>ROW()=CELL(¨FILA¨)</formula>
    </cfRule>
  </conditionalFormatting>
  <conditionalFormatting sqref="AE129:AE130">
    <cfRule type="expression" dxfId="3" priority="212" stopIfTrue="1">
      <formula>ROW()=CELL(¨FILA¨)</formula>
    </cfRule>
  </conditionalFormatting>
  <conditionalFormatting sqref="AH7 R8:R16 J9:K9 G13:I15 B15 G16 Q17:R17 R18:R31 A31 N33:N34 R33:R34 Q35:R35 J36:K37 R36:R57 G38:I44 J47:K47 G49:H56 I50:I53 G57 G58:H58 P58:R58 R59:R60 J60:K61 N61:O61 Q61:R61 R62 P63:R63 N64:O64 R64:R71 N65:N71 K70 N76 R76 G81:H81 G82:G83 K82:K83 G84:H85 N89:O89 R89 Q89:Q91 N91:O91 R91 G92:I99 N96 R96 G102:I106 N105:P106 R105:U106 AH105:AH106 AC105:AC108 AF105:AG108 Y105:Y112 N107:O108 Q107:U108 AH108:AH110 N109:U110 AC109:AG112 R111:U112 Q111:Q113 AC114:AC117 N114:N122 R114:U122 X114:Y122 AE114:AG122 AB118:AC122 R123:T123 X123:AG123 Q123:Q124">
    <cfRule type="expression" dxfId="2" priority="532" stopIfTrue="1">
      <formula>ROW()=CELL(¨FILA¨)</formula>
    </cfRule>
  </conditionalFormatting>
  <conditionalFormatting sqref="AI7:AK88">
    <cfRule type="expression" dxfId="1" priority="432" stopIfTrue="1">
      <formula>ROW()=CELL(¨FILA¨)</formula>
    </cfRule>
  </conditionalFormatting>
  <conditionalFormatting sqref="AR10:AR12">
    <cfRule type="expression" dxfId="0" priority="609" stopIfTrue="1">
      <formula>ROW()=CELL(¨FILA¨)</formula>
    </cfRule>
  </conditionalFormatting>
  <pageMargins left="0.51181102362204722" right="0.51181102362204722" top="0.55118110236220474" bottom="0.55118110236220474" header="0.31496062992125984" footer="0.31496062992125984"/>
  <pageSetup scale="53" orientation="portrait" r:id="rId1"/>
  <colBreaks count="1" manualBreakCount="1">
    <brk id="14" max="138" man="1"/>
  </colBreaks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1E75-B413-46EE-B9D0-2038CACEB60A}">
  <sheetPr>
    <tabColor theme="5" tint="0.39997558519241921"/>
  </sheetPr>
  <dimension ref="A1:V247"/>
  <sheetViews>
    <sheetView zoomScale="70" zoomScaleNormal="70" workbookViewId="0">
      <pane xSplit="1" ySplit="6" topLeftCell="B32" activePane="bottomRight" state="frozen"/>
      <selection pane="topRight" activeCell="B1" sqref="B1"/>
      <selection pane="bottomLeft" activeCell="A3" sqref="A3"/>
      <selection pane="bottomRight" activeCell="J41" sqref="J41"/>
    </sheetView>
  </sheetViews>
  <sheetFormatPr baseColWidth="10" defaultColWidth="11.42578125" defaultRowHeight="12.75" x14ac:dyDescent="0.25"/>
  <cols>
    <col min="1" max="1" width="12.140625" style="1049" customWidth="1"/>
    <col min="2" max="5" width="13.85546875" style="1070" customWidth="1"/>
    <col min="6" max="6" width="28.85546875" style="1049" customWidth="1"/>
    <col min="7" max="7" width="14" style="1070" customWidth="1"/>
    <col min="8" max="9" width="21.28515625" style="1072" customWidth="1"/>
    <col min="10" max="10" width="15.5703125" style="1072" customWidth="1"/>
    <col min="11" max="11" width="17.7109375" style="1049" customWidth="1"/>
    <col min="12" max="12" width="25" style="1049" customWidth="1"/>
    <col min="13" max="13" width="33.28515625" style="1049" customWidth="1"/>
    <col min="14" max="14" width="11.42578125" style="1049"/>
    <col min="15" max="15" width="25.85546875" style="1049" customWidth="1"/>
    <col min="16" max="16" width="11.42578125" style="1049"/>
    <col min="17" max="17" width="11.42578125" style="1050"/>
    <col min="18" max="18" width="11.42578125" style="1049"/>
    <col min="19" max="19" width="18.5703125" style="1049" customWidth="1"/>
    <col min="20" max="20" width="13.5703125" style="1049" customWidth="1"/>
    <col min="21" max="21" width="24.5703125" style="1049" customWidth="1"/>
    <col min="22" max="16384" width="11.42578125" style="1049"/>
  </cols>
  <sheetData>
    <row r="1" spans="2:22" ht="25.5" x14ac:dyDescent="0.25">
      <c r="F1" s="1071" t="s">
        <v>1081</v>
      </c>
      <c r="G1" s="1070" t="s">
        <v>569</v>
      </c>
      <c r="H1" s="1072" t="s">
        <v>610</v>
      </c>
    </row>
    <row r="2" spans="2:22" x14ac:dyDescent="0.25">
      <c r="G2" s="1070" t="s">
        <v>594</v>
      </c>
      <c r="H2" s="1072" t="s">
        <v>595</v>
      </c>
      <c r="K2" s="1072"/>
      <c r="L2" s="1072"/>
      <c r="M2" s="1072"/>
    </row>
    <row r="4" spans="2:22" x14ac:dyDescent="0.25">
      <c r="B4" s="1488" t="s">
        <v>639</v>
      </c>
      <c r="C4" s="1488"/>
      <c r="D4" s="1488"/>
      <c r="E4" s="1488"/>
      <c r="F4" s="1488"/>
    </row>
    <row r="5" spans="2:22" ht="13.5" thickBot="1" x14ac:dyDescent="0.3"/>
    <row r="6" spans="2:22" ht="33.75" customHeight="1" thickBot="1" x14ac:dyDescent="0.3">
      <c r="B6" s="1053" t="s">
        <v>638</v>
      </c>
      <c r="C6" s="1054" t="s">
        <v>841</v>
      </c>
      <c r="D6" s="1054" t="s">
        <v>651</v>
      </c>
      <c r="E6" s="1054" t="s">
        <v>652</v>
      </c>
      <c r="F6" s="1055" t="s">
        <v>1</v>
      </c>
      <c r="G6" s="1055" t="s">
        <v>370</v>
      </c>
      <c r="H6" s="1056" t="s">
        <v>369</v>
      </c>
      <c r="I6" s="1056" t="s">
        <v>402</v>
      </c>
      <c r="J6" s="1057" t="s">
        <v>442</v>
      </c>
      <c r="K6" s="1058" t="s">
        <v>234</v>
      </c>
      <c r="L6" s="1058" t="s">
        <v>641</v>
      </c>
      <c r="V6" s="1059"/>
    </row>
    <row r="7" spans="2:22" ht="24.95" customHeight="1" x14ac:dyDescent="0.25">
      <c r="B7" s="1052" t="s">
        <v>915</v>
      </c>
      <c r="C7" s="1044" t="s">
        <v>836</v>
      </c>
      <c r="D7" s="1044" t="s">
        <v>839</v>
      </c>
      <c r="E7" s="1045" t="s">
        <v>842</v>
      </c>
      <c r="F7" s="1073" t="s">
        <v>247</v>
      </c>
      <c r="G7" s="1047" t="s">
        <v>439</v>
      </c>
      <c r="H7" s="1074">
        <v>50000</v>
      </c>
      <c r="I7" s="1074"/>
      <c r="J7" s="1074">
        <f>+I7+H7</f>
        <v>50000</v>
      </c>
      <c r="K7" s="1048"/>
      <c r="L7" s="1048" t="s">
        <v>642</v>
      </c>
    </row>
    <row r="8" spans="2:22" ht="24.95" customHeight="1" x14ac:dyDescent="0.25">
      <c r="B8" s="1052" t="s">
        <v>916</v>
      </c>
      <c r="C8" s="1044" t="s">
        <v>836</v>
      </c>
      <c r="D8" s="1044" t="s">
        <v>839</v>
      </c>
      <c r="E8" s="1045" t="s">
        <v>842</v>
      </c>
      <c r="F8" s="1073" t="s">
        <v>678</v>
      </c>
      <c r="G8" s="1047" t="s">
        <v>439</v>
      </c>
      <c r="H8" s="1074">
        <v>45200</v>
      </c>
      <c r="I8" s="1074"/>
      <c r="J8" s="1074">
        <f>+I8+H8</f>
        <v>45200</v>
      </c>
      <c r="K8" s="1048"/>
      <c r="L8" s="1048" t="s">
        <v>642</v>
      </c>
    </row>
    <row r="9" spans="2:22" ht="24.95" customHeight="1" x14ac:dyDescent="0.25">
      <c r="B9" s="1052" t="s">
        <v>917</v>
      </c>
      <c r="C9" s="1044" t="s">
        <v>836</v>
      </c>
      <c r="D9" s="1044" t="s">
        <v>839</v>
      </c>
      <c r="E9" s="1045" t="s">
        <v>842</v>
      </c>
      <c r="F9" s="1073" t="s">
        <v>253</v>
      </c>
      <c r="G9" s="1075" t="s">
        <v>400</v>
      </c>
      <c r="H9" s="1074">
        <v>5400</v>
      </c>
      <c r="I9" s="1074">
        <f>H9*19%</f>
        <v>1026</v>
      </c>
      <c r="J9" s="1074">
        <f>+I9+H9</f>
        <v>6426</v>
      </c>
      <c r="K9" s="1048"/>
      <c r="L9" s="1048" t="s">
        <v>642</v>
      </c>
    </row>
    <row r="10" spans="2:22" ht="24.95" customHeight="1" x14ac:dyDescent="0.25">
      <c r="B10" s="1052" t="s">
        <v>918</v>
      </c>
      <c r="C10" s="1044" t="s">
        <v>836</v>
      </c>
      <c r="D10" s="1044" t="s">
        <v>839</v>
      </c>
      <c r="E10" s="1045" t="s">
        <v>842</v>
      </c>
      <c r="F10" s="1048" t="s">
        <v>258</v>
      </c>
      <c r="G10" s="1047" t="s">
        <v>439</v>
      </c>
      <c r="H10" s="1043">
        <v>7200</v>
      </c>
      <c r="I10" s="1043"/>
      <c r="J10" s="1043">
        <f>+H10</f>
        <v>7200</v>
      </c>
      <c r="K10" s="1048"/>
      <c r="L10" s="1048"/>
    </row>
    <row r="11" spans="2:22" ht="24.95" customHeight="1" x14ac:dyDescent="0.25">
      <c r="B11" s="1052" t="s">
        <v>919</v>
      </c>
      <c r="C11" s="1044" t="s">
        <v>836</v>
      </c>
      <c r="D11" s="1044" t="s">
        <v>839</v>
      </c>
      <c r="E11" s="1045" t="s">
        <v>842</v>
      </c>
      <c r="F11" s="1048" t="s">
        <v>443</v>
      </c>
      <c r="G11" s="1047" t="s">
        <v>400</v>
      </c>
      <c r="H11" s="1043">
        <v>8000</v>
      </c>
      <c r="I11" s="1043">
        <f t="shared" ref="I11:I16" si="0">H11*19%</f>
        <v>1520</v>
      </c>
      <c r="J11" s="1043">
        <f t="shared" ref="J11:J16" si="1">+I11+H11</f>
        <v>9520</v>
      </c>
      <c r="K11" s="1048"/>
      <c r="L11" s="1048"/>
    </row>
    <row r="12" spans="2:22" ht="24.95" customHeight="1" x14ac:dyDescent="0.25">
      <c r="B12" s="1052" t="s">
        <v>920</v>
      </c>
      <c r="C12" s="1044" t="s">
        <v>836</v>
      </c>
      <c r="D12" s="1044" t="s">
        <v>839</v>
      </c>
      <c r="E12" s="1045" t="s">
        <v>842</v>
      </c>
      <c r="F12" s="1048" t="s">
        <v>261</v>
      </c>
      <c r="G12" s="1047" t="s">
        <v>400</v>
      </c>
      <c r="H12" s="1076">
        <v>4700</v>
      </c>
      <c r="I12" s="1043">
        <f t="shared" si="0"/>
        <v>893</v>
      </c>
      <c r="J12" s="1043">
        <f t="shared" si="1"/>
        <v>5593</v>
      </c>
      <c r="K12" s="1048"/>
      <c r="L12" s="1048"/>
    </row>
    <row r="13" spans="2:22" ht="24.95" customHeight="1" x14ac:dyDescent="0.25">
      <c r="B13" s="1052" t="s">
        <v>921</v>
      </c>
      <c r="C13" s="1044" t="s">
        <v>836</v>
      </c>
      <c r="D13" s="1044" t="s">
        <v>839</v>
      </c>
      <c r="E13" s="1045" t="s">
        <v>842</v>
      </c>
      <c r="F13" s="1048" t="s">
        <v>445</v>
      </c>
      <c r="G13" s="1047" t="s">
        <v>400</v>
      </c>
      <c r="H13" s="1043">
        <v>11600</v>
      </c>
      <c r="I13" s="1043">
        <f t="shared" si="0"/>
        <v>2204</v>
      </c>
      <c r="J13" s="1043">
        <f t="shared" si="1"/>
        <v>13804</v>
      </c>
      <c r="K13" s="1048" t="s">
        <v>73</v>
      </c>
      <c r="L13" s="1048" t="s">
        <v>508</v>
      </c>
    </row>
    <row r="14" spans="2:22" ht="24.95" customHeight="1" x14ac:dyDescent="0.25">
      <c r="B14" s="1052" t="s">
        <v>922</v>
      </c>
      <c r="C14" s="1044" t="s">
        <v>836</v>
      </c>
      <c r="D14" s="1044" t="s">
        <v>839</v>
      </c>
      <c r="E14" s="1045" t="s">
        <v>842</v>
      </c>
      <c r="F14" s="1077" t="s">
        <v>528</v>
      </c>
      <c r="G14" s="1047" t="s">
        <v>400</v>
      </c>
      <c r="H14" s="1043">
        <v>18000</v>
      </c>
      <c r="I14" s="1043">
        <f t="shared" si="0"/>
        <v>3420</v>
      </c>
      <c r="J14" s="1043">
        <f t="shared" si="1"/>
        <v>21420</v>
      </c>
      <c r="K14" s="1048" t="s">
        <v>73</v>
      </c>
      <c r="L14" s="1048" t="s">
        <v>508</v>
      </c>
    </row>
    <row r="15" spans="2:22" ht="24.95" customHeight="1" x14ac:dyDescent="0.25">
      <c r="B15" s="1052" t="s">
        <v>923</v>
      </c>
      <c r="C15" s="1044" t="s">
        <v>836</v>
      </c>
      <c r="D15" s="1044" t="s">
        <v>839</v>
      </c>
      <c r="E15" s="1045" t="s">
        <v>842</v>
      </c>
      <c r="F15" s="1048" t="s">
        <v>283</v>
      </c>
      <c r="G15" s="1047" t="s">
        <v>400</v>
      </c>
      <c r="H15" s="1078">
        <v>18000</v>
      </c>
      <c r="I15" s="1078">
        <f t="shared" si="0"/>
        <v>3420</v>
      </c>
      <c r="J15" s="1078">
        <f t="shared" si="1"/>
        <v>21420</v>
      </c>
      <c r="K15" s="1048"/>
      <c r="L15" s="1048"/>
    </row>
    <row r="16" spans="2:22" ht="24.95" customHeight="1" x14ac:dyDescent="0.25">
      <c r="B16" s="1052" t="s">
        <v>924</v>
      </c>
      <c r="C16" s="1044" t="s">
        <v>836</v>
      </c>
      <c r="D16" s="1044" t="s">
        <v>839</v>
      </c>
      <c r="E16" s="1045" t="s">
        <v>842</v>
      </c>
      <c r="F16" s="1048" t="s">
        <v>265</v>
      </c>
      <c r="G16" s="1047" t="s">
        <v>400</v>
      </c>
      <c r="H16" s="1078">
        <v>14000</v>
      </c>
      <c r="I16" s="1078">
        <f t="shared" si="0"/>
        <v>2660</v>
      </c>
      <c r="J16" s="1078">
        <f t="shared" si="1"/>
        <v>16660</v>
      </c>
      <c r="K16" s="1048" t="s">
        <v>664</v>
      </c>
      <c r="L16" s="1048" t="s">
        <v>644</v>
      </c>
    </row>
    <row r="17" spans="2:17" ht="24.95" customHeight="1" x14ac:dyDescent="0.25">
      <c r="B17" s="1052" t="s">
        <v>925</v>
      </c>
      <c r="C17" s="1044" t="s">
        <v>836</v>
      </c>
      <c r="D17" s="1044" t="s">
        <v>839</v>
      </c>
      <c r="E17" s="1045" t="s">
        <v>842</v>
      </c>
      <c r="F17" s="1048" t="s">
        <v>582</v>
      </c>
      <c r="G17" s="1047" t="s">
        <v>400</v>
      </c>
      <c r="H17" s="1078">
        <v>9500</v>
      </c>
      <c r="I17" s="1078">
        <v>0</v>
      </c>
      <c r="J17" s="1078">
        <f>+H17</f>
        <v>9500</v>
      </c>
      <c r="K17" s="1048"/>
      <c r="L17" s="1048"/>
    </row>
    <row r="18" spans="2:17" ht="69" customHeight="1" x14ac:dyDescent="0.25">
      <c r="B18" s="1052" t="s">
        <v>926</v>
      </c>
      <c r="C18" s="1044" t="s">
        <v>836</v>
      </c>
      <c r="D18" s="1044" t="s">
        <v>839</v>
      </c>
      <c r="E18" s="1045" t="s">
        <v>842</v>
      </c>
      <c r="F18" s="1046" t="s">
        <v>382</v>
      </c>
      <c r="G18" s="1047" t="s">
        <v>54</v>
      </c>
      <c r="H18" s="1042">
        <f>84000/3500</f>
        <v>24</v>
      </c>
      <c r="I18" s="1043">
        <f>H18*19%</f>
        <v>4.5600000000000005</v>
      </c>
      <c r="J18" s="1043">
        <f>+I18+H18</f>
        <v>28.560000000000002</v>
      </c>
      <c r="K18" s="1048" t="s">
        <v>649</v>
      </c>
      <c r="L18" s="1048" t="s">
        <v>642</v>
      </c>
      <c r="M18" s="1047" t="s">
        <v>1243</v>
      </c>
    </row>
    <row r="19" spans="2:17" ht="24.95" customHeight="1" x14ac:dyDescent="0.25">
      <c r="B19" s="1052" t="s">
        <v>927</v>
      </c>
      <c r="C19" s="1044" t="s">
        <v>836</v>
      </c>
      <c r="D19" s="1044" t="s">
        <v>839</v>
      </c>
      <c r="E19" s="1045" t="s">
        <v>842</v>
      </c>
      <c r="F19" s="1048" t="s">
        <v>311</v>
      </c>
      <c r="G19" s="1047" t="s">
        <v>393</v>
      </c>
      <c r="H19" s="1043">
        <v>1000</v>
      </c>
      <c r="I19" s="1043">
        <v>0</v>
      </c>
      <c r="J19" s="1043">
        <f>+I19+H19</f>
        <v>1000</v>
      </c>
      <c r="K19" s="1048" t="s">
        <v>74</v>
      </c>
      <c r="L19" s="1048" t="s">
        <v>611</v>
      </c>
    </row>
    <row r="20" spans="2:17" ht="24.95" customHeight="1" x14ac:dyDescent="0.25">
      <c r="B20" s="1052" t="s">
        <v>928</v>
      </c>
      <c r="C20" s="1044" t="s">
        <v>836</v>
      </c>
      <c r="D20" s="1044" t="s">
        <v>839</v>
      </c>
      <c r="E20" s="1045" t="s">
        <v>842</v>
      </c>
      <c r="F20" s="1048" t="s">
        <v>457</v>
      </c>
      <c r="G20" s="1047" t="s">
        <v>393</v>
      </c>
      <c r="H20" s="1043">
        <v>750</v>
      </c>
      <c r="I20" s="1043">
        <v>0</v>
      </c>
      <c r="J20" s="1043">
        <f>+I20+H20</f>
        <v>750</v>
      </c>
      <c r="K20" s="1048" t="s">
        <v>74</v>
      </c>
      <c r="L20" s="1048" t="s">
        <v>611</v>
      </c>
    </row>
    <row r="21" spans="2:17" ht="24.95" customHeight="1" x14ac:dyDescent="0.25">
      <c r="B21" s="1052" t="s">
        <v>929</v>
      </c>
      <c r="C21" s="1044" t="s">
        <v>836</v>
      </c>
      <c r="D21" s="1044" t="s">
        <v>839</v>
      </c>
      <c r="E21" s="1045" t="s">
        <v>842</v>
      </c>
      <c r="F21" s="1048" t="s">
        <v>248</v>
      </c>
      <c r="G21" s="1047" t="s">
        <v>400</v>
      </c>
      <c r="H21" s="1076">
        <v>15400</v>
      </c>
      <c r="I21" s="1043">
        <f>H21*19%</f>
        <v>2926</v>
      </c>
      <c r="J21" s="1043">
        <f>+I21+H21</f>
        <v>18326</v>
      </c>
      <c r="K21" s="1048"/>
      <c r="L21" s="1048"/>
    </row>
    <row r="22" spans="2:17" ht="24.95" customHeight="1" x14ac:dyDescent="0.25">
      <c r="B22" s="1052" t="s">
        <v>930</v>
      </c>
      <c r="C22" s="1044" t="s">
        <v>836</v>
      </c>
      <c r="D22" s="1044" t="s">
        <v>839</v>
      </c>
      <c r="E22" s="1045" t="s">
        <v>842</v>
      </c>
      <c r="F22" s="1079" t="s">
        <v>566</v>
      </c>
      <c r="G22" s="1047" t="s">
        <v>400</v>
      </c>
      <c r="H22" s="1043">
        <v>750000</v>
      </c>
      <c r="I22" s="1043"/>
      <c r="J22" s="1043">
        <f>+H22</f>
        <v>750000</v>
      </c>
      <c r="K22" s="1048" t="s">
        <v>74</v>
      </c>
      <c r="L22" s="1048" t="s">
        <v>646</v>
      </c>
    </row>
    <row r="23" spans="2:17" ht="24.95" customHeight="1" x14ac:dyDescent="0.25">
      <c r="B23" s="1052" t="s">
        <v>931</v>
      </c>
      <c r="C23" s="1044" t="s">
        <v>836</v>
      </c>
      <c r="D23" s="1044" t="s">
        <v>839</v>
      </c>
      <c r="E23" s="1045" t="s">
        <v>842</v>
      </c>
      <c r="F23" s="1080" t="s">
        <v>712</v>
      </c>
      <c r="G23" s="1047" t="s">
        <v>400</v>
      </c>
      <c r="H23" s="1043">
        <v>2000000</v>
      </c>
      <c r="I23" s="1043">
        <f t="shared" ref="I23:I27" si="2">H23*19%</f>
        <v>380000</v>
      </c>
      <c r="J23" s="1043">
        <f t="shared" ref="J23:J29" si="3">+I23+H23</f>
        <v>2380000</v>
      </c>
      <c r="K23" s="1048" t="s">
        <v>74</v>
      </c>
      <c r="L23" s="1048"/>
    </row>
    <row r="24" spans="2:17" ht="24.95" customHeight="1" x14ac:dyDescent="0.25">
      <c r="B24" s="1052" t="s">
        <v>932</v>
      </c>
      <c r="C24" s="1044" t="s">
        <v>836</v>
      </c>
      <c r="D24" s="1044" t="s">
        <v>839</v>
      </c>
      <c r="E24" s="1045" t="s">
        <v>842</v>
      </c>
      <c r="F24" s="1048" t="s">
        <v>446</v>
      </c>
      <c r="G24" s="1047" t="s">
        <v>400</v>
      </c>
      <c r="H24" s="1043">
        <v>600000</v>
      </c>
      <c r="I24" s="1043">
        <f t="shared" si="2"/>
        <v>114000</v>
      </c>
      <c r="J24" s="1043">
        <f t="shared" si="3"/>
        <v>714000</v>
      </c>
      <c r="K24" s="1081"/>
      <c r="L24" s="1048"/>
    </row>
    <row r="25" spans="2:17" ht="24.95" customHeight="1" x14ac:dyDescent="0.25">
      <c r="B25" s="1052" t="s">
        <v>933</v>
      </c>
      <c r="C25" s="1044" t="s">
        <v>836</v>
      </c>
      <c r="D25" s="1044" t="s">
        <v>839</v>
      </c>
      <c r="E25" s="1045" t="s">
        <v>842</v>
      </c>
      <c r="F25" s="1048" t="s">
        <v>300</v>
      </c>
      <c r="G25" s="1047" t="s">
        <v>400</v>
      </c>
      <c r="H25" s="1082">
        <v>30041</v>
      </c>
      <c r="I25" s="1043">
        <f t="shared" si="2"/>
        <v>5707.79</v>
      </c>
      <c r="J25" s="1043">
        <f t="shared" si="3"/>
        <v>35748.79</v>
      </c>
      <c r="K25" s="1048"/>
      <c r="L25" s="1048"/>
    </row>
    <row r="26" spans="2:17" ht="24.95" customHeight="1" x14ac:dyDescent="0.25">
      <c r="B26" s="1052" t="s">
        <v>934</v>
      </c>
      <c r="C26" s="1044" t="s">
        <v>836</v>
      </c>
      <c r="D26" s="1044" t="s">
        <v>839</v>
      </c>
      <c r="E26" s="1045" t="s">
        <v>842</v>
      </c>
      <c r="F26" s="1048" t="s">
        <v>251</v>
      </c>
      <c r="G26" s="1047" t="s">
        <v>400</v>
      </c>
      <c r="H26" s="1083">
        <v>45404</v>
      </c>
      <c r="I26" s="1043">
        <f>H26*5%</f>
        <v>2270.2000000000003</v>
      </c>
      <c r="J26" s="1043">
        <f t="shared" si="3"/>
        <v>47674.2</v>
      </c>
      <c r="K26" s="1048"/>
      <c r="L26" s="1048"/>
    </row>
    <row r="27" spans="2:17" ht="24.95" customHeight="1" x14ac:dyDescent="0.25">
      <c r="B27" s="1052" t="s">
        <v>935</v>
      </c>
      <c r="C27" s="1044" t="s">
        <v>836</v>
      </c>
      <c r="D27" s="1044" t="s">
        <v>839</v>
      </c>
      <c r="E27" s="1045" t="s">
        <v>842</v>
      </c>
      <c r="F27" s="1079" t="s">
        <v>567</v>
      </c>
      <c r="G27" s="1047" t="s">
        <v>400</v>
      </c>
      <c r="H27" s="1082">
        <v>120000</v>
      </c>
      <c r="I27" s="1043">
        <f t="shared" si="2"/>
        <v>22800</v>
      </c>
      <c r="J27" s="1043">
        <f t="shared" si="3"/>
        <v>142800</v>
      </c>
      <c r="K27" s="1048"/>
      <c r="L27" s="1048"/>
    </row>
    <row r="28" spans="2:17" ht="24.95" customHeight="1" x14ac:dyDescent="0.25">
      <c r="B28" s="1052" t="s">
        <v>936</v>
      </c>
      <c r="C28" s="1044" t="s">
        <v>836</v>
      </c>
      <c r="D28" s="1044" t="s">
        <v>839</v>
      </c>
      <c r="E28" s="1045" t="s">
        <v>842</v>
      </c>
      <c r="F28" s="1048" t="s">
        <v>292</v>
      </c>
      <c r="G28" s="1047" t="s">
        <v>400</v>
      </c>
      <c r="H28" s="1043">
        <v>120000</v>
      </c>
      <c r="I28" s="1043">
        <f>H28*19%</f>
        <v>22800</v>
      </c>
      <c r="J28" s="1043">
        <f t="shared" si="3"/>
        <v>142800</v>
      </c>
      <c r="K28" s="1048" t="s">
        <v>74</v>
      </c>
      <c r="L28" s="1048" t="s">
        <v>647</v>
      </c>
    </row>
    <row r="29" spans="2:17" ht="24.95" customHeight="1" x14ac:dyDescent="0.25">
      <c r="B29" s="1052" t="s">
        <v>937</v>
      </c>
      <c r="C29" s="1044" t="s">
        <v>836</v>
      </c>
      <c r="D29" s="1044" t="s">
        <v>839</v>
      </c>
      <c r="E29" s="1045" t="s">
        <v>842</v>
      </c>
      <c r="F29" s="1048" t="s">
        <v>447</v>
      </c>
      <c r="G29" s="1047" t="s">
        <v>439</v>
      </c>
      <c r="H29" s="1043">
        <v>38000</v>
      </c>
      <c r="I29" s="1043">
        <v>0</v>
      </c>
      <c r="J29" s="1043">
        <f t="shared" si="3"/>
        <v>38000</v>
      </c>
      <c r="K29" s="1048" t="s">
        <v>74</v>
      </c>
      <c r="L29" s="1048" t="s">
        <v>647</v>
      </c>
      <c r="Q29" s="1084"/>
    </row>
    <row r="30" spans="2:17" ht="24.95" customHeight="1" x14ac:dyDescent="0.25">
      <c r="B30" s="1052" t="s">
        <v>938</v>
      </c>
      <c r="C30" s="1044" t="s">
        <v>836</v>
      </c>
      <c r="D30" s="1044" t="s">
        <v>839</v>
      </c>
      <c r="E30" s="1045" t="s">
        <v>842</v>
      </c>
      <c r="F30" s="1048" t="s">
        <v>277</v>
      </c>
      <c r="G30" s="1047" t="s">
        <v>54</v>
      </c>
      <c r="H30" s="1078">
        <f>90000/3785</f>
        <v>23.778071334214001</v>
      </c>
      <c r="I30" s="1078"/>
      <c r="J30" s="1043">
        <f t="shared" ref="J30:J35" si="4">+I30+H30</f>
        <v>23.778071334214001</v>
      </c>
      <c r="K30" s="1048" t="s">
        <v>74</v>
      </c>
      <c r="L30" s="1048" t="s">
        <v>449</v>
      </c>
      <c r="M30" s="1047" t="s">
        <v>645</v>
      </c>
      <c r="Q30" s="1084"/>
    </row>
    <row r="31" spans="2:17" ht="48" customHeight="1" x14ac:dyDescent="0.25">
      <c r="B31" s="1052" t="s">
        <v>939</v>
      </c>
      <c r="C31" s="1044" t="s">
        <v>836</v>
      </c>
      <c r="D31" s="1044" t="s">
        <v>839</v>
      </c>
      <c r="E31" s="1045" t="s">
        <v>842</v>
      </c>
      <c r="F31" s="1048" t="s">
        <v>268</v>
      </c>
      <c r="G31" s="1047" t="s">
        <v>400</v>
      </c>
      <c r="H31" s="1078">
        <v>20000</v>
      </c>
      <c r="I31" s="1043">
        <v>0</v>
      </c>
      <c r="J31" s="1043">
        <f t="shared" si="4"/>
        <v>20000</v>
      </c>
      <c r="K31" s="1048" t="s">
        <v>648</v>
      </c>
      <c r="L31" s="1048" t="s">
        <v>449</v>
      </c>
    </row>
    <row r="32" spans="2:17" ht="24.95" customHeight="1" x14ac:dyDescent="0.25">
      <c r="B32" s="1052" t="s">
        <v>940</v>
      </c>
      <c r="C32" s="1044" t="s">
        <v>836</v>
      </c>
      <c r="D32" s="1044" t="s">
        <v>839</v>
      </c>
      <c r="E32" s="1045" t="s">
        <v>842</v>
      </c>
      <c r="F32" s="1048" t="s">
        <v>444</v>
      </c>
      <c r="G32" s="1047" t="s">
        <v>400</v>
      </c>
      <c r="H32" s="1043">
        <v>10086</v>
      </c>
      <c r="I32" s="1043">
        <f>H32*19%</f>
        <v>1916.34</v>
      </c>
      <c r="J32" s="1043">
        <f t="shared" si="4"/>
        <v>12002.34</v>
      </c>
      <c r="K32" s="1048" t="s">
        <v>74</v>
      </c>
      <c r="L32" s="1048" t="s">
        <v>647</v>
      </c>
    </row>
    <row r="33" spans="1:21" ht="24.95" customHeight="1" x14ac:dyDescent="0.25">
      <c r="B33" s="1052" t="s">
        <v>941</v>
      </c>
      <c r="C33" s="1044" t="s">
        <v>836</v>
      </c>
      <c r="D33" s="1044" t="s">
        <v>839</v>
      </c>
      <c r="E33" s="1045" t="s">
        <v>842</v>
      </c>
      <c r="F33" s="1079" t="s">
        <v>291</v>
      </c>
      <c r="G33" s="1047" t="s">
        <v>400</v>
      </c>
      <c r="H33" s="1043">
        <v>15000</v>
      </c>
      <c r="I33" s="1043">
        <f>H33*19%</f>
        <v>2850</v>
      </c>
      <c r="J33" s="1043">
        <f t="shared" si="4"/>
        <v>17850</v>
      </c>
      <c r="K33" s="1048" t="s">
        <v>74</v>
      </c>
      <c r="L33" s="1048" t="s">
        <v>647</v>
      </c>
    </row>
    <row r="34" spans="1:21" ht="24.95" customHeight="1" x14ac:dyDescent="0.25">
      <c r="B34" s="1052" t="s">
        <v>942</v>
      </c>
      <c r="C34" s="1044" t="s">
        <v>836</v>
      </c>
      <c r="D34" s="1044" t="s">
        <v>839</v>
      </c>
      <c r="E34" s="1045" t="s">
        <v>842</v>
      </c>
      <c r="F34" s="1079" t="s">
        <v>571</v>
      </c>
      <c r="G34" s="1047" t="s">
        <v>400</v>
      </c>
      <c r="H34" s="1078">
        <v>35000</v>
      </c>
      <c r="I34" s="1043">
        <f>H34*19%</f>
        <v>6650</v>
      </c>
      <c r="J34" s="1043">
        <f t="shared" si="4"/>
        <v>41650</v>
      </c>
      <c r="K34" s="1048" t="s">
        <v>74</v>
      </c>
      <c r="L34" s="1048" t="s">
        <v>449</v>
      </c>
    </row>
    <row r="35" spans="1:21" ht="24.95" customHeight="1" x14ac:dyDescent="0.25">
      <c r="B35" s="1052" t="s">
        <v>943</v>
      </c>
      <c r="C35" s="1044" t="s">
        <v>836</v>
      </c>
      <c r="D35" s="1044" t="s">
        <v>839</v>
      </c>
      <c r="E35" s="1045" t="s">
        <v>842</v>
      </c>
      <c r="F35" s="1079" t="s">
        <v>572</v>
      </c>
      <c r="G35" s="1047" t="s">
        <v>400</v>
      </c>
      <c r="H35" s="1078">
        <v>750000</v>
      </c>
      <c r="I35" s="1043">
        <f>H35*19%</f>
        <v>142500</v>
      </c>
      <c r="J35" s="1043">
        <f t="shared" si="4"/>
        <v>892500</v>
      </c>
      <c r="K35" s="1085"/>
      <c r="L35" s="1085"/>
      <c r="Q35" s="1084"/>
    </row>
    <row r="36" spans="1:21" s="1086" customFormat="1" ht="24.95" customHeight="1" x14ac:dyDescent="0.25">
      <c r="A36" s="1049"/>
      <c r="B36" s="1052" t="s">
        <v>944</v>
      </c>
      <c r="C36" s="1044" t="s">
        <v>836</v>
      </c>
      <c r="D36" s="1044" t="s">
        <v>839</v>
      </c>
      <c r="E36" s="1045" t="s">
        <v>842</v>
      </c>
      <c r="F36" s="1079" t="s">
        <v>583</v>
      </c>
      <c r="G36" s="1047" t="s">
        <v>400</v>
      </c>
      <c r="H36" s="1078">
        <v>42000</v>
      </c>
      <c r="I36" s="1078">
        <v>0</v>
      </c>
      <c r="J36" s="1078">
        <f>+H36</f>
        <v>42000</v>
      </c>
      <c r="K36" s="1085"/>
      <c r="L36" s="1085"/>
      <c r="M36" s="1049"/>
      <c r="N36" s="1049"/>
      <c r="O36" s="1049"/>
      <c r="P36" s="1049"/>
      <c r="Q36" s="1084"/>
      <c r="R36" s="1049"/>
      <c r="S36" s="1049"/>
      <c r="T36" s="1049"/>
      <c r="U36" s="1049"/>
    </row>
    <row r="37" spans="1:21" ht="24.95" customHeight="1" x14ac:dyDescent="0.25">
      <c r="A37" s="1087" t="s">
        <v>786</v>
      </c>
      <c r="B37" s="1052" t="s">
        <v>945</v>
      </c>
      <c r="C37" s="1044" t="s">
        <v>836</v>
      </c>
      <c r="D37" s="1044" t="s">
        <v>839</v>
      </c>
      <c r="E37" s="1045" t="s">
        <v>842</v>
      </c>
      <c r="F37" s="1085" t="s">
        <v>109</v>
      </c>
      <c r="G37" s="1047" t="s">
        <v>400</v>
      </c>
      <c r="H37" s="1043">
        <v>70000</v>
      </c>
      <c r="I37" s="1043">
        <f t="shared" ref="I37" si="5">H37*19%</f>
        <v>13300</v>
      </c>
      <c r="J37" s="1043">
        <f t="shared" ref="J37" si="6">+I37+H37</f>
        <v>83300</v>
      </c>
      <c r="K37" s="1048"/>
      <c r="L37" s="1048"/>
    </row>
    <row r="38" spans="1:21" ht="24.95" customHeight="1" x14ac:dyDescent="0.25">
      <c r="B38" s="1052" t="s">
        <v>946</v>
      </c>
      <c r="C38" s="1044" t="s">
        <v>836</v>
      </c>
      <c r="D38" s="1044" t="s">
        <v>839</v>
      </c>
      <c r="E38" s="1045" t="s">
        <v>842</v>
      </c>
      <c r="F38" s="1048" t="s">
        <v>264</v>
      </c>
      <c r="G38" s="1047" t="s">
        <v>400</v>
      </c>
      <c r="H38" s="1043">
        <v>61698</v>
      </c>
      <c r="I38" s="1043">
        <f t="shared" ref="I38:I43" si="7">H38*19%</f>
        <v>11722.62</v>
      </c>
      <c r="J38" s="1043">
        <f t="shared" ref="J38:J43" si="8">+I38+H38</f>
        <v>73420.62</v>
      </c>
      <c r="K38" s="1048"/>
      <c r="L38" s="1048"/>
    </row>
    <row r="39" spans="1:21" ht="24.95" customHeight="1" x14ac:dyDescent="0.25">
      <c r="B39" s="1052" t="s">
        <v>947</v>
      </c>
      <c r="C39" s="1044" t="s">
        <v>836</v>
      </c>
      <c r="D39" s="1088" t="s">
        <v>843</v>
      </c>
      <c r="E39" s="1089" t="s">
        <v>845</v>
      </c>
      <c r="F39" s="1048" t="s">
        <v>297</v>
      </c>
      <c r="G39" s="1047" t="s">
        <v>400</v>
      </c>
      <c r="H39" s="1090">
        <v>210084.03</v>
      </c>
      <c r="I39" s="1043">
        <f t="shared" si="7"/>
        <v>39915.965700000001</v>
      </c>
      <c r="J39" s="1043">
        <f t="shared" si="8"/>
        <v>249999.9957</v>
      </c>
      <c r="K39" s="1048"/>
      <c r="L39" s="1048"/>
    </row>
    <row r="40" spans="1:21" ht="24.95" customHeight="1" x14ac:dyDescent="0.25">
      <c r="B40" s="1052" t="s">
        <v>948</v>
      </c>
      <c r="C40" s="1044" t="s">
        <v>836</v>
      </c>
      <c r="D40" s="1088" t="s">
        <v>843</v>
      </c>
      <c r="E40" s="1089" t="s">
        <v>845</v>
      </c>
      <c r="F40" s="1048" t="s">
        <v>281</v>
      </c>
      <c r="G40" s="1047" t="s">
        <v>400</v>
      </c>
      <c r="H40" s="1043">
        <v>20882</v>
      </c>
      <c r="I40" s="1043">
        <f t="shared" si="7"/>
        <v>3967.58</v>
      </c>
      <c r="J40" s="1043">
        <f t="shared" si="8"/>
        <v>24849.58</v>
      </c>
      <c r="K40" s="1048"/>
      <c r="L40" s="1048"/>
    </row>
    <row r="41" spans="1:21" ht="24.95" customHeight="1" x14ac:dyDescent="0.25">
      <c r="B41" s="1052" t="s">
        <v>949</v>
      </c>
      <c r="C41" s="1044" t="s">
        <v>836</v>
      </c>
      <c r="D41" s="1088" t="s">
        <v>843</v>
      </c>
      <c r="E41" s="1089" t="s">
        <v>845</v>
      </c>
      <c r="F41" s="1048" t="s">
        <v>246</v>
      </c>
      <c r="G41" s="1047" t="s">
        <v>400</v>
      </c>
      <c r="H41" s="1043">
        <v>80268</v>
      </c>
      <c r="I41" s="1043">
        <f t="shared" si="7"/>
        <v>15250.92</v>
      </c>
      <c r="J41" s="1043">
        <f t="shared" si="8"/>
        <v>95518.92</v>
      </c>
      <c r="K41" s="1048"/>
      <c r="L41" s="1048"/>
    </row>
    <row r="42" spans="1:21" ht="24.95" customHeight="1" x14ac:dyDescent="0.25">
      <c r="B42" s="1052" t="s">
        <v>950</v>
      </c>
      <c r="C42" s="1044" t="s">
        <v>836</v>
      </c>
      <c r="D42" s="1088" t="s">
        <v>843</v>
      </c>
      <c r="E42" s="1089" t="s">
        <v>845</v>
      </c>
      <c r="F42" s="1048" t="s">
        <v>259</v>
      </c>
      <c r="G42" s="1047" t="s">
        <v>400</v>
      </c>
      <c r="H42" s="1043">
        <v>63103</v>
      </c>
      <c r="I42" s="1043">
        <f t="shared" si="7"/>
        <v>11989.57</v>
      </c>
      <c r="J42" s="1043">
        <f t="shared" si="8"/>
        <v>75092.570000000007</v>
      </c>
      <c r="K42" s="1048" t="s">
        <v>664</v>
      </c>
      <c r="L42" s="1048" t="s">
        <v>644</v>
      </c>
    </row>
    <row r="43" spans="1:21" ht="24.95" customHeight="1" x14ac:dyDescent="0.25">
      <c r="B43" s="1052" t="s">
        <v>951</v>
      </c>
      <c r="C43" s="1091" t="s">
        <v>836</v>
      </c>
      <c r="D43" s="1088" t="s">
        <v>843</v>
      </c>
      <c r="E43" s="1092" t="s">
        <v>845</v>
      </c>
      <c r="F43" s="1048" t="s">
        <v>293</v>
      </c>
      <c r="G43" s="1047" t="s">
        <v>400</v>
      </c>
      <c r="H43" s="1043">
        <v>140000</v>
      </c>
      <c r="I43" s="1043">
        <f t="shared" si="7"/>
        <v>26600</v>
      </c>
      <c r="J43" s="1043">
        <f t="shared" si="8"/>
        <v>166600</v>
      </c>
      <c r="K43" s="1048"/>
      <c r="L43" s="1048"/>
    </row>
    <row r="44" spans="1:21" ht="24.95" customHeight="1" x14ac:dyDescent="0.25">
      <c r="B44" s="1052" t="s">
        <v>952</v>
      </c>
      <c r="C44" s="1044" t="s">
        <v>836</v>
      </c>
      <c r="D44" s="1093" t="s">
        <v>846</v>
      </c>
      <c r="E44" s="1094" t="s">
        <v>848</v>
      </c>
      <c r="F44" s="1048" t="s">
        <v>284</v>
      </c>
      <c r="G44" s="1047" t="s">
        <v>400</v>
      </c>
      <c r="H44" s="1043">
        <v>52325</v>
      </c>
      <c r="I44" s="1043">
        <f t="shared" ref="I44:I55" si="9">H44*19%</f>
        <v>9941.75</v>
      </c>
      <c r="J44" s="1043">
        <f t="shared" ref="J44" si="10">+I44+H44</f>
        <v>62266.75</v>
      </c>
      <c r="K44" s="1048"/>
      <c r="L44" s="1048"/>
    </row>
    <row r="45" spans="1:21" ht="24.95" customHeight="1" x14ac:dyDescent="0.25">
      <c r="A45" s="1087" t="s">
        <v>786</v>
      </c>
      <c r="B45" s="1052" t="s">
        <v>953</v>
      </c>
      <c r="C45" s="1044" t="s">
        <v>836</v>
      </c>
      <c r="D45" s="1093" t="s">
        <v>846</v>
      </c>
      <c r="E45" s="1094" t="s">
        <v>848</v>
      </c>
      <c r="F45" s="1085" t="s">
        <v>294</v>
      </c>
      <c r="G45" s="1047" t="s">
        <v>400</v>
      </c>
      <c r="H45" s="1043">
        <v>53393</v>
      </c>
      <c r="I45" s="1043">
        <f t="shared" si="9"/>
        <v>10144.67</v>
      </c>
      <c r="J45" s="1043">
        <f t="shared" ref="J45:J46" si="11">+I45+H45</f>
        <v>63537.67</v>
      </c>
      <c r="K45" s="1048"/>
      <c r="L45" s="1048"/>
    </row>
    <row r="46" spans="1:21" ht="24.95" customHeight="1" x14ac:dyDescent="0.25">
      <c r="A46" s="1087" t="s">
        <v>786</v>
      </c>
      <c r="B46" s="1052" t="s">
        <v>954</v>
      </c>
      <c r="C46" s="1044" t="s">
        <v>836</v>
      </c>
      <c r="D46" s="1093" t="s">
        <v>846</v>
      </c>
      <c r="E46" s="1094" t="s">
        <v>848</v>
      </c>
      <c r="F46" s="1085" t="s">
        <v>290</v>
      </c>
      <c r="G46" s="1047" t="s">
        <v>400</v>
      </c>
      <c r="H46" s="1043">
        <v>53393</v>
      </c>
      <c r="I46" s="1043">
        <f t="shared" si="9"/>
        <v>10144.67</v>
      </c>
      <c r="J46" s="1043">
        <f t="shared" si="11"/>
        <v>63537.67</v>
      </c>
      <c r="K46" s="1048"/>
      <c r="L46" s="1048"/>
    </row>
    <row r="47" spans="1:21" ht="24.95" customHeight="1" x14ac:dyDescent="0.25">
      <c r="B47" s="1052" t="s">
        <v>955</v>
      </c>
      <c r="C47" s="1044" t="s">
        <v>836</v>
      </c>
      <c r="D47" s="1093" t="s">
        <v>846</v>
      </c>
      <c r="E47" s="1094" t="s">
        <v>848</v>
      </c>
      <c r="F47" s="1048" t="s">
        <v>269</v>
      </c>
      <c r="G47" s="1047" t="s">
        <v>400</v>
      </c>
      <c r="H47" s="1043">
        <v>49240</v>
      </c>
      <c r="I47" s="1043">
        <f t="shared" si="9"/>
        <v>9355.6</v>
      </c>
      <c r="J47" s="1043">
        <f t="shared" ref="J47" si="12">+I47+H47</f>
        <v>58595.6</v>
      </c>
      <c r="K47" s="1048"/>
      <c r="L47" s="1048"/>
    </row>
    <row r="48" spans="1:21" ht="24.95" customHeight="1" x14ac:dyDescent="0.25">
      <c r="B48" s="1052" t="s">
        <v>956</v>
      </c>
      <c r="C48" s="1044" t="s">
        <v>836</v>
      </c>
      <c r="D48" s="1093" t="s">
        <v>846</v>
      </c>
      <c r="E48" s="1094" t="s">
        <v>848</v>
      </c>
      <c r="F48" s="1048" t="s">
        <v>296</v>
      </c>
      <c r="G48" s="1047" t="s">
        <v>400</v>
      </c>
      <c r="H48" s="1043">
        <v>65000</v>
      </c>
      <c r="I48" s="1043">
        <f t="shared" si="9"/>
        <v>12350</v>
      </c>
      <c r="J48" s="1043">
        <f t="shared" ref="J48" si="13">+I48+H48</f>
        <v>77350</v>
      </c>
      <c r="K48" s="1048"/>
      <c r="L48" s="1048"/>
    </row>
    <row r="49" spans="1:17" ht="24.95" customHeight="1" x14ac:dyDescent="0.25">
      <c r="B49" s="1052" t="s">
        <v>957</v>
      </c>
      <c r="C49" s="1044" t="s">
        <v>836</v>
      </c>
      <c r="D49" s="1093" t="s">
        <v>846</v>
      </c>
      <c r="E49" s="1094" t="s">
        <v>848</v>
      </c>
      <c r="F49" s="1048" t="s">
        <v>270</v>
      </c>
      <c r="G49" s="1047" t="s">
        <v>400</v>
      </c>
      <c r="H49" s="1043">
        <v>70000</v>
      </c>
      <c r="I49" s="1043">
        <f t="shared" si="9"/>
        <v>13300</v>
      </c>
      <c r="J49" s="1043">
        <f t="shared" ref="J49:J51" si="14">+I49+H49</f>
        <v>83300</v>
      </c>
      <c r="K49" s="1048"/>
      <c r="L49" s="1048"/>
    </row>
    <row r="50" spans="1:17" ht="24.95" customHeight="1" x14ac:dyDescent="0.25">
      <c r="B50" s="1052" t="s">
        <v>958</v>
      </c>
      <c r="C50" s="1044" t="s">
        <v>836</v>
      </c>
      <c r="D50" s="1093" t="s">
        <v>846</v>
      </c>
      <c r="E50" s="1094" t="s">
        <v>848</v>
      </c>
      <c r="F50" s="1048" t="s">
        <v>600</v>
      </c>
      <c r="G50" s="1047" t="s">
        <v>400</v>
      </c>
      <c r="H50" s="1043">
        <v>46867</v>
      </c>
      <c r="I50" s="1043">
        <f t="shared" si="9"/>
        <v>8904.73</v>
      </c>
      <c r="J50" s="1043">
        <f t="shared" si="14"/>
        <v>55771.729999999996</v>
      </c>
      <c r="K50" s="1048"/>
      <c r="L50" s="1048"/>
    </row>
    <row r="51" spans="1:17" ht="24.95" customHeight="1" x14ac:dyDescent="0.25">
      <c r="A51" s="1087" t="s">
        <v>786</v>
      </c>
      <c r="B51" s="1052" t="s">
        <v>959</v>
      </c>
      <c r="C51" s="1044" t="s">
        <v>836</v>
      </c>
      <c r="D51" s="1093" t="s">
        <v>846</v>
      </c>
      <c r="E51" s="1094" t="s">
        <v>848</v>
      </c>
      <c r="F51" s="1085" t="s">
        <v>257</v>
      </c>
      <c r="G51" s="1047" t="s">
        <v>400</v>
      </c>
      <c r="H51" s="1043">
        <v>53393</v>
      </c>
      <c r="I51" s="1043">
        <f t="shared" si="9"/>
        <v>10144.67</v>
      </c>
      <c r="J51" s="1043">
        <f t="shared" si="14"/>
        <v>63537.67</v>
      </c>
      <c r="K51" s="1048"/>
      <c r="L51" s="1048"/>
    </row>
    <row r="52" spans="1:17" ht="24.95" customHeight="1" x14ac:dyDescent="0.25">
      <c r="B52" s="1052" t="s">
        <v>960</v>
      </c>
      <c r="C52" s="1044" t="s">
        <v>836</v>
      </c>
      <c r="D52" s="1093" t="s">
        <v>846</v>
      </c>
      <c r="E52" s="1094" t="s">
        <v>848</v>
      </c>
      <c r="F52" s="1048" t="s">
        <v>601</v>
      </c>
      <c r="G52" s="1047" t="s">
        <v>400</v>
      </c>
      <c r="H52" s="1078">
        <v>64575</v>
      </c>
      <c r="I52" s="1043">
        <f t="shared" si="9"/>
        <v>12269.25</v>
      </c>
      <c r="J52" s="1043">
        <f t="shared" ref="J52:J54" si="15">+I52+H52</f>
        <v>76844.25</v>
      </c>
      <c r="K52" s="1048"/>
      <c r="L52" s="1048"/>
    </row>
    <row r="53" spans="1:17" ht="24.95" customHeight="1" x14ac:dyDescent="0.25">
      <c r="B53" s="1052" t="s">
        <v>961</v>
      </c>
      <c r="C53" s="1044" t="s">
        <v>836</v>
      </c>
      <c r="D53" s="1093" t="s">
        <v>846</v>
      </c>
      <c r="E53" s="1094" t="s">
        <v>848</v>
      </c>
      <c r="F53" s="1048" t="s">
        <v>598</v>
      </c>
      <c r="G53" s="1047" t="s">
        <v>400</v>
      </c>
      <c r="H53" s="1043">
        <v>48647</v>
      </c>
      <c r="I53" s="1043">
        <f t="shared" si="9"/>
        <v>9242.93</v>
      </c>
      <c r="J53" s="1043">
        <f t="shared" si="15"/>
        <v>57889.93</v>
      </c>
      <c r="K53" s="1048"/>
      <c r="L53" s="1048"/>
    </row>
    <row r="54" spans="1:17" ht="24.95" customHeight="1" x14ac:dyDescent="0.25">
      <c r="B54" s="1052" t="s">
        <v>962</v>
      </c>
      <c r="C54" s="1044" t="s">
        <v>836</v>
      </c>
      <c r="D54" s="1093" t="s">
        <v>846</v>
      </c>
      <c r="E54" s="1094" t="s">
        <v>848</v>
      </c>
      <c r="F54" s="1048" t="s">
        <v>256</v>
      </c>
      <c r="G54" s="1047" t="s">
        <v>400</v>
      </c>
      <c r="H54" s="1043">
        <v>142131</v>
      </c>
      <c r="I54" s="1043">
        <f t="shared" si="9"/>
        <v>27004.89</v>
      </c>
      <c r="J54" s="1043">
        <f t="shared" si="15"/>
        <v>169135.89</v>
      </c>
      <c r="K54" s="1048"/>
      <c r="L54" s="1048"/>
    </row>
    <row r="55" spans="1:17" ht="24.95" customHeight="1" x14ac:dyDescent="0.25">
      <c r="B55" s="1052" t="s">
        <v>963</v>
      </c>
      <c r="C55" s="1044" t="s">
        <v>836</v>
      </c>
      <c r="D55" s="1093" t="s">
        <v>846</v>
      </c>
      <c r="E55" s="1094" t="s">
        <v>848</v>
      </c>
      <c r="F55" s="1048" t="s">
        <v>262</v>
      </c>
      <c r="G55" s="1047" t="s">
        <v>400</v>
      </c>
      <c r="H55" s="1043">
        <v>50522</v>
      </c>
      <c r="I55" s="1043">
        <f t="shared" si="9"/>
        <v>9599.18</v>
      </c>
      <c r="J55" s="1043">
        <f t="shared" ref="J55" si="16">+I55+H55</f>
        <v>60121.18</v>
      </c>
      <c r="K55" s="1048"/>
      <c r="L55" s="1048"/>
    </row>
    <row r="56" spans="1:17" s="1096" customFormat="1" ht="24.95" customHeight="1" x14ac:dyDescent="0.25">
      <c r="A56" s="1087" t="s">
        <v>786</v>
      </c>
      <c r="B56" s="1052" t="s">
        <v>964</v>
      </c>
      <c r="C56" s="1044" t="s">
        <v>836</v>
      </c>
      <c r="D56" s="1093" t="s">
        <v>846</v>
      </c>
      <c r="E56" s="1094" t="s">
        <v>848</v>
      </c>
      <c r="F56" s="1095" t="s">
        <v>263</v>
      </c>
      <c r="G56" s="1047" t="s">
        <v>400</v>
      </c>
      <c r="H56" s="1043">
        <v>51533</v>
      </c>
      <c r="I56" s="1043">
        <f t="shared" ref="I56" si="17">H56*19%</f>
        <v>9791.27</v>
      </c>
      <c r="J56" s="1043">
        <f t="shared" ref="J56" si="18">+I56+H56</f>
        <v>61324.270000000004</v>
      </c>
      <c r="K56" s="1095"/>
      <c r="L56" s="1095"/>
      <c r="Q56" s="1097"/>
    </row>
    <row r="57" spans="1:17" ht="24.95" customHeight="1" x14ac:dyDescent="0.25">
      <c r="A57" s="1087" t="s">
        <v>786</v>
      </c>
      <c r="B57" s="1052" t="s">
        <v>965</v>
      </c>
      <c r="C57" s="1044" t="s">
        <v>836</v>
      </c>
      <c r="D57" s="1093" t="s">
        <v>846</v>
      </c>
      <c r="E57" s="1094" t="s">
        <v>848</v>
      </c>
      <c r="F57" s="1085" t="s">
        <v>276</v>
      </c>
      <c r="G57" s="1047" t="s">
        <v>400</v>
      </c>
      <c r="H57" s="1043">
        <v>53393</v>
      </c>
      <c r="I57" s="1043">
        <f>H57*19%</f>
        <v>10144.67</v>
      </c>
      <c r="J57" s="1043">
        <f t="shared" ref="J57" si="19">+I57+H57</f>
        <v>63537.67</v>
      </c>
      <c r="K57" s="1048"/>
      <c r="L57" s="1048"/>
    </row>
    <row r="58" spans="1:17" ht="24.95" customHeight="1" x14ac:dyDescent="0.25">
      <c r="B58" s="1052" t="s">
        <v>966</v>
      </c>
      <c r="C58" s="1044" t="s">
        <v>836</v>
      </c>
      <c r="D58" s="1093" t="s">
        <v>846</v>
      </c>
      <c r="E58" s="1094" t="s">
        <v>848</v>
      </c>
      <c r="F58" s="1048" t="s">
        <v>597</v>
      </c>
      <c r="G58" s="1047" t="s">
        <v>400</v>
      </c>
      <c r="H58" s="1078">
        <v>71947</v>
      </c>
      <c r="I58" s="1043">
        <f t="shared" ref="I58:I63" si="20">H58*19%</f>
        <v>13669.93</v>
      </c>
      <c r="J58" s="1043">
        <f t="shared" ref="J58:J63" si="21">+I58+H58</f>
        <v>85616.93</v>
      </c>
      <c r="K58" s="1048"/>
      <c r="L58" s="1048"/>
    </row>
    <row r="59" spans="1:17" ht="24.95" customHeight="1" x14ac:dyDescent="0.25">
      <c r="B59" s="1052" t="s">
        <v>967</v>
      </c>
      <c r="C59" s="1044" t="s">
        <v>836</v>
      </c>
      <c r="D59" s="1093" t="s">
        <v>846</v>
      </c>
      <c r="E59" s="1094" t="s">
        <v>848</v>
      </c>
      <c r="F59" s="1048" t="s">
        <v>249</v>
      </c>
      <c r="G59" s="1047" t="s">
        <v>400</v>
      </c>
      <c r="H59" s="1043">
        <v>65135</v>
      </c>
      <c r="I59" s="1043">
        <f t="shared" si="20"/>
        <v>12375.65</v>
      </c>
      <c r="J59" s="1043">
        <f t="shared" si="21"/>
        <v>77510.649999999994</v>
      </c>
      <c r="K59" s="1048"/>
      <c r="L59" s="1048"/>
      <c r="Q59" s="1084"/>
    </row>
    <row r="60" spans="1:17" ht="24.95" customHeight="1" x14ac:dyDescent="0.25">
      <c r="B60" s="1052" t="s">
        <v>968</v>
      </c>
      <c r="C60" s="1044" t="s">
        <v>836</v>
      </c>
      <c r="D60" s="1093" t="s">
        <v>846</v>
      </c>
      <c r="E60" s="1094" t="s">
        <v>848</v>
      </c>
      <c r="F60" s="1048" t="s">
        <v>275</v>
      </c>
      <c r="G60" s="1047" t="s">
        <v>400</v>
      </c>
      <c r="H60" s="1043">
        <v>64485</v>
      </c>
      <c r="I60" s="1043">
        <f t="shared" si="20"/>
        <v>12252.15</v>
      </c>
      <c r="J60" s="1043">
        <f t="shared" si="21"/>
        <v>76737.149999999994</v>
      </c>
      <c r="K60" s="1048"/>
      <c r="L60" s="1048"/>
    </row>
    <row r="61" spans="1:17" ht="24.95" customHeight="1" x14ac:dyDescent="0.25">
      <c r="B61" s="1052" t="s">
        <v>969</v>
      </c>
      <c r="C61" s="1044" t="s">
        <v>836</v>
      </c>
      <c r="D61" s="1093" t="s">
        <v>846</v>
      </c>
      <c r="E61" s="1094" t="s">
        <v>848</v>
      </c>
      <c r="F61" s="1048" t="s">
        <v>282</v>
      </c>
      <c r="G61" s="1047" t="s">
        <v>400</v>
      </c>
      <c r="H61" s="1043">
        <v>49061</v>
      </c>
      <c r="I61" s="1043">
        <f t="shared" si="20"/>
        <v>9321.59</v>
      </c>
      <c r="J61" s="1043">
        <f t="shared" si="21"/>
        <v>58382.59</v>
      </c>
      <c r="K61" s="1048"/>
      <c r="L61" s="1048"/>
    </row>
    <row r="62" spans="1:17" ht="24.95" customHeight="1" x14ac:dyDescent="0.25">
      <c r="B62" s="1052" t="s">
        <v>970</v>
      </c>
      <c r="C62" s="1044" t="s">
        <v>836</v>
      </c>
      <c r="D62" s="1093" t="s">
        <v>846</v>
      </c>
      <c r="E62" s="1094" t="s">
        <v>848</v>
      </c>
      <c r="F62" s="1048" t="s">
        <v>602</v>
      </c>
      <c r="G62" s="1047" t="s">
        <v>400</v>
      </c>
      <c r="H62" s="1078">
        <v>49061</v>
      </c>
      <c r="I62" s="1043">
        <f t="shared" si="20"/>
        <v>9321.59</v>
      </c>
      <c r="J62" s="1043">
        <f t="shared" si="21"/>
        <v>58382.59</v>
      </c>
      <c r="K62" s="1048"/>
      <c r="L62" s="1048"/>
    </row>
    <row r="63" spans="1:17" ht="24.95" customHeight="1" x14ac:dyDescent="0.25">
      <c r="B63" s="1052" t="s">
        <v>971</v>
      </c>
      <c r="C63" s="1044" t="s">
        <v>836</v>
      </c>
      <c r="D63" s="1093" t="s">
        <v>846</v>
      </c>
      <c r="E63" s="1094" t="s">
        <v>848</v>
      </c>
      <c r="F63" s="1048" t="s">
        <v>599</v>
      </c>
      <c r="G63" s="1047" t="s">
        <v>400</v>
      </c>
      <c r="H63" s="1078">
        <v>69826</v>
      </c>
      <c r="I63" s="1043">
        <f t="shared" si="20"/>
        <v>13266.94</v>
      </c>
      <c r="J63" s="1043">
        <f t="shared" si="21"/>
        <v>83092.94</v>
      </c>
      <c r="K63" s="1048"/>
      <c r="L63" s="1048"/>
      <c r="Q63" s="1084"/>
    </row>
    <row r="64" spans="1:17" ht="24.95" customHeight="1" x14ac:dyDescent="0.25">
      <c r="B64" s="1052" t="s">
        <v>972</v>
      </c>
      <c r="C64" s="1044" t="s">
        <v>836</v>
      </c>
      <c r="D64" s="1044" t="s">
        <v>839</v>
      </c>
      <c r="E64" s="1045" t="s">
        <v>842</v>
      </c>
      <c r="F64" s="1079" t="s">
        <v>397</v>
      </c>
      <c r="G64" s="1047" t="s">
        <v>400</v>
      </c>
      <c r="H64" s="1078">
        <v>25000</v>
      </c>
      <c r="I64" s="1043">
        <f t="shared" ref="I64:I73" si="22">H64*19%</f>
        <v>4750</v>
      </c>
      <c r="J64" s="1043">
        <f t="shared" ref="J64:J75" si="23">+I64+H64</f>
        <v>29750</v>
      </c>
      <c r="K64" s="1048" t="s">
        <v>73</v>
      </c>
      <c r="L64" s="1048" t="s">
        <v>508</v>
      </c>
    </row>
    <row r="65" spans="2:17" ht="24.95" customHeight="1" x14ac:dyDescent="0.25">
      <c r="B65" s="1052" t="s">
        <v>973</v>
      </c>
      <c r="C65" s="1044" t="s">
        <v>836</v>
      </c>
      <c r="D65" s="1044" t="s">
        <v>839</v>
      </c>
      <c r="E65" s="1045" t="s">
        <v>842</v>
      </c>
      <c r="F65" s="1079" t="s">
        <v>523</v>
      </c>
      <c r="G65" s="1047" t="s">
        <v>400</v>
      </c>
      <c r="H65" s="1078">
        <v>23000</v>
      </c>
      <c r="I65" s="1078">
        <f t="shared" si="22"/>
        <v>4370</v>
      </c>
      <c r="J65" s="1078">
        <f t="shared" si="23"/>
        <v>27370</v>
      </c>
      <c r="K65" s="1048" t="s">
        <v>73</v>
      </c>
      <c r="L65" s="1048" t="s">
        <v>508</v>
      </c>
    </row>
    <row r="66" spans="2:17" ht="24.95" customHeight="1" x14ac:dyDescent="0.25">
      <c r="B66" s="1052" t="s">
        <v>974</v>
      </c>
      <c r="C66" s="1044" t="s">
        <v>836</v>
      </c>
      <c r="D66" s="1044" t="s">
        <v>839</v>
      </c>
      <c r="E66" s="1045" t="s">
        <v>842</v>
      </c>
      <c r="F66" s="1079" t="s">
        <v>524</v>
      </c>
      <c r="G66" s="1047" t="s">
        <v>400</v>
      </c>
      <c r="H66" s="1078">
        <v>40000</v>
      </c>
      <c r="I66" s="1078">
        <f t="shared" si="22"/>
        <v>7600</v>
      </c>
      <c r="J66" s="1078">
        <f t="shared" si="23"/>
        <v>47600</v>
      </c>
      <c r="K66" s="1048" t="s">
        <v>73</v>
      </c>
      <c r="L66" s="1048" t="s">
        <v>508</v>
      </c>
    </row>
    <row r="67" spans="2:17" ht="24.95" customHeight="1" x14ac:dyDescent="0.25">
      <c r="B67" s="1052" t="s">
        <v>975</v>
      </c>
      <c r="C67" s="1044" t="s">
        <v>836</v>
      </c>
      <c r="D67" s="1044" t="s">
        <v>839</v>
      </c>
      <c r="E67" s="1045" t="s">
        <v>842</v>
      </c>
      <c r="F67" s="1079" t="s">
        <v>525</v>
      </c>
      <c r="G67" s="1047" t="s">
        <v>400</v>
      </c>
      <c r="H67" s="1078">
        <v>26000</v>
      </c>
      <c r="I67" s="1078">
        <f t="shared" si="22"/>
        <v>4940</v>
      </c>
      <c r="J67" s="1078">
        <f t="shared" si="23"/>
        <v>30940</v>
      </c>
      <c r="K67" s="1048" t="s">
        <v>73</v>
      </c>
      <c r="L67" s="1048" t="s">
        <v>508</v>
      </c>
    </row>
    <row r="68" spans="2:17" ht="24.95" customHeight="1" x14ac:dyDescent="0.25">
      <c r="B68" s="1052" t="s">
        <v>976</v>
      </c>
      <c r="C68" s="1044" t="s">
        <v>836</v>
      </c>
      <c r="D68" s="1044" t="s">
        <v>839</v>
      </c>
      <c r="E68" s="1045" t="s">
        <v>842</v>
      </c>
      <c r="F68" s="1079" t="s">
        <v>526</v>
      </c>
      <c r="G68" s="1047" t="s">
        <v>400</v>
      </c>
      <c r="H68" s="1078">
        <v>36000</v>
      </c>
      <c r="I68" s="1078">
        <f t="shared" si="22"/>
        <v>6840</v>
      </c>
      <c r="J68" s="1078">
        <f t="shared" si="23"/>
        <v>42840</v>
      </c>
      <c r="K68" s="1048" t="s">
        <v>73</v>
      </c>
      <c r="L68" s="1048" t="s">
        <v>508</v>
      </c>
    </row>
    <row r="69" spans="2:17" ht="24.95" customHeight="1" x14ac:dyDescent="0.25">
      <c r="B69" s="1052" t="s">
        <v>977</v>
      </c>
      <c r="C69" s="1044" t="s">
        <v>836</v>
      </c>
      <c r="D69" s="1044" t="s">
        <v>839</v>
      </c>
      <c r="E69" s="1045" t="s">
        <v>842</v>
      </c>
      <c r="F69" s="1077" t="s">
        <v>527</v>
      </c>
      <c r="G69" s="1047" t="s">
        <v>400</v>
      </c>
      <c r="H69" s="1078">
        <v>27300</v>
      </c>
      <c r="I69" s="1078">
        <f t="shared" si="22"/>
        <v>5187</v>
      </c>
      <c r="J69" s="1078">
        <f t="shared" si="23"/>
        <v>32487</v>
      </c>
      <c r="K69" s="1048" t="s">
        <v>73</v>
      </c>
      <c r="L69" s="1048" t="s">
        <v>508</v>
      </c>
    </row>
    <row r="70" spans="2:17" ht="24.95" customHeight="1" x14ac:dyDescent="0.25">
      <c r="B70" s="1052" t="s">
        <v>978</v>
      </c>
      <c r="C70" s="1044" t="s">
        <v>836</v>
      </c>
      <c r="D70" s="1044" t="s">
        <v>839</v>
      </c>
      <c r="E70" s="1045" t="s">
        <v>842</v>
      </c>
      <c r="F70" s="1079" t="s">
        <v>103</v>
      </c>
      <c r="G70" s="1047" t="s">
        <v>400</v>
      </c>
      <c r="H70" s="1078">
        <v>46000</v>
      </c>
      <c r="I70" s="1078">
        <f t="shared" si="22"/>
        <v>8740</v>
      </c>
      <c r="J70" s="1078">
        <f t="shared" si="23"/>
        <v>54740</v>
      </c>
      <c r="K70" s="1048" t="s">
        <v>73</v>
      </c>
      <c r="L70" s="1048" t="s">
        <v>508</v>
      </c>
    </row>
    <row r="71" spans="2:17" ht="24.95" customHeight="1" x14ac:dyDescent="0.25">
      <c r="B71" s="1052" t="s">
        <v>979</v>
      </c>
      <c r="C71" s="1044" t="s">
        <v>836</v>
      </c>
      <c r="D71" s="1044" t="s">
        <v>839</v>
      </c>
      <c r="E71" s="1045" t="s">
        <v>842</v>
      </c>
      <c r="F71" s="1079" t="s">
        <v>661</v>
      </c>
      <c r="G71" s="1047" t="s">
        <v>400</v>
      </c>
      <c r="H71" s="1078">
        <v>260000</v>
      </c>
      <c r="I71" s="1078">
        <f t="shared" si="22"/>
        <v>49400</v>
      </c>
      <c r="J71" s="1078">
        <f t="shared" si="23"/>
        <v>309400</v>
      </c>
      <c r="K71" s="1048" t="s">
        <v>73</v>
      </c>
      <c r="L71" s="1048" t="s">
        <v>508</v>
      </c>
    </row>
    <row r="72" spans="2:17" ht="24.95" customHeight="1" x14ac:dyDescent="0.25">
      <c r="B72" s="1052" t="s">
        <v>980</v>
      </c>
      <c r="C72" s="1044" t="s">
        <v>836</v>
      </c>
      <c r="D72" s="1044" t="s">
        <v>839</v>
      </c>
      <c r="E72" s="1045" t="s">
        <v>842</v>
      </c>
      <c r="F72" s="1079" t="s">
        <v>662</v>
      </c>
      <c r="G72" s="1047" t="s">
        <v>400</v>
      </c>
      <c r="H72" s="1078">
        <v>102000</v>
      </c>
      <c r="I72" s="1078">
        <f t="shared" si="22"/>
        <v>19380</v>
      </c>
      <c r="J72" s="1078">
        <f t="shared" si="23"/>
        <v>121380</v>
      </c>
      <c r="K72" s="1048" t="s">
        <v>73</v>
      </c>
      <c r="L72" s="1048" t="s">
        <v>508</v>
      </c>
    </row>
    <row r="73" spans="2:17" ht="24.95" customHeight="1" x14ac:dyDescent="0.25">
      <c r="B73" s="1052" t="s">
        <v>981</v>
      </c>
      <c r="C73" s="1044" t="s">
        <v>836</v>
      </c>
      <c r="D73" s="1044" t="s">
        <v>839</v>
      </c>
      <c r="E73" s="1045" t="s">
        <v>842</v>
      </c>
      <c r="F73" s="1079" t="s">
        <v>98</v>
      </c>
      <c r="G73" s="1047" t="s">
        <v>400</v>
      </c>
      <c r="H73" s="1078">
        <v>70000</v>
      </c>
      <c r="I73" s="1078">
        <f t="shared" si="22"/>
        <v>13300</v>
      </c>
      <c r="J73" s="1078">
        <f t="shared" si="23"/>
        <v>83300</v>
      </c>
      <c r="K73" s="1048" t="s">
        <v>73</v>
      </c>
      <c r="L73" s="1048" t="s">
        <v>508</v>
      </c>
    </row>
    <row r="74" spans="2:17" s="1069" customFormat="1" ht="24.95" customHeight="1" x14ac:dyDescent="0.25">
      <c r="B74" s="1052" t="s">
        <v>982</v>
      </c>
      <c r="C74" s="1044" t="s">
        <v>836</v>
      </c>
      <c r="D74" s="1044" t="s">
        <v>839</v>
      </c>
      <c r="E74" s="1045" t="s">
        <v>842</v>
      </c>
      <c r="F74" s="1068" t="s">
        <v>512</v>
      </c>
      <c r="G74" s="1132" t="s">
        <v>393</v>
      </c>
      <c r="H74" s="1083">
        <v>45000</v>
      </c>
      <c r="I74" s="1083">
        <f t="shared" ref="I74:I77" si="24">H74*19%</f>
        <v>8550</v>
      </c>
      <c r="J74" s="1083">
        <f t="shared" si="23"/>
        <v>53550</v>
      </c>
      <c r="K74" s="1068" t="s">
        <v>73</v>
      </c>
      <c r="L74" s="1068" t="s">
        <v>508</v>
      </c>
      <c r="Q74" s="1098"/>
    </row>
    <row r="75" spans="2:17" ht="24.95" customHeight="1" x14ac:dyDescent="0.25">
      <c r="B75" s="1052" t="s">
        <v>983</v>
      </c>
      <c r="C75" s="1044" t="s">
        <v>836</v>
      </c>
      <c r="D75" s="1044" t="s">
        <v>839</v>
      </c>
      <c r="E75" s="1045" t="s">
        <v>842</v>
      </c>
      <c r="F75" s="1048" t="s">
        <v>513</v>
      </c>
      <c r="G75" s="1047" t="s">
        <v>393</v>
      </c>
      <c r="H75" s="1043">
        <v>16500</v>
      </c>
      <c r="I75" s="1043">
        <f t="shared" si="24"/>
        <v>3135</v>
      </c>
      <c r="J75" s="1043">
        <f t="shared" si="23"/>
        <v>19635</v>
      </c>
      <c r="K75" s="1048" t="s">
        <v>73</v>
      </c>
      <c r="L75" s="1048" t="s">
        <v>508</v>
      </c>
    </row>
    <row r="76" spans="2:17" ht="24.95" customHeight="1" x14ac:dyDescent="0.25">
      <c r="B76" s="1052" t="s">
        <v>984</v>
      </c>
      <c r="C76" s="1044" t="s">
        <v>836</v>
      </c>
      <c r="D76" s="1044" t="s">
        <v>839</v>
      </c>
      <c r="E76" s="1045" t="s">
        <v>842</v>
      </c>
      <c r="F76" s="1048" t="s">
        <v>514</v>
      </c>
      <c r="G76" s="1047" t="s">
        <v>393</v>
      </c>
      <c r="H76" s="1043">
        <v>23000</v>
      </c>
      <c r="I76" s="1043">
        <f t="shared" si="24"/>
        <v>4370</v>
      </c>
      <c r="J76" s="1043">
        <f t="shared" ref="J76" si="25">+I76+H76</f>
        <v>27370</v>
      </c>
      <c r="K76" s="1048" t="s">
        <v>73</v>
      </c>
      <c r="L76" s="1048" t="s">
        <v>508</v>
      </c>
    </row>
    <row r="77" spans="2:17" ht="24.95" customHeight="1" x14ac:dyDescent="0.25">
      <c r="B77" s="1052" t="s">
        <v>985</v>
      </c>
      <c r="C77" s="1044" t="s">
        <v>836</v>
      </c>
      <c r="D77" s="1044" t="s">
        <v>839</v>
      </c>
      <c r="E77" s="1045" t="s">
        <v>842</v>
      </c>
      <c r="F77" s="1048" t="s">
        <v>518</v>
      </c>
      <c r="G77" s="1047" t="s">
        <v>393</v>
      </c>
      <c r="H77" s="1043">
        <v>123800</v>
      </c>
      <c r="I77" s="1043">
        <f t="shared" si="24"/>
        <v>23522</v>
      </c>
      <c r="J77" s="1043">
        <f t="shared" ref="J77" si="26">+I77+H77</f>
        <v>147322</v>
      </c>
      <c r="K77" s="1048" t="s">
        <v>73</v>
      </c>
      <c r="L77" s="1048" t="s">
        <v>508</v>
      </c>
    </row>
    <row r="78" spans="2:17" ht="42" customHeight="1" x14ac:dyDescent="0.25">
      <c r="B78" s="1052" t="s">
        <v>986</v>
      </c>
      <c r="C78" s="1044" t="s">
        <v>836</v>
      </c>
      <c r="D78" s="1044" t="s">
        <v>839</v>
      </c>
      <c r="E78" s="1045" t="s">
        <v>842</v>
      </c>
      <c r="F78" s="718" t="s">
        <v>819</v>
      </c>
      <c r="G78" s="1047" t="s">
        <v>56</v>
      </c>
      <c r="H78" s="1043">
        <v>50000</v>
      </c>
      <c r="I78" s="1043">
        <f t="shared" ref="I78:I116" si="27">H78*19%</f>
        <v>9500</v>
      </c>
      <c r="J78" s="1043">
        <f t="shared" ref="J78:J116" si="28">+I78+H78</f>
        <v>59500</v>
      </c>
      <c r="K78" s="1048" t="s">
        <v>664</v>
      </c>
      <c r="L78" s="1048" t="s">
        <v>644</v>
      </c>
      <c r="N78" s="1086"/>
    </row>
    <row r="79" spans="2:17" ht="41.25" customHeight="1" x14ac:dyDescent="0.25">
      <c r="B79" s="1052" t="s">
        <v>987</v>
      </c>
      <c r="C79" s="1044" t="s">
        <v>836</v>
      </c>
      <c r="D79" s="1044" t="s">
        <v>839</v>
      </c>
      <c r="E79" s="1045" t="s">
        <v>842</v>
      </c>
      <c r="F79" s="718" t="s">
        <v>820</v>
      </c>
      <c r="G79" s="1047" t="s">
        <v>56</v>
      </c>
      <c r="H79" s="1043">
        <v>50000</v>
      </c>
      <c r="I79" s="1043">
        <f t="shared" si="27"/>
        <v>9500</v>
      </c>
      <c r="J79" s="1043">
        <f t="shared" si="28"/>
        <v>59500</v>
      </c>
      <c r="K79" s="1048" t="s">
        <v>664</v>
      </c>
      <c r="L79" s="1048" t="s">
        <v>644</v>
      </c>
    </row>
    <row r="80" spans="2:17" ht="41.25" customHeight="1" x14ac:dyDescent="0.25">
      <c r="B80" s="1052" t="s">
        <v>988</v>
      </c>
      <c r="C80" s="1044" t="s">
        <v>836</v>
      </c>
      <c r="D80" s="1044" t="s">
        <v>839</v>
      </c>
      <c r="E80" s="1045" t="s">
        <v>842</v>
      </c>
      <c r="F80" s="718" t="s">
        <v>821</v>
      </c>
      <c r="G80" s="1047" t="s">
        <v>56</v>
      </c>
      <c r="H80" s="1043">
        <v>50000</v>
      </c>
      <c r="I80" s="1043">
        <f t="shared" si="27"/>
        <v>9500</v>
      </c>
      <c r="J80" s="1043">
        <f t="shared" si="28"/>
        <v>59500</v>
      </c>
      <c r="K80" s="1048" t="s">
        <v>664</v>
      </c>
      <c r="L80" s="1048" t="s">
        <v>644</v>
      </c>
    </row>
    <row r="81" spans="2:12" ht="24.95" customHeight="1" x14ac:dyDescent="0.25">
      <c r="B81" s="1052" t="s">
        <v>989</v>
      </c>
      <c r="C81" s="1044" t="s">
        <v>836</v>
      </c>
      <c r="D81" s="1044" t="s">
        <v>839</v>
      </c>
      <c r="E81" s="1045" t="s">
        <v>842</v>
      </c>
      <c r="F81" s="718" t="s">
        <v>822</v>
      </c>
      <c r="G81" s="1047" t="s">
        <v>56</v>
      </c>
      <c r="H81" s="1043">
        <v>50000</v>
      </c>
      <c r="I81" s="1043">
        <f t="shared" ref="I81:I84" si="29">H81*19%</f>
        <v>9500</v>
      </c>
      <c r="J81" s="1043">
        <f t="shared" ref="J81:J84" si="30">+I81+H81</f>
        <v>59500</v>
      </c>
      <c r="K81" s="1048" t="s">
        <v>73</v>
      </c>
      <c r="L81" s="1048" t="s">
        <v>644</v>
      </c>
    </row>
    <row r="82" spans="2:12" ht="24.95" customHeight="1" x14ac:dyDescent="0.25">
      <c r="B82" s="1052" t="s">
        <v>990</v>
      </c>
      <c r="C82" s="1044" t="s">
        <v>836</v>
      </c>
      <c r="D82" s="1044" t="s">
        <v>839</v>
      </c>
      <c r="E82" s="1045" t="s">
        <v>842</v>
      </c>
      <c r="F82" s="718" t="s">
        <v>823</v>
      </c>
      <c r="G82" s="1047" t="s">
        <v>56</v>
      </c>
      <c r="H82" s="1043">
        <v>50000</v>
      </c>
      <c r="I82" s="1043">
        <f t="shared" si="29"/>
        <v>9500</v>
      </c>
      <c r="J82" s="1043">
        <f t="shared" si="30"/>
        <v>59500</v>
      </c>
      <c r="K82" s="1048" t="s">
        <v>73</v>
      </c>
      <c r="L82" s="1048" t="s">
        <v>644</v>
      </c>
    </row>
    <row r="83" spans="2:12" ht="24.95" customHeight="1" x14ac:dyDescent="0.25">
      <c r="B83" s="1052" t="s">
        <v>991</v>
      </c>
      <c r="C83" s="1044" t="s">
        <v>836</v>
      </c>
      <c r="D83" s="1044" t="s">
        <v>839</v>
      </c>
      <c r="E83" s="1045" t="s">
        <v>842</v>
      </c>
      <c r="F83" s="718" t="s">
        <v>824</v>
      </c>
      <c r="G83" s="1047" t="s">
        <v>56</v>
      </c>
      <c r="H83" s="1043">
        <v>50000</v>
      </c>
      <c r="I83" s="1043">
        <f t="shared" si="29"/>
        <v>9500</v>
      </c>
      <c r="J83" s="1043">
        <f t="shared" si="30"/>
        <v>59500</v>
      </c>
      <c r="K83" s="1048" t="s">
        <v>73</v>
      </c>
      <c r="L83" s="1048" t="s">
        <v>644</v>
      </c>
    </row>
    <row r="84" spans="2:12" ht="24.95" customHeight="1" x14ac:dyDescent="0.25">
      <c r="B84" s="1052" t="s">
        <v>992</v>
      </c>
      <c r="C84" s="1044" t="s">
        <v>836</v>
      </c>
      <c r="D84" s="1044" t="s">
        <v>839</v>
      </c>
      <c r="E84" s="1045" t="s">
        <v>842</v>
      </c>
      <c r="F84" s="718" t="s">
        <v>825</v>
      </c>
      <c r="G84" s="1047" t="s">
        <v>56</v>
      </c>
      <c r="H84" s="1043">
        <v>50000</v>
      </c>
      <c r="I84" s="1043">
        <f t="shared" si="29"/>
        <v>9500</v>
      </c>
      <c r="J84" s="1043">
        <f t="shared" si="30"/>
        <v>59500</v>
      </c>
      <c r="K84" s="1048" t="s">
        <v>73</v>
      </c>
      <c r="L84" s="1048" t="s">
        <v>644</v>
      </c>
    </row>
    <row r="85" spans="2:12" ht="24.95" customHeight="1" x14ac:dyDescent="0.25">
      <c r="B85" s="1052" t="s">
        <v>993</v>
      </c>
      <c r="C85" s="1044" t="s">
        <v>836</v>
      </c>
      <c r="D85" s="1044" t="s">
        <v>839</v>
      </c>
      <c r="E85" s="1045" t="s">
        <v>842</v>
      </c>
      <c r="F85" s="718" t="s">
        <v>826</v>
      </c>
      <c r="G85" s="1047" t="s">
        <v>56</v>
      </c>
      <c r="H85" s="1043">
        <v>50000</v>
      </c>
      <c r="I85" s="1043">
        <f t="shared" ref="I85" si="31">H85*19%</f>
        <v>9500</v>
      </c>
      <c r="J85" s="1043">
        <f t="shared" ref="J85" si="32">+I85+H85</f>
        <v>59500</v>
      </c>
      <c r="K85" s="1048" t="s">
        <v>73</v>
      </c>
      <c r="L85" s="1048" t="s">
        <v>644</v>
      </c>
    </row>
    <row r="86" spans="2:12" ht="24.95" customHeight="1" x14ac:dyDescent="0.25">
      <c r="B86" s="1052" t="s">
        <v>994</v>
      </c>
      <c r="C86" s="1044" t="s">
        <v>836</v>
      </c>
      <c r="D86" s="1044" t="s">
        <v>839</v>
      </c>
      <c r="E86" s="1045" t="s">
        <v>842</v>
      </c>
      <c r="F86" s="718" t="s">
        <v>820</v>
      </c>
      <c r="G86" s="1047" t="s">
        <v>56</v>
      </c>
      <c r="H86" s="1043">
        <v>50000</v>
      </c>
      <c r="I86" s="1043">
        <f t="shared" ref="I86" si="33">H86*19%</f>
        <v>9500</v>
      </c>
      <c r="J86" s="1043">
        <f t="shared" ref="J86" si="34">+I86+H86</f>
        <v>59500</v>
      </c>
      <c r="K86" s="1048" t="s">
        <v>73</v>
      </c>
      <c r="L86" s="1048" t="s">
        <v>644</v>
      </c>
    </row>
    <row r="87" spans="2:12" ht="24.95" customHeight="1" x14ac:dyDescent="0.25">
      <c r="B87" s="1052" t="s">
        <v>995</v>
      </c>
      <c r="C87" s="1044" t="s">
        <v>836</v>
      </c>
      <c r="D87" s="1044" t="s">
        <v>839</v>
      </c>
      <c r="E87" s="1045" t="s">
        <v>842</v>
      </c>
      <c r="F87" s="718" t="s">
        <v>827</v>
      </c>
      <c r="G87" s="1047" t="s">
        <v>56</v>
      </c>
      <c r="H87" s="1043">
        <v>50000</v>
      </c>
      <c r="I87" s="1043">
        <f t="shared" ref="I87:I88" si="35">H87*19%</f>
        <v>9500</v>
      </c>
      <c r="J87" s="1043">
        <f t="shared" ref="J87:J88" si="36">+I87+H87</f>
        <v>59500</v>
      </c>
      <c r="K87" s="1048" t="s">
        <v>73</v>
      </c>
      <c r="L87" s="1048" t="s">
        <v>644</v>
      </c>
    </row>
    <row r="88" spans="2:12" ht="24.95" customHeight="1" x14ac:dyDescent="0.25">
      <c r="B88" s="1052" t="s">
        <v>996</v>
      </c>
      <c r="C88" s="1044" t="s">
        <v>836</v>
      </c>
      <c r="D88" s="1044" t="s">
        <v>839</v>
      </c>
      <c r="E88" s="1045" t="s">
        <v>842</v>
      </c>
      <c r="F88" s="718" t="s">
        <v>828</v>
      </c>
      <c r="G88" s="1047" t="s">
        <v>56</v>
      </c>
      <c r="H88" s="1043">
        <v>50000</v>
      </c>
      <c r="I88" s="1043">
        <f t="shared" si="35"/>
        <v>9500</v>
      </c>
      <c r="J88" s="1043">
        <f t="shared" si="36"/>
        <v>59500</v>
      </c>
      <c r="K88" s="1048" t="s">
        <v>73</v>
      </c>
      <c r="L88" s="1048" t="s">
        <v>644</v>
      </c>
    </row>
    <row r="89" spans="2:12" ht="54.75" customHeight="1" x14ac:dyDescent="0.25">
      <c r="B89" s="1052" t="s">
        <v>997</v>
      </c>
      <c r="C89" s="1044" t="s">
        <v>836</v>
      </c>
      <c r="D89" s="1044" t="s">
        <v>839</v>
      </c>
      <c r="E89" s="1045" t="s">
        <v>842</v>
      </c>
      <c r="F89" s="718" t="s">
        <v>829</v>
      </c>
      <c r="G89" s="1047" t="s">
        <v>56</v>
      </c>
      <c r="H89" s="1043">
        <v>50000</v>
      </c>
      <c r="I89" s="1043">
        <f t="shared" ref="I89:I92" si="37">H89*19%</f>
        <v>9500</v>
      </c>
      <c r="J89" s="1043">
        <f t="shared" ref="J89:J92" si="38">+I89+H89</f>
        <v>59500</v>
      </c>
      <c r="K89" s="1048" t="s">
        <v>664</v>
      </c>
      <c r="L89" s="1048" t="s">
        <v>644</v>
      </c>
    </row>
    <row r="90" spans="2:12" ht="44.25" customHeight="1" x14ac:dyDescent="0.25">
      <c r="B90" s="1052" t="s">
        <v>998</v>
      </c>
      <c r="C90" s="1044" t="s">
        <v>836</v>
      </c>
      <c r="D90" s="1044" t="s">
        <v>839</v>
      </c>
      <c r="E90" s="1045" t="s">
        <v>842</v>
      </c>
      <c r="F90" s="718" t="s">
        <v>830</v>
      </c>
      <c r="G90" s="1047" t="s">
        <v>56</v>
      </c>
      <c r="H90" s="1043">
        <v>50000</v>
      </c>
      <c r="I90" s="1043">
        <f t="shared" si="37"/>
        <v>9500</v>
      </c>
      <c r="J90" s="1043">
        <f t="shared" si="38"/>
        <v>59500</v>
      </c>
      <c r="K90" s="1048" t="s">
        <v>664</v>
      </c>
      <c r="L90" s="1048" t="s">
        <v>644</v>
      </c>
    </row>
    <row r="91" spans="2:12" ht="24.95" customHeight="1" x14ac:dyDescent="0.25">
      <c r="B91" s="1052" t="s">
        <v>999</v>
      </c>
      <c r="C91" s="1044" t="s">
        <v>836</v>
      </c>
      <c r="D91" s="1044" t="s">
        <v>839</v>
      </c>
      <c r="E91" s="1045" t="s">
        <v>842</v>
      </c>
      <c r="F91" s="718" t="s">
        <v>831</v>
      </c>
      <c r="G91" s="1047" t="s">
        <v>56</v>
      </c>
      <c r="H91" s="1043">
        <v>50000</v>
      </c>
      <c r="I91" s="1043">
        <f t="shared" si="37"/>
        <v>9500</v>
      </c>
      <c r="J91" s="1043">
        <f t="shared" si="38"/>
        <v>59500</v>
      </c>
      <c r="K91" s="1048" t="s">
        <v>73</v>
      </c>
      <c r="L91" s="1048" t="s">
        <v>644</v>
      </c>
    </row>
    <row r="92" spans="2:12" ht="24.95" customHeight="1" x14ac:dyDescent="0.25">
      <c r="B92" s="1052" t="s">
        <v>1000</v>
      </c>
      <c r="C92" s="1044" t="s">
        <v>836</v>
      </c>
      <c r="D92" s="1044" t="s">
        <v>839</v>
      </c>
      <c r="E92" s="1045" t="s">
        <v>842</v>
      </c>
      <c r="F92" s="718" t="s">
        <v>832</v>
      </c>
      <c r="G92" s="1047" t="s">
        <v>56</v>
      </c>
      <c r="H92" s="1043">
        <v>50000</v>
      </c>
      <c r="I92" s="1043">
        <f t="shared" si="37"/>
        <v>9500</v>
      </c>
      <c r="J92" s="1043">
        <f t="shared" si="38"/>
        <v>59500</v>
      </c>
      <c r="K92" s="1048" t="s">
        <v>73</v>
      </c>
      <c r="L92" s="1048" t="s">
        <v>644</v>
      </c>
    </row>
    <row r="93" spans="2:12" ht="24.95" customHeight="1" x14ac:dyDescent="0.25">
      <c r="B93" s="1052" t="s">
        <v>1001</v>
      </c>
      <c r="C93" s="1044" t="s">
        <v>836</v>
      </c>
      <c r="D93" s="1044" t="s">
        <v>839</v>
      </c>
      <c r="E93" s="1045" t="s">
        <v>842</v>
      </c>
      <c r="F93" s="718" t="s">
        <v>833</v>
      </c>
      <c r="G93" s="1047" t="s">
        <v>56</v>
      </c>
      <c r="H93" s="1043">
        <v>50000</v>
      </c>
      <c r="I93" s="1043">
        <f t="shared" ref="I93" si="39">H93*19%</f>
        <v>9500</v>
      </c>
      <c r="J93" s="1043">
        <f t="shared" ref="J93" si="40">+I93+H93</f>
        <v>59500</v>
      </c>
      <c r="K93" s="1048" t="s">
        <v>73</v>
      </c>
      <c r="L93" s="1048" t="s">
        <v>644</v>
      </c>
    </row>
    <row r="94" spans="2:12" ht="48" customHeight="1" x14ac:dyDescent="0.25">
      <c r="B94" s="1052" t="s">
        <v>1002</v>
      </c>
      <c r="C94" s="1044" t="s">
        <v>836</v>
      </c>
      <c r="D94" s="1044" t="s">
        <v>839</v>
      </c>
      <c r="E94" s="1045" t="s">
        <v>842</v>
      </c>
      <c r="F94" s="718" t="s">
        <v>834</v>
      </c>
      <c r="G94" s="1047" t="s">
        <v>439</v>
      </c>
      <c r="H94" s="1043">
        <v>7200</v>
      </c>
      <c r="I94" s="1043">
        <v>0</v>
      </c>
      <c r="J94" s="1043">
        <f>+I94+H94</f>
        <v>7200</v>
      </c>
      <c r="K94" s="1048" t="s">
        <v>664</v>
      </c>
      <c r="L94" s="1048" t="s">
        <v>643</v>
      </c>
    </row>
    <row r="95" spans="2:12" ht="55.5" customHeight="1" x14ac:dyDescent="0.25">
      <c r="B95" s="1052" t="s">
        <v>1003</v>
      </c>
      <c r="C95" s="1044" t="s">
        <v>836</v>
      </c>
      <c r="D95" s="1044" t="s">
        <v>839</v>
      </c>
      <c r="E95" s="1045" t="s">
        <v>842</v>
      </c>
      <c r="F95" s="718" t="s">
        <v>835</v>
      </c>
      <c r="G95" s="1047" t="s">
        <v>439</v>
      </c>
      <c r="H95" s="1043">
        <v>300</v>
      </c>
      <c r="I95" s="1043">
        <v>0</v>
      </c>
      <c r="J95" s="1043">
        <f>+I95+H95</f>
        <v>300</v>
      </c>
      <c r="K95" s="1048" t="s">
        <v>664</v>
      </c>
      <c r="L95" s="1048" t="s">
        <v>643</v>
      </c>
    </row>
    <row r="96" spans="2:12" ht="42.75" customHeight="1" x14ac:dyDescent="0.25">
      <c r="B96" s="1060" t="s">
        <v>1203</v>
      </c>
      <c r="C96" s="1060"/>
      <c r="D96" s="1060"/>
      <c r="E96" s="1061"/>
      <c r="F96" s="1062" t="s">
        <v>1157</v>
      </c>
      <c r="G96" s="1063" t="s">
        <v>400</v>
      </c>
      <c r="H96" s="1064"/>
      <c r="I96" s="1064"/>
      <c r="J96" s="1064"/>
      <c r="K96" s="1065"/>
      <c r="L96" s="1065"/>
    </row>
    <row r="97" spans="2:12" ht="42.75" customHeight="1" x14ac:dyDescent="0.25">
      <c r="B97" s="1060" t="s">
        <v>1204</v>
      </c>
      <c r="C97" s="1060"/>
      <c r="D97" s="1060"/>
      <c r="E97" s="1061"/>
      <c r="F97" s="1062" t="s">
        <v>1158</v>
      </c>
      <c r="G97" s="1063" t="s">
        <v>400</v>
      </c>
      <c r="H97" s="1064">
        <v>38900</v>
      </c>
      <c r="I97" s="1064">
        <f>+H97*19%</f>
        <v>7391</v>
      </c>
      <c r="J97" s="1064">
        <f>+H97+I97</f>
        <v>46291</v>
      </c>
      <c r="K97" s="1065" t="s">
        <v>1207</v>
      </c>
      <c r="L97" s="1065" t="s">
        <v>508</v>
      </c>
    </row>
    <row r="98" spans="2:12" ht="42.75" customHeight="1" x14ac:dyDescent="0.25">
      <c r="B98" s="1060" t="s">
        <v>1205</v>
      </c>
      <c r="C98" s="1060"/>
      <c r="D98" s="1060"/>
      <c r="E98" s="1061"/>
      <c r="F98" s="1062" t="s">
        <v>1159</v>
      </c>
      <c r="G98" s="1063" t="s">
        <v>400</v>
      </c>
      <c r="H98" s="1064"/>
      <c r="I98" s="1064"/>
      <c r="J98" s="1064"/>
      <c r="K98" s="1065"/>
      <c r="L98" s="1065"/>
    </row>
    <row r="99" spans="2:12" ht="42.75" customHeight="1" x14ac:dyDescent="0.25">
      <c r="B99" s="1060" t="s">
        <v>1206</v>
      </c>
      <c r="C99" s="1060"/>
      <c r="D99" s="1060"/>
      <c r="E99" s="1061"/>
      <c r="F99" s="1062" t="s">
        <v>1200</v>
      </c>
      <c r="G99" s="1063" t="s">
        <v>400</v>
      </c>
      <c r="H99" s="1064">
        <v>31200</v>
      </c>
      <c r="I99" s="1064">
        <f>+H99*19%</f>
        <v>5928</v>
      </c>
      <c r="J99" s="1064">
        <f t="shared" ref="J99:J110" si="41">+H99+I99</f>
        <v>37128</v>
      </c>
      <c r="K99" s="1065" t="s">
        <v>1207</v>
      </c>
      <c r="L99" s="1065" t="s">
        <v>508</v>
      </c>
    </row>
    <row r="100" spans="2:12" ht="42.75" customHeight="1" x14ac:dyDescent="0.25">
      <c r="B100" s="1060" t="s">
        <v>1208</v>
      </c>
      <c r="C100" s="1060"/>
      <c r="D100" s="1060"/>
      <c r="E100" s="1061"/>
      <c r="F100" s="1062" t="s">
        <v>1209</v>
      </c>
      <c r="G100" s="1063" t="s">
        <v>400</v>
      </c>
      <c r="H100" s="1064">
        <v>40500</v>
      </c>
      <c r="I100" s="1064">
        <f>+H100*19%</f>
        <v>7695</v>
      </c>
      <c r="J100" s="1064">
        <f t="shared" si="41"/>
        <v>48195</v>
      </c>
      <c r="K100" s="1065" t="s">
        <v>1207</v>
      </c>
      <c r="L100" s="1065" t="s">
        <v>508</v>
      </c>
    </row>
    <row r="101" spans="2:12" ht="42.75" customHeight="1" x14ac:dyDescent="0.25">
      <c r="B101" s="1060" t="s">
        <v>1211</v>
      </c>
      <c r="C101" s="1060"/>
      <c r="D101" s="1060"/>
      <c r="E101" s="1061"/>
      <c r="F101" s="1062" t="s">
        <v>1210</v>
      </c>
      <c r="G101" s="1063" t="s">
        <v>400</v>
      </c>
      <c r="H101" s="1064">
        <v>20500</v>
      </c>
      <c r="I101" s="1064">
        <v>3895</v>
      </c>
      <c r="J101" s="1064">
        <f t="shared" si="41"/>
        <v>24395</v>
      </c>
      <c r="K101" s="1065" t="s">
        <v>1207</v>
      </c>
      <c r="L101" s="1065" t="s">
        <v>508</v>
      </c>
    </row>
    <row r="102" spans="2:12" ht="42.75" customHeight="1" x14ac:dyDescent="0.25">
      <c r="B102" s="1060" t="s">
        <v>1213</v>
      </c>
      <c r="C102" s="1060"/>
      <c r="D102" s="1060"/>
      <c r="E102" s="1061"/>
      <c r="F102" s="1062" t="s">
        <v>1212</v>
      </c>
      <c r="G102" s="1063" t="s">
        <v>400</v>
      </c>
      <c r="H102" s="1064">
        <v>350000</v>
      </c>
      <c r="I102" s="1064"/>
      <c r="J102" s="1064">
        <f t="shared" si="41"/>
        <v>350000</v>
      </c>
      <c r="K102" s="1065" t="s">
        <v>1207</v>
      </c>
      <c r="L102" s="1065" t="s">
        <v>508</v>
      </c>
    </row>
    <row r="103" spans="2:12" ht="42.75" customHeight="1" x14ac:dyDescent="0.25">
      <c r="B103" s="1060" t="s">
        <v>1214</v>
      </c>
      <c r="C103" s="1060"/>
      <c r="D103" s="1060"/>
      <c r="E103" s="1061"/>
      <c r="F103" s="1062" t="s">
        <v>1215</v>
      </c>
      <c r="G103" s="1063" t="s">
        <v>400</v>
      </c>
      <c r="H103" s="1064">
        <v>71429</v>
      </c>
      <c r="I103" s="1131">
        <f>+H103*19%</f>
        <v>13571.51</v>
      </c>
      <c r="J103" s="1064">
        <f t="shared" si="41"/>
        <v>85000.51</v>
      </c>
      <c r="K103" s="1065" t="s">
        <v>1207</v>
      </c>
      <c r="L103" s="1065" t="s">
        <v>508</v>
      </c>
    </row>
    <row r="104" spans="2:12" ht="42.75" customHeight="1" x14ac:dyDescent="0.25">
      <c r="B104" s="1060" t="s">
        <v>1218</v>
      </c>
      <c r="C104" s="1060"/>
      <c r="D104" s="1060"/>
      <c r="E104" s="1061"/>
      <c r="F104" s="1062" t="s">
        <v>1217</v>
      </c>
      <c r="G104" s="1063" t="s">
        <v>400</v>
      </c>
      <c r="H104" s="1064">
        <v>11700</v>
      </c>
      <c r="I104" s="1064">
        <f>+H104*19%</f>
        <v>2223</v>
      </c>
      <c r="J104" s="1064">
        <f t="shared" si="41"/>
        <v>13923</v>
      </c>
      <c r="K104" s="1065" t="s">
        <v>1207</v>
      </c>
      <c r="L104" s="1065" t="s">
        <v>508</v>
      </c>
    </row>
    <row r="105" spans="2:12" ht="42.75" customHeight="1" x14ac:dyDescent="0.25">
      <c r="B105" s="1060" t="s">
        <v>1220</v>
      </c>
      <c r="C105" s="1060"/>
      <c r="D105" s="1060"/>
      <c r="E105" s="1061"/>
      <c r="F105" s="1062" t="s">
        <v>1219</v>
      </c>
      <c r="G105" s="1063" t="s">
        <v>400</v>
      </c>
      <c r="H105" s="1064">
        <v>62400</v>
      </c>
      <c r="I105" s="1064">
        <f>+H105*19%</f>
        <v>11856</v>
      </c>
      <c r="J105" s="1064">
        <f t="shared" si="41"/>
        <v>74256</v>
      </c>
      <c r="K105" s="1065" t="s">
        <v>1207</v>
      </c>
      <c r="L105" s="1065"/>
    </row>
    <row r="106" spans="2:12" ht="42.75" customHeight="1" x14ac:dyDescent="0.25">
      <c r="B106" s="1060" t="s">
        <v>1223</v>
      </c>
      <c r="C106" s="1060"/>
      <c r="D106" s="1060"/>
      <c r="E106" s="1061"/>
      <c r="F106" s="1062" t="s">
        <v>1224</v>
      </c>
      <c r="G106" s="1063" t="s">
        <v>400</v>
      </c>
      <c r="H106" s="1064">
        <v>19000</v>
      </c>
      <c r="I106" s="1064">
        <v>0</v>
      </c>
      <c r="J106" s="1064">
        <f t="shared" si="41"/>
        <v>19000</v>
      </c>
      <c r="K106" s="1065" t="s">
        <v>1207</v>
      </c>
      <c r="L106" s="1065" t="s">
        <v>508</v>
      </c>
    </row>
    <row r="107" spans="2:12" ht="42.75" customHeight="1" x14ac:dyDescent="0.25">
      <c r="B107" s="1060" t="s">
        <v>1226</v>
      </c>
      <c r="C107" s="1060"/>
      <c r="D107" s="1060"/>
      <c r="E107" s="1061"/>
      <c r="F107" s="1062" t="s">
        <v>1225</v>
      </c>
      <c r="G107" s="1063" t="s">
        <v>400</v>
      </c>
      <c r="H107" s="1064">
        <v>17700</v>
      </c>
      <c r="I107" s="1064">
        <f>+H107*19%</f>
        <v>3363</v>
      </c>
      <c r="J107" s="1064">
        <f t="shared" si="41"/>
        <v>21063</v>
      </c>
      <c r="K107" s="1065" t="s">
        <v>1207</v>
      </c>
      <c r="L107" s="1065"/>
    </row>
    <row r="108" spans="2:12" ht="42.75" customHeight="1" x14ac:dyDescent="0.25">
      <c r="B108" s="1060" t="s">
        <v>1227</v>
      </c>
      <c r="C108" s="1060"/>
      <c r="D108" s="1060"/>
      <c r="E108" s="1061"/>
      <c r="F108" s="1062" t="s">
        <v>1228</v>
      </c>
      <c r="G108" s="1063" t="s">
        <v>400</v>
      </c>
      <c r="H108" s="1064">
        <v>38700</v>
      </c>
      <c r="I108" s="1064">
        <f>+H108*19%</f>
        <v>7353</v>
      </c>
      <c r="J108" s="1064">
        <f t="shared" si="41"/>
        <v>46053</v>
      </c>
      <c r="K108" s="1065"/>
      <c r="L108" s="1065"/>
    </row>
    <row r="109" spans="2:12" ht="42.75" customHeight="1" x14ac:dyDescent="0.25">
      <c r="B109" s="1060" t="s">
        <v>1229</v>
      </c>
      <c r="C109" s="1060"/>
      <c r="D109" s="1060"/>
      <c r="E109" s="1061"/>
      <c r="F109" s="1062" t="s">
        <v>1230</v>
      </c>
      <c r="G109" s="1063" t="s">
        <v>400</v>
      </c>
      <c r="H109" s="1064">
        <v>25800</v>
      </c>
      <c r="I109" s="1064">
        <f>+H109*19%</f>
        <v>4902</v>
      </c>
      <c r="J109" s="1064">
        <f t="shared" si="41"/>
        <v>30702</v>
      </c>
      <c r="K109" s="1065"/>
      <c r="L109" s="1065"/>
    </row>
    <row r="110" spans="2:12" ht="42.75" customHeight="1" x14ac:dyDescent="0.25">
      <c r="B110" s="1060" t="s">
        <v>1231</v>
      </c>
      <c r="C110" s="1060"/>
      <c r="D110" s="1060"/>
      <c r="E110" s="1061"/>
      <c r="F110" s="1062" t="s">
        <v>1232</v>
      </c>
      <c r="G110" s="1063" t="s">
        <v>400</v>
      </c>
      <c r="H110" s="1064">
        <v>18600</v>
      </c>
      <c r="I110" s="1064">
        <f>+H110*19%</f>
        <v>3534</v>
      </c>
      <c r="J110" s="1064">
        <f t="shared" si="41"/>
        <v>22134</v>
      </c>
      <c r="K110" s="1065"/>
      <c r="L110" s="1065"/>
    </row>
    <row r="111" spans="2:12" ht="42.75" customHeight="1" x14ac:dyDescent="0.25">
      <c r="B111" s="1060"/>
      <c r="C111" s="1060"/>
      <c r="D111" s="1060"/>
      <c r="E111" s="1061"/>
      <c r="F111" s="1062"/>
      <c r="G111" s="1063"/>
      <c r="H111" s="1064"/>
      <c r="I111" s="1064"/>
      <c r="J111" s="1064"/>
      <c r="K111" s="1065"/>
      <c r="L111" s="1065"/>
    </row>
    <row r="112" spans="2:12" ht="39.75" customHeight="1" x14ac:dyDescent="0.25">
      <c r="B112" s="1060"/>
      <c r="C112" s="1060"/>
      <c r="D112" s="1060"/>
      <c r="E112" s="1061"/>
      <c r="F112" s="1062"/>
      <c r="G112" s="1063"/>
      <c r="H112" s="1064"/>
      <c r="I112" s="1064"/>
      <c r="J112" s="1064"/>
      <c r="K112" s="1065"/>
      <c r="L112" s="1065"/>
    </row>
    <row r="113" spans="2:14" ht="24.95" customHeight="1" x14ac:dyDescent="0.25">
      <c r="B113" s="1063"/>
      <c r="C113" s="1099"/>
      <c r="D113" s="1099"/>
      <c r="E113" s="1099"/>
      <c r="F113" s="1100"/>
      <c r="G113" s="1063"/>
      <c r="H113" s="1064"/>
      <c r="I113" s="1064"/>
      <c r="J113" s="1064"/>
      <c r="K113" s="1065"/>
      <c r="L113" s="1065"/>
    </row>
    <row r="114" spans="2:14" ht="24.95" customHeight="1" thickBot="1" x14ac:dyDescent="0.3">
      <c r="B114" s="1063"/>
      <c r="C114" s="1099"/>
      <c r="D114" s="1099"/>
      <c r="E114" s="1099"/>
      <c r="F114" s="1100"/>
      <c r="G114" s="1063"/>
      <c r="H114" s="1064"/>
      <c r="I114" s="1064"/>
      <c r="J114" s="1064"/>
      <c r="K114" s="1065"/>
      <c r="L114" s="1065"/>
    </row>
    <row r="115" spans="2:14" ht="39" customHeight="1" x14ac:dyDescent="0.25">
      <c r="B115" s="1047"/>
      <c r="C115" s="1075"/>
      <c r="D115" s="1075"/>
      <c r="E115" s="1075"/>
      <c r="F115" s="1101" t="s">
        <v>578</v>
      </c>
      <c r="G115" s="1102"/>
      <c r="H115" s="1103"/>
      <c r="I115" s="1043">
        <f t="shared" si="27"/>
        <v>0</v>
      </c>
      <c r="J115" s="1043">
        <f t="shared" si="28"/>
        <v>0</v>
      </c>
      <c r="K115" s="1048" t="s">
        <v>74</v>
      </c>
      <c r="L115" s="1048" t="s">
        <v>643</v>
      </c>
    </row>
    <row r="116" spans="2:14" ht="24.95" customHeight="1" x14ac:dyDescent="0.25">
      <c r="B116" s="1047"/>
      <c r="C116" s="1047"/>
      <c r="D116" s="1047"/>
      <c r="E116" s="1047"/>
      <c r="F116" s="1085" t="s">
        <v>579</v>
      </c>
      <c r="G116" s="1047"/>
      <c r="H116" s="1043"/>
      <c r="I116" s="1043">
        <f t="shared" si="27"/>
        <v>0</v>
      </c>
      <c r="J116" s="1043">
        <f t="shared" si="28"/>
        <v>0</v>
      </c>
      <c r="K116" s="1048" t="s">
        <v>74</v>
      </c>
      <c r="L116" s="1048" t="s">
        <v>643</v>
      </c>
    </row>
    <row r="117" spans="2:14" ht="24.95" customHeight="1" x14ac:dyDescent="0.25">
      <c r="B117" s="1047"/>
      <c r="C117" s="1047"/>
      <c r="D117" s="1047"/>
      <c r="E117" s="1047"/>
      <c r="F117" s="1085" t="s">
        <v>580</v>
      </c>
      <c r="G117" s="1047"/>
      <c r="H117" s="1043"/>
      <c r="I117" s="1043">
        <f t="shared" ref="I117:I119" si="42">H117*19%</f>
        <v>0</v>
      </c>
      <c r="J117" s="1043">
        <f t="shared" ref="J117:J119" si="43">+I117+H117</f>
        <v>0</v>
      </c>
      <c r="K117" s="1048" t="s">
        <v>74</v>
      </c>
      <c r="L117" s="1048" t="s">
        <v>643</v>
      </c>
    </row>
    <row r="118" spans="2:14" ht="24.95" customHeight="1" x14ac:dyDescent="0.25">
      <c r="B118" s="1047"/>
      <c r="C118" s="1047"/>
      <c r="D118" s="1047"/>
      <c r="E118" s="1047"/>
      <c r="F118" s="1085" t="s">
        <v>581</v>
      </c>
      <c r="G118" s="1047"/>
      <c r="H118" s="1043"/>
      <c r="I118" s="1043">
        <f t="shared" si="42"/>
        <v>0</v>
      </c>
      <c r="J118" s="1043">
        <f t="shared" si="43"/>
        <v>0</v>
      </c>
      <c r="K118" s="1048" t="s">
        <v>74</v>
      </c>
      <c r="L118" s="1048" t="s">
        <v>643</v>
      </c>
    </row>
    <row r="119" spans="2:14" ht="24.95" customHeight="1" x14ac:dyDescent="0.25">
      <c r="B119" s="1047"/>
      <c r="C119" s="1047"/>
      <c r="D119" s="1047"/>
      <c r="E119" s="1047"/>
      <c r="F119" s="1048"/>
      <c r="G119" s="1047"/>
      <c r="H119" s="1043"/>
      <c r="I119" s="1043">
        <f t="shared" si="42"/>
        <v>0</v>
      </c>
      <c r="J119" s="1043">
        <f t="shared" si="43"/>
        <v>0</v>
      </c>
      <c r="K119" s="1048" t="s">
        <v>74</v>
      </c>
      <c r="L119" s="1048"/>
    </row>
    <row r="120" spans="2:14" x14ac:dyDescent="0.25">
      <c r="B120" s="1047"/>
      <c r="C120" s="1047"/>
      <c r="D120" s="1047"/>
      <c r="E120" s="1047"/>
      <c r="F120" s="1048"/>
      <c r="G120" s="1047"/>
      <c r="H120" s="1043"/>
      <c r="I120" s="1043"/>
      <c r="J120" s="1043"/>
      <c r="K120" s="1048"/>
      <c r="L120" s="1048"/>
    </row>
    <row r="123" spans="2:14" x14ac:dyDescent="0.25">
      <c r="B123" s="1488" t="s">
        <v>640</v>
      </c>
      <c r="C123" s="1488"/>
      <c r="D123" s="1488"/>
      <c r="E123" s="1488"/>
      <c r="F123" s="1488"/>
    </row>
    <row r="125" spans="2:14" ht="25.5" x14ac:dyDescent="0.25">
      <c r="B125" s="1104" t="s">
        <v>638</v>
      </c>
      <c r="C125" s="1104"/>
      <c r="D125" s="1104"/>
      <c r="E125" s="1104"/>
      <c r="F125" s="1104" t="s">
        <v>368</v>
      </c>
      <c r="G125" s="1104" t="s">
        <v>370</v>
      </c>
      <c r="H125" s="1105" t="s">
        <v>369</v>
      </c>
      <c r="I125" s="1105" t="s">
        <v>402</v>
      </c>
      <c r="J125" s="1105" t="s">
        <v>442</v>
      </c>
      <c r="K125" s="1105" t="s">
        <v>234</v>
      </c>
      <c r="L125" s="1105" t="s">
        <v>641</v>
      </c>
    </row>
    <row r="126" spans="2:14" ht="61.5" customHeight="1" x14ac:dyDescent="0.25">
      <c r="B126" s="1052" t="s">
        <v>1004</v>
      </c>
      <c r="C126" s="1047" t="s">
        <v>838</v>
      </c>
      <c r="D126" s="1047" t="s">
        <v>840</v>
      </c>
      <c r="E126" s="1106" t="s">
        <v>850</v>
      </c>
      <c r="F126" s="1107" t="s">
        <v>1073</v>
      </c>
      <c r="G126" s="1047" t="s">
        <v>393</v>
      </c>
      <c r="H126" s="1043">
        <v>700</v>
      </c>
      <c r="I126" s="1043">
        <v>0</v>
      </c>
      <c r="J126" s="1043">
        <f>+I126+H126</f>
        <v>700</v>
      </c>
      <c r="K126" s="1043"/>
      <c r="L126" s="1048" t="s">
        <v>642</v>
      </c>
      <c r="M126" s="1048" t="s">
        <v>1201</v>
      </c>
      <c r="N126" s="1048"/>
    </row>
    <row r="127" spans="2:14" ht="38.25" customHeight="1" x14ac:dyDescent="0.25">
      <c r="B127" s="1052" t="s">
        <v>1005</v>
      </c>
      <c r="C127" s="1047" t="s">
        <v>838</v>
      </c>
      <c r="D127" s="1047" t="s">
        <v>840</v>
      </c>
      <c r="E127" s="1106" t="s">
        <v>851</v>
      </c>
      <c r="F127" s="1107" t="s">
        <v>1074</v>
      </c>
      <c r="G127" s="1047" t="s">
        <v>393</v>
      </c>
      <c r="H127" s="1043">
        <v>750</v>
      </c>
      <c r="I127" s="1043"/>
      <c r="J127" s="1043">
        <v>750</v>
      </c>
      <c r="K127" s="1043"/>
      <c r="L127" s="1048"/>
      <c r="M127" s="1048" t="s">
        <v>1202</v>
      </c>
    </row>
    <row r="128" spans="2:14" ht="40.5" customHeight="1" x14ac:dyDescent="0.25">
      <c r="B128" s="1052" t="s">
        <v>1006</v>
      </c>
      <c r="C128" s="1044" t="s">
        <v>838</v>
      </c>
      <c r="D128" s="1047" t="s">
        <v>887</v>
      </c>
      <c r="E128" s="1108" t="s">
        <v>889</v>
      </c>
      <c r="F128" s="1068" t="s">
        <v>701</v>
      </c>
      <c r="G128" s="1047" t="s">
        <v>393</v>
      </c>
      <c r="H128" s="1043">
        <v>100</v>
      </c>
      <c r="I128" s="1043"/>
      <c r="J128" s="1043">
        <v>750</v>
      </c>
      <c r="K128" s="1043"/>
      <c r="L128" s="1048"/>
      <c r="M128" s="1049" t="s">
        <v>702</v>
      </c>
    </row>
    <row r="129" spans="1:13" ht="24.95" customHeight="1" x14ac:dyDescent="0.25">
      <c r="B129" s="1052" t="s">
        <v>1007</v>
      </c>
      <c r="C129" s="1044" t="s">
        <v>838</v>
      </c>
      <c r="D129" s="1044" t="s">
        <v>898</v>
      </c>
      <c r="E129" s="1067" t="s">
        <v>899</v>
      </c>
      <c r="F129" s="1048" t="s">
        <v>864</v>
      </c>
      <c r="G129" s="1047" t="s">
        <v>393</v>
      </c>
      <c r="H129" s="1043">
        <v>800</v>
      </c>
      <c r="I129" s="1043">
        <v>0</v>
      </c>
      <c r="J129" s="1043">
        <f>+I129+H129</f>
        <v>800</v>
      </c>
      <c r="K129" s="1043"/>
      <c r="L129" s="1048"/>
      <c r="M129" s="1049" t="s">
        <v>487</v>
      </c>
    </row>
    <row r="130" spans="1:13" ht="24.95" customHeight="1" x14ac:dyDescent="0.25">
      <c r="B130" s="1052" t="s">
        <v>1008</v>
      </c>
      <c r="C130" s="1044" t="s">
        <v>838</v>
      </c>
      <c r="D130" s="1047" t="s">
        <v>868</v>
      </c>
      <c r="E130" s="1108" t="s">
        <v>870</v>
      </c>
      <c r="F130" s="1048" t="s">
        <v>310</v>
      </c>
      <c r="G130" s="1047" t="s">
        <v>393</v>
      </c>
      <c r="H130" s="1043">
        <v>100</v>
      </c>
      <c r="I130" s="1043">
        <v>0</v>
      </c>
      <c r="J130" s="1043">
        <f>+I130+H130</f>
        <v>100</v>
      </c>
      <c r="K130" s="1043"/>
      <c r="L130" s="1048"/>
    </row>
    <row r="131" spans="1:13" ht="24.95" customHeight="1" x14ac:dyDescent="0.25">
      <c r="B131" s="1052" t="s">
        <v>1009</v>
      </c>
      <c r="C131" s="1044" t="s">
        <v>838</v>
      </c>
      <c r="D131" s="1044" t="s">
        <v>898</v>
      </c>
      <c r="E131" s="1067" t="s">
        <v>900</v>
      </c>
      <c r="F131" s="1048" t="s">
        <v>575</v>
      </c>
      <c r="G131" s="1047" t="s">
        <v>393</v>
      </c>
      <c r="H131" s="1043">
        <v>450</v>
      </c>
      <c r="I131" s="1043">
        <v>0</v>
      </c>
      <c r="J131" s="1043">
        <f t="shared" ref="J131:J146" si="44">+I131+H131</f>
        <v>450</v>
      </c>
      <c r="K131" s="1043" t="s">
        <v>74</v>
      </c>
      <c r="L131" s="1048" t="s">
        <v>668</v>
      </c>
    </row>
    <row r="132" spans="1:13" ht="24.95" customHeight="1" x14ac:dyDescent="0.25">
      <c r="B132" s="1052" t="s">
        <v>1010</v>
      </c>
      <c r="C132" s="1044" t="s">
        <v>838</v>
      </c>
      <c r="D132" s="1044" t="s">
        <v>898</v>
      </c>
      <c r="E132" s="1067" t="s">
        <v>901</v>
      </c>
      <c r="F132" s="1048" t="s">
        <v>564</v>
      </c>
      <c r="G132" s="1047" t="s">
        <v>393</v>
      </c>
      <c r="H132" s="1043">
        <v>650</v>
      </c>
      <c r="I132" s="1043">
        <v>0</v>
      </c>
      <c r="J132" s="1043">
        <f t="shared" si="44"/>
        <v>650</v>
      </c>
      <c r="K132" s="1043" t="s">
        <v>74</v>
      </c>
      <c r="L132" s="1048" t="s">
        <v>668</v>
      </c>
    </row>
    <row r="133" spans="1:13" ht="24.95" customHeight="1" x14ac:dyDescent="0.25">
      <c r="B133" s="1052" t="s">
        <v>1011</v>
      </c>
      <c r="C133" s="1044" t="s">
        <v>838</v>
      </c>
      <c r="D133" s="1044" t="s">
        <v>840</v>
      </c>
      <c r="E133" s="1106" t="s">
        <v>896</v>
      </c>
      <c r="F133" s="1048" t="s">
        <v>477</v>
      </c>
      <c r="G133" s="1047" t="s">
        <v>393</v>
      </c>
      <c r="H133" s="1043">
        <f>538+306</f>
        <v>844</v>
      </c>
      <c r="I133" s="1043">
        <f>H133*19%</f>
        <v>160.36000000000001</v>
      </c>
      <c r="J133" s="1043">
        <f t="shared" si="44"/>
        <v>1004.36</v>
      </c>
      <c r="K133" s="1043" t="s">
        <v>74</v>
      </c>
      <c r="L133" s="1048" t="s">
        <v>647</v>
      </c>
    </row>
    <row r="134" spans="1:13" ht="24.95" customHeight="1" x14ac:dyDescent="0.25">
      <c r="B134" s="1052" t="s">
        <v>1012</v>
      </c>
      <c r="C134" s="1044" t="s">
        <v>838</v>
      </c>
      <c r="D134" s="1044" t="s">
        <v>898</v>
      </c>
      <c r="E134" s="1067" t="s">
        <v>902</v>
      </c>
      <c r="F134" s="1048" t="s">
        <v>479</v>
      </c>
      <c r="G134" s="1047" t="s">
        <v>393</v>
      </c>
      <c r="H134" s="1043">
        <v>550</v>
      </c>
      <c r="I134" s="1043">
        <v>0</v>
      </c>
      <c r="J134" s="1043">
        <f t="shared" si="44"/>
        <v>550</v>
      </c>
      <c r="K134" s="1043" t="s">
        <v>74</v>
      </c>
      <c r="L134" s="1048" t="s">
        <v>647</v>
      </c>
    </row>
    <row r="135" spans="1:13" ht="24.95" customHeight="1" x14ac:dyDescent="0.25">
      <c r="B135" s="1052" t="s">
        <v>1013</v>
      </c>
      <c r="C135" s="1044" t="s">
        <v>838</v>
      </c>
      <c r="D135" s="1047" t="s">
        <v>868</v>
      </c>
      <c r="E135" s="1109" t="s">
        <v>871</v>
      </c>
      <c r="F135" s="1048" t="s">
        <v>480</v>
      </c>
      <c r="G135" s="1047" t="s">
        <v>393</v>
      </c>
      <c r="H135" s="1043">
        <v>100</v>
      </c>
      <c r="I135" s="1043">
        <v>0</v>
      </c>
      <c r="J135" s="1043">
        <f t="shared" si="44"/>
        <v>100</v>
      </c>
      <c r="K135" s="1043" t="s">
        <v>74</v>
      </c>
      <c r="L135" s="1048" t="s">
        <v>647</v>
      </c>
    </row>
    <row r="136" spans="1:13" ht="24.95" customHeight="1" x14ac:dyDescent="0.25">
      <c r="B136" s="1052" t="s">
        <v>1014</v>
      </c>
      <c r="C136" s="1044" t="s">
        <v>838</v>
      </c>
      <c r="D136" s="1044" t="s">
        <v>898</v>
      </c>
      <c r="E136" s="1067" t="s">
        <v>903</v>
      </c>
      <c r="F136" s="1048" t="s">
        <v>565</v>
      </c>
      <c r="G136" s="1047" t="s">
        <v>393</v>
      </c>
      <c r="H136" s="1043">
        <v>420</v>
      </c>
      <c r="I136" s="1043">
        <v>0</v>
      </c>
      <c r="J136" s="1043">
        <f t="shared" si="44"/>
        <v>420</v>
      </c>
      <c r="K136" s="1043" t="s">
        <v>74</v>
      </c>
      <c r="L136" s="1048" t="s">
        <v>668</v>
      </c>
    </row>
    <row r="137" spans="1:13" ht="24.95" customHeight="1" x14ac:dyDescent="0.25">
      <c r="B137" s="1052" t="s">
        <v>1015</v>
      </c>
      <c r="C137" s="1047" t="s">
        <v>838</v>
      </c>
      <c r="D137" s="1047" t="s">
        <v>840</v>
      </c>
      <c r="E137" s="1109" t="s">
        <v>852</v>
      </c>
      <c r="F137" s="1110" t="s">
        <v>1075</v>
      </c>
      <c r="G137" s="1047" t="s">
        <v>393</v>
      </c>
      <c r="H137" s="1043">
        <v>500</v>
      </c>
      <c r="I137" s="1043">
        <v>0</v>
      </c>
      <c r="J137" s="1043">
        <f t="shared" si="44"/>
        <v>500</v>
      </c>
      <c r="K137" s="1043" t="s">
        <v>74</v>
      </c>
      <c r="L137" s="1048" t="s">
        <v>668</v>
      </c>
    </row>
    <row r="138" spans="1:13" ht="24.95" customHeight="1" x14ac:dyDescent="0.25">
      <c r="B138" s="1052" t="s">
        <v>1016</v>
      </c>
      <c r="C138" s="1047" t="s">
        <v>838</v>
      </c>
      <c r="D138" s="1047" t="s">
        <v>840</v>
      </c>
      <c r="E138" s="1106" t="s">
        <v>853</v>
      </c>
      <c r="F138" s="1110" t="s">
        <v>1076</v>
      </c>
      <c r="G138" s="1047" t="s">
        <v>393</v>
      </c>
      <c r="H138" s="1043">
        <v>650</v>
      </c>
      <c r="I138" s="1043">
        <v>0</v>
      </c>
      <c r="J138" s="1043">
        <f t="shared" si="44"/>
        <v>650</v>
      </c>
      <c r="K138" s="1043"/>
      <c r="L138" s="1048" t="s">
        <v>488</v>
      </c>
    </row>
    <row r="139" spans="1:13" ht="24.95" customHeight="1" x14ac:dyDescent="0.25">
      <c r="B139" s="1052" t="s">
        <v>1017</v>
      </c>
      <c r="C139" s="1047" t="s">
        <v>838</v>
      </c>
      <c r="D139" s="1047" t="s">
        <v>840</v>
      </c>
      <c r="E139" s="1106" t="s">
        <v>854</v>
      </c>
      <c r="F139" s="1110" t="s">
        <v>1077</v>
      </c>
      <c r="G139" s="1047" t="s">
        <v>393</v>
      </c>
      <c r="H139" s="1043">
        <v>650</v>
      </c>
      <c r="I139" s="1043">
        <v>0</v>
      </c>
      <c r="J139" s="1043">
        <f t="shared" si="44"/>
        <v>650</v>
      </c>
      <c r="K139" s="1043"/>
      <c r="L139" s="1048" t="s">
        <v>681</v>
      </c>
    </row>
    <row r="140" spans="1:13" ht="24.95" customHeight="1" x14ac:dyDescent="0.25">
      <c r="A140" s="1111" t="s">
        <v>756</v>
      </c>
      <c r="B140" s="1052" t="s">
        <v>1018</v>
      </c>
      <c r="C140" s="1075" t="s">
        <v>838</v>
      </c>
      <c r="D140" s="1075">
        <v>302</v>
      </c>
      <c r="E140" s="1112" t="s">
        <v>862</v>
      </c>
      <c r="F140" s="1113" t="s">
        <v>866</v>
      </c>
      <c r="G140" s="1106" t="s">
        <v>393</v>
      </c>
      <c r="H140" s="1114">
        <v>120</v>
      </c>
      <c r="I140" s="1114"/>
      <c r="J140" s="1114">
        <f t="shared" si="44"/>
        <v>120</v>
      </c>
      <c r="K140" s="1114"/>
      <c r="L140" s="1115" t="s">
        <v>757</v>
      </c>
    </row>
    <row r="141" spans="1:13" ht="24.95" customHeight="1" x14ac:dyDescent="0.25">
      <c r="B141" s="1052" t="s">
        <v>1019</v>
      </c>
      <c r="C141" s="1075" t="s">
        <v>838</v>
      </c>
      <c r="D141" s="1075" t="s">
        <v>840</v>
      </c>
      <c r="E141" s="1051" t="s">
        <v>855</v>
      </c>
      <c r="F141" s="1048" t="s">
        <v>494</v>
      </c>
      <c r="G141" s="1047" t="s">
        <v>393</v>
      </c>
      <c r="H141" s="1043">
        <v>1500</v>
      </c>
      <c r="I141" s="1043">
        <v>0</v>
      </c>
      <c r="J141" s="1043">
        <f t="shared" si="44"/>
        <v>1500</v>
      </c>
      <c r="K141" s="1043"/>
      <c r="L141" s="1048" t="s">
        <v>492</v>
      </c>
    </row>
    <row r="142" spans="1:13" ht="24.95" customHeight="1" x14ac:dyDescent="0.25">
      <c r="B142" s="1052" t="s">
        <v>1020</v>
      </c>
      <c r="C142" s="1047" t="s">
        <v>838</v>
      </c>
      <c r="D142" s="1047" t="s">
        <v>840</v>
      </c>
      <c r="E142" s="1106" t="s">
        <v>856</v>
      </c>
      <c r="F142" s="1110" t="s">
        <v>1078</v>
      </c>
      <c r="G142" s="1047" t="s">
        <v>393</v>
      </c>
      <c r="H142" s="1043">
        <v>650</v>
      </c>
      <c r="I142" s="1043">
        <v>0</v>
      </c>
      <c r="J142" s="1043">
        <f t="shared" si="44"/>
        <v>650</v>
      </c>
      <c r="K142" s="1043"/>
      <c r="L142" s="1116" t="s">
        <v>496</v>
      </c>
    </row>
    <row r="143" spans="1:13" ht="24.95" customHeight="1" x14ac:dyDescent="0.25">
      <c r="B143" s="1052" t="s">
        <v>1021</v>
      </c>
      <c r="C143" s="1075" t="s">
        <v>838</v>
      </c>
      <c r="D143" s="1075">
        <v>302</v>
      </c>
      <c r="E143" s="1109" t="s">
        <v>865</v>
      </c>
      <c r="F143" s="1048" t="s">
        <v>503</v>
      </c>
      <c r="G143" s="1047" t="s">
        <v>393</v>
      </c>
      <c r="H143" s="1043">
        <v>250</v>
      </c>
      <c r="I143" s="1043">
        <v>0</v>
      </c>
      <c r="J143" s="1043">
        <f t="shared" si="44"/>
        <v>250</v>
      </c>
      <c r="K143" s="1043"/>
      <c r="L143" s="1116" t="s">
        <v>496</v>
      </c>
    </row>
    <row r="144" spans="1:13" ht="24.95" customHeight="1" x14ac:dyDescent="0.25">
      <c r="B144" s="1052" t="s">
        <v>1022</v>
      </c>
      <c r="C144" s="1075" t="s">
        <v>838</v>
      </c>
      <c r="D144" s="1047" t="s">
        <v>876</v>
      </c>
      <c r="E144" s="1108" t="s">
        <v>883</v>
      </c>
      <c r="F144" s="1048" t="s">
        <v>614</v>
      </c>
      <c r="G144" s="1047" t="s">
        <v>393</v>
      </c>
      <c r="H144" s="1043">
        <v>70</v>
      </c>
      <c r="I144" s="1043">
        <v>0</v>
      </c>
      <c r="J144" s="1043">
        <f t="shared" si="44"/>
        <v>70</v>
      </c>
      <c r="K144" s="1043"/>
      <c r="L144" s="1116" t="s">
        <v>496</v>
      </c>
    </row>
    <row r="145" spans="1:17" ht="24.95" customHeight="1" x14ac:dyDescent="0.25">
      <c r="B145" s="1052" t="s">
        <v>1023</v>
      </c>
      <c r="C145" s="1075" t="s">
        <v>838</v>
      </c>
      <c r="D145" s="1047" t="s">
        <v>876</v>
      </c>
      <c r="E145" s="1108" t="s">
        <v>884</v>
      </c>
      <c r="F145" s="1048" t="s">
        <v>758</v>
      </c>
      <c r="G145" s="1047" t="s">
        <v>393</v>
      </c>
      <c r="H145" s="1043">
        <v>120</v>
      </c>
      <c r="I145" s="1043">
        <v>0</v>
      </c>
      <c r="J145" s="1043">
        <f t="shared" si="44"/>
        <v>120</v>
      </c>
      <c r="K145" s="1043"/>
      <c r="L145" s="1116"/>
    </row>
    <row r="146" spans="1:17" ht="24.95" customHeight="1" x14ac:dyDescent="0.25">
      <c r="B146" s="1052" t="s">
        <v>1024</v>
      </c>
      <c r="C146" s="1047" t="s">
        <v>838</v>
      </c>
      <c r="D146" s="1047" t="s">
        <v>840</v>
      </c>
      <c r="E146" s="1109" t="s">
        <v>857</v>
      </c>
      <c r="F146" s="1048" t="s">
        <v>621</v>
      </c>
      <c r="G146" s="1047" t="s">
        <v>393</v>
      </c>
      <c r="H146" s="1043">
        <v>350</v>
      </c>
      <c r="I146" s="1043">
        <v>0</v>
      </c>
      <c r="J146" s="1043">
        <f t="shared" si="44"/>
        <v>350</v>
      </c>
      <c r="K146" s="1043"/>
      <c r="L146" s="719" t="s">
        <v>495</v>
      </c>
    </row>
    <row r="147" spans="1:17" ht="24.95" customHeight="1" x14ac:dyDescent="0.25">
      <c r="A147" s="1087" t="s">
        <v>786</v>
      </c>
      <c r="B147" s="1052" t="s">
        <v>1025</v>
      </c>
      <c r="C147" s="1047" t="s">
        <v>838</v>
      </c>
      <c r="D147" s="1047" t="s">
        <v>840</v>
      </c>
      <c r="E147" s="1109" t="s">
        <v>858</v>
      </c>
      <c r="F147" s="1107" t="s">
        <v>1079</v>
      </c>
      <c r="G147" s="1133" t="s">
        <v>393</v>
      </c>
      <c r="H147" s="1118">
        <v>700</v>
      </c>
      <c r="I147" s="1118"/>
      <c r="J147" s="1118">
        <f>+H147</f>
        <v>700</v>
      </c>
      <c r="K147" s="1117"/>
      <c r="L147" s="1117"/>
    </row>
    <row r="148" spans="1:17" ht="24.95" customHeight="1" x14ac:dyDescent="0.25">
      <c r="B148" s="1052" t="s">
        <v>1026</v>
      </c>
      <c r="C148" s="1075" t="s">
        <v>838</v>
      </c>
      <c r="D148" s="1047" t="s">
        <v>876</v>
      </c>
      <c r="E148" s="1108" t="s">
        <v>885</v>
      </c>
      <c r="F148" s="1048" t="s">
        <v>735</v>
      </c>
      <c r="G148" s="1047" t="s">
        <v>393</v>
      </c>
      <c r="H148" s="1043">
        <v>70</v>
      </c>
      <c r="I148" s="1043"/>
      <c r="J148" s="1043">
        <f>+H148</f>
        <v>70</v>
      </c>
      <c r="K148" s="1048"/>
      <c r="L148" s="1048"/>
    </row>
    <row r="149" spans="1:17" ht="24.95" customHeight="1" x14ac:dyDescent="0.25">
      <c r="B149" s="1052" t="s">
        <v>1027</v>
      </c>
      <c r="C149" s="1047" t="s">
        <v>838</v>
      </c>
      <c r="D149" s="1047" t="s">
        <v>840</v>
      </c>
      <c r="E149" s="1119" t="s">
        <v>859</v>
      </c>
      <c r="F149" s="1048" t="s">
        <v>725</v>
      </c>
      <c r="G149" s="1047" t="s">
        <v>393</v>
      </c>
      <c r="H149" s="1043">
        <v>2837</v>
      </c>
      <c r="I149" s="1043"/>
      <c r="J149" s="1043">
        <f>+H149</f>
        <v>2837</v>
      </c>
      <c r="K149" s="1048"/>
      <c r="L149" s="1048"/>
    </row>
    <row r="150" spans="1:17" ht="24.95" customHeight="1" x14ac:dyDescent="0.25">
      <c r="B150" s="1052" t="s">
        <v>1028</v>
      </c>
      <c r="C150" s="1075" t="s">
        <v>838</v>
      </c>
      <c r="D150" s="1047" t="s">
        <v>876</v>
      </c>
      <c r="E150" s="1108" t="s">
        <v>886</v>
      </c>
      <c r="F150" s="1068" t="s">
        <v>680</v>
      </c>
      <c r="G150" s="1047" t="s">
        <v>393</v>
      </c>
      <c r="H150" s="1043">
        <v>73</v>
      </c>
      <c r="I150" s="1043"/>
      <c r="J150" s="1043">
        <f>+H150</f>
        <v>73</v>
      </c>
      <c r="K150" s="1048"/>
      <c r="L150" s="1048"/>
    </row>
    <row r="151" spans="1:17" ht="24.95" customHeight="1" x14ac:dyDescent="0.25">
      <c r="B151" s="1052" t="s">
        <v>1029</v>
      </c>
      <c r="C151" s="1047" t="s">
        <v>838</v>
      </c>
      <c r="D151" s="1047" t="s">
        <v>840</v>
      </c>
      <c r="E151" s="1109" t="s">
        <v>860</v>
      </c>
      <c r="F151" s="1068" t="s">
        <v>761</v>
      </c>
      <c r="G151" s="1047" t="s">
        <v>393</v>
      </c>
      <c r="H151" s="1043">
        <v>750</v>
      </c>
      <c r="I151" s="1043"/>
      <c r="J151" s="1043">
        <f t="shared" ref="J151:J152" si="45">+I151+H151</f>
        <v>750</v>
      </c>
      <c r="K151" s="1048"/>
      <c r="L151" s="1048"/>
    </row>
    <row r="152" spans="1:17" ht="32.25" customHeight="1" x14ac:dyDescent="0.25">
      <c r="B152" s="1052" t="s">
        <v>1030</v>
      </c>
      <c r="C152" s="1044" t="s">
        <v>838</v>
      </c>
      <c r="D152" s="1047" t="s">
        <v>868</v>
      </c>
      <c r="E152" s="1109" t="s">
        <v>872</v>
      </c>
      <c r="F152" s="1068" t="s">
        <v>759</v>
      </c>
      <c r="G152" s="1047" t="s">
        <v>393</v>
      </c>
      <c r="H152" s="1043">
        <v>100</v>
      </c>
      <c r="I152" s="1043"/>
      <c r="J152" s="1043">
        <f t="shared" si="45"/>
        <v>100</v>
      </c>
      <c r="K152" s="1048"/>
      <c r="L152" s="1048"/>
    </row>
    <row r="153" spans="1:17" ht="24.95" customHeight="1" x14ac:dyDescent="0.25">
      <c r="B153" s="1052" t="s">
        <v>1031</v>
      </c>
      <c r="C153" s="1044" t="s">
        <v>838</v>
      </c>
      <c r="D153" s="1047" t="s">
        <v>868</v>
      </c>
      <c r="E153" s="1109" t="s">
        <v>873</v>
      </c>
      <c r="F153" s="1120" t="s">
        <v>760</v>
      </c>
      <c r="G153" s="1047" t="s">
        <v>393</v>
      </c>
      <c r="H153" s="1043">
        <v>100</v>
      </c>
      <c r="I153" s="1043"/>
      <c r="J153" s="1043">
        <f>+H153</f>
        <v>100</v>
      </c>
      <c r="K153" s="1048"/>
      <c r="L153" s="1048" t="s">
        <v>670</v>
      </c>
    </row>
    <row r="154" spans="1:17" ht="24.95" customHeight="1" x14ac:dyDescent="0.25">
      <c r="B154" s="1052" t="s">
        <v>1032</v>
      </c>
      <c r="C154" s="1044" t="s">
        <v>838</v>
      </c>
      <c r="D154" s="1044" t="s">
        <v>898</v>
      </c>
      <c r="E154" s="1067" t="s">
        <v>904</v>
      </c>
      <c r="F154" s="1120" t="s">
        <v>737</v>
      </c>
      <c r="G154" s="1047" t="s">
        <v>393</v>
      </c>
      <c r="H154" s="1043">
        <v>1000</v>
      </c>
      <c r="I154" s="1043"/>
      <c r="J154" s="1043">
        <f>+H154</f>
        <v>1000</v>
      </c>
      <c r="K154" s="1048"/>
      <c r="L154" s="1048" t="s">
        <v>670</v>
      </c>
    </row>
    <row r="155" spans="1:17" ht="24.95" customHeight="1" x14ac:dyDescent="0.25">
      <c r="B155" s="1052" t="s">
        <v>1033</v>
      </c>
      <c r="C155" s="1075" t="s">
        <v>838</v>
      </c>
      <c r="D155" s="1108" t="s">
        <v>840</v>
      </c>
      <c r="E155" s="1108" t="s">
        <v>913</v>
      </c>
      <c r="F155" s="1048" t="s">
        <v>395</v>
      </c>
      <c r="G155" s="1047" t="s">
        <v>393</v>
      </c>
      <c r="H155" s="1043">
        <v>547</v>
      </c>
      <c r="I155" s="1043">
        <f>H155*19%</f>
        <v>103.93</v>
      </c>
      <c r="J155" s="1043">
        <f t="shared" ref="J155:J163" si="46">+I155+H155</f>
        <v>650.93000000000006</v>
      </c>
      <c r="K155" s="1048" t="s">
        <v>73</v>
      </c>
      <c r="L155" s="1048" t="s">
        <v>508</v>
      </c>
      <c r="Q155" s="1049"/>
    </row>
    <row r="156" spans="1:17" ht="24.95" customHeight="1" x14ac:dyDescent="0.25">
      <c r="B156" s="1052" t="s">
        <v>1034</v>
      </c>
      <c r="C156" s="1075" t="s">
        <v>838</v>
      </c>
      <c r="D156" s="1108" t="s">
        <v>840</v>
      </c>
      <c r="E156" s="1108" t="s">
        <v>914</v>
      </c>
      <c r="F156" s="1048" t="s">
        <v>508</v>
      </c>
      <c r="G156" s="1047" t="s">
        <v>393</v>
      </c>
      <c r="H156" s="1043">
        <v>17</v>
      </c>
      <c r="I156" s="1043">
        <v>0</v>
      </c>
      <c r="J156" s="1043">
        <f t="shared" si="46"/>
        <v>17</v>
      </c>
      <c r="K156" s="1048" t="s">
        <v>73</v>
      </c>
      <c r="L156" s="1048" t="s">
        <v>508</v>
      </c>
      <c r="Q156" s="1049"/>
    </row>
    <row r="157" spans="1:17" ht="24.95" customHeight="1" x14ac:dyDescent="0.25">
      <c r="B157" s="1052" t="s">
        <v>1035</v>
      </c>
      <c r="C157" s="1075" t="s">
        <v>838</v>
      </c>
      <c r="D157" s="1047" t="s">
        <v>876</v>
      </c>
      <c r="E157" s="1108" t="s">
        <v>882</v>
      </c>
      <c r="F157" s="1048" t="s">
        <v>371</v>
      </c>
      <c r="G157" s="1047" t="s">
        <v>393</v>
      </c>
      <c r="H157" s="1043">
        <v>252</v>
      </c>
      <c r="I157" s="1043">
        <f>H157*19%</f>
        <v>47.88</v>
      </c>
      <c r="J157" s="1043">
        <f t="shared" si="46"/>
        <v>299.88</v>
      </c>
      <c r="K157" s="1048" t="s">
        <v>73</v>
      </c>
      <c r="L157" s="1048" t="s">
        <v>508</v>
      </c>
      <c r="Q157" s="1049"/>
    </row>
    <row r="158" spans="1:17" ht="24.95" customHeight="1" x14ac:dyDescent="0.25">
      <c r="B158" s="1052" t="s">
        <v>1036</v>
      </c>
      <c r="C158" s="1044" t="s">
        <v>838</v>
      </c>
      <c r="D158" s="1044" t="s">
        <v>877</v>
      </c>
      <c r="E158" s="1067" t="s">
        <v>879</v>
      </c>
      <c r="F158" s="1048" t="s">
        <v>372</v>
      </c>
      <c r="G158" s="1047" t="s">
        <v>393</v>
      </c>
      <c r="H158" s="1043">
        <v>81</v>
      </c>
      <c r="I158" s="1043">
        <f>H158*19%</f>
        <v>15.39</v>
      </c>
      <c r="J158" s="1043">
        <f t="shared" si="46"/>
        <v>96.39</v>
      </c>
      <c r="K158" s="1048" t="s">
        <v>73</v>
      </c>
      <c r="L158" s="1048" t="s">
        <v>508</v>
      </c>
      <c r="Q158" s="1049"/>
    </row>
    <row r="159" spans="1:17" ht="24.95" customHeight="1" x14ac:dyDescent="0.25">
      <c r="B159" s="1052" t="s">
        <v>1037</v>
      </c>
      <c r="C159" s="1044" t="s">
        <v>838</v>
      </c>
      <c r="D159" s="1047" t="s">
        <v>868</v>
      </c>
      <c r="E159" s="1109" t="s">
        <v>874</v>
      </c>
      <c r="F159" s="1048" t="s">
        <v>401</v>
      </c>
      <c r="G159" s="1047" t="s">
        <v>393</v>
      </c>
      <c r="H159" s="1043">
        <v>150</v>
      </c>
      <c r="I159" s="1043">
        <v>0</v>
      </c>
      <c r="J159" s="1043">
        <f t="shared" si="46"/>
        <v>150</v>
      </c>
      <c r="K159" s="1048" t="s">
        <v>73</v>
      </c>
      <c r="L159" s="1048" t="s">
        <v>508</v>
      </c>
      <c r="Q159" s="1049"/>
    </row>
    <row r="160" spans="1:17" ht="24.95" customHeight="1" x14ac:dyDescent="0.25">
      <c r="B160" s="1052" t="s">
        <v>1038</v>
      </c>
      <c r="C160" s="1044" t="s">
        <v>838</v>
      </c>
      <c r="D160" s="1044" t="s">
        <v>877</v>
      </c>
      <c r="E160" s="1067" t="s">
        <v>878</v>
      </c>
      <c r="F160" s="1049" t="s">
        <v>881</v>
      </c>
      <c r="G160" s="1047" t="s">
        <v>393</v>
      </c>
      <c r="H160" s="1043">
        <v>120</v>
      </c>
      <c r="I160" s="1043">
        <v>0</v>
      </c>
      <c r="J160" s="1043">
        <f t="shared" si="46"/>
        <v>120</v>
      </c>
      <c r="K160" s="1048" t="s">
        <v>73</v>
      </c>
      <c r="L160" s="1048" t="s">
        <v>508</v>
      </c>
      <c r="Q160" s="1049"/>
    </row>
    <row r="161" spans="1:17" ht="54" customHeight="1" x14ac:dyDescent="0.25">
      <c r="B161" s="1052" t="s">
        <v>1039</v>
      </c>
      <c r="C161" s="1044" t="s">
        <v>838</v>
      </c>
      <c r="D161" s="1044" t="s">
        <v>877</v>
      </c>
      <c r="E161" s="1067" t="s">
        <v>879</v>
      </c>
      <c r="F161" s="1068" t="s">
        <v>695</v>
      </c>
      <c r="G161" s="1132" t="s">
        <v>1050</v>
      </c>
      <c r="H161" s="1043">
        <v>300</v>
      </c>
      <c r="I161" s="1043">
        <v>0</v>
      </c>
      <c r="J161" s="1043">
        <f t="shared" si="46"/>
        <v>300</v>
      </c>
      <c r="K161" s="1048"/>
      <c r="L161" s="1068" t="s">
        <v>752</v>
      </c>
      <c r="M161" s="1069" t="s">
        <v>751</v>
      </c>
    </row>
    <row r="162" spans="1:17" ht="34.5" customHeight="1" x14ac:dyDescent="0.25">
      <c r="B162" s="1052" t="s">
        <v>1040</v>
      </c>
      <c r="C162" s="1044" t="s">
        <v>838</v>
      </c>
      <c r="D162" s="1047" t="s">
        <v>887</v>
      </c>
      <c r="E162" s="1106" t="s">
        <v>888</v>
      </c>
      <c r="F162" s="1048" t="s">
        <v>675</v>
      </c>
      <c r="G162" s="1047" t="s">
        <v>393</v>
      </c>
      <c r="H162" s="1043">
        <v>100</v>
      </c>
      <c r="I162" s="1043">
        <v>0</v>
      </c>
      <c r="J162" s="1043">
        <f t="shared" si="46"/>
        <v>100</v>
      </c>
      <c r="K162" s="1048"/>
      <c r="L162" s="1048"/>
      <c r="M162" s="1069" t="s">
        <v>696</v>
      </c>
    </row>
    <row r="163" spans="1:17" ht="24.95" customHeight="1" x14ac:dyDescent="0.25">
      <c r="B163" s="1052" t="s">
        <v>1041</v>
      </c>
      <c r="C163" s="1044" t="s">
        <v>838</v>
      </c>
      <c r="D163" s="1044" t="s">
        <v>898</v>
      </c>
      <c r="E163" s="1067" t="s">
        <v>905</v>
      </c>
      <c r="F163" s="1048" t="s">
        <v>576</v>
      </c>
      <c r="G163" s="1047" t="s">
        <v>393</v>
      </c>
      <c r="H163" s="1043">
        <v>650</v>
      </c>
      <c r="I163" s="1043">
        <v>0</v>
      </c>
      <c r="J163" s="1043">
        <f t="shared" si="46"/>
        <v>650</v>
      </c>
      <c r="K163" s="1043" t="s">
        <v>74</v>
      </c>
      <c r="L163" s="1048" t="s">
        <v>668</v>
      </c>
    </row>
    <row r="164" spans="1:17" ht="24.95" customHeight="1" x14ac:dyDescent="0.25">
      <c r="B164" s="1052" t="s">
        <v>1042</v>
      </c>
      <c r="C164" s="1044" t="s">
        <v>838</v>
      </c>
      <c r="D164" s="1047" t="s">
        <v>868</v>
      </c>
      <c r="E164" s="1106" t="s">
        <v>895</v>
      </c>
      <c r="F164" s="1048" t="s">
        <v>577</v>
      </c>
      <c r="G164" s="1047" t="s">
        <v>393</v>
      </c>
      <c r="H164" s="1043">
        <v>50</v>
      </c>
      <c r="I164" s="1043"/>
      <c r="J164" s="1043">
        <f>+H164</f>
        <v>50</v>
      </c>
      <c r="K164" s="1048" t="s">
        <v>74</v>
      </c>
      <c r="L164" s="1048" t="s">
        <v>611</v>
      </c>
    </row>
    <row r="165" spans="1:17" ht="24.95" customHeight="1" x14ac:dyDescent="0.25">
      <c r="B165" s="1052" t="s">
        <v>1043</v>
      </c>
      <c r="C165" s="1044" t="s">
        <v>838</v>
      </c>
      <c r="D165" s="1044" t="s">
        <v>898</v>
      </c>
      <c r="E165" s="1067" t="s">
        <v>906</v>
      </c>
      <c r="F165" s="1121" t="s">
        <v>674</v>
      </c>
      <c r="G165" s="1047" t="s">
        <v>393</v>
      </c>
      <c r="H165" s="1043">
        <v>700</v>
      </c>
      <c r="I165" s="1043"/>
      <c r="J165" s="1043">
        <f>+H165</f>
        <v>700</v>
      </c>
      <c r="K165" s="1048" t="s">
        <v>74</v>
      </c>
      <c r="L165" s="1048" t="s">
        <v>611</v>
      </c>
    </row>
    <row r="166" spans="1:17" ht="41.25" customHeight="1" x14ac:dyDescent="0.25">
      <c r="B166" s="1491" t="s">
        <v>1044</v>
      </c>
      <c r="C166" s="1044" t="s">
        <v>838</v>
      </c>
      <c r="D166" s="1044" t="s">
        <v>840</v>
      </c>
      <c r="E166" s="1489" t="s">
        <v>891</v>
      </c>
      <c r="F166" s="718" t="s">
        <v>1051</v>
      </c>
      <c r="G166" s="1047" t="s">
        <v>393</v>
      </c>
      <c r="H166" s="1487">
        <v>1025</v>
      </c>
      <c r="I166" s="1043"/>
      <c r="J166" s="1043">
        <f>+H166</f>
        <v>1025</v>
      </c>
      <c r="K166" s="1048" t="s">
        <v>664</v>
      </c>
      <c r="L166" s="1048" t="s">
        <v>644</v>
      </c>
    </row>
    <row r="167" spans="1:17" ht="48" customHeight="1" x14ac:dyDescent="0.25">
      <c r="B167" s="1492"/>
      <c r="C167" s="1044" t="s">
        <v>838</v>
      </c>
      <c r="D167" s="1044" t="s">
        <v>840</v>
      </c>
      <c r="E167" s="1490"/>
      <c r="F167" s="718" t="s">
        <v>893</v>
      </c>
      <c r="G167" s="1047" t="s">
        <v>393</v>
      </c>
      <c r="H167" s="1487"/>
      <c r="I167" s="1043"/>
      <c r="J167" s="1043"/>
      <c r="K167" s="1048"/>
      <c r="L167" s="1048" t="s">
        <v>644</v>
      </c>
    </row>
    <row r="168" spans="1:17" ht="42" customHeight="1" x14ac:dyDescent="0.25">
      <c r="A168" s="1122" t="s">
        <v>1053</v>
      </c>
      <c r="B168" s="1052" t="s">
        <v>1045</v>
      </c>
      <c r="C168" s="1044" t="s">
        <v>838</v>
      </c>
      <c r="D168" s="1047" t="s">
        <v>868</v>
      </c>
      <c r="E168" s="1047" t="s">
        <v>1055</v>
      </c>
      <c r="F168" s="719" t="s">
        <v>1052</v>
      </c>
      <c r="G168" s="1047" t="s">
        <v>393</v>
      </c>
      <c r="H168" s="1082">
        <v>200</v>
      </c>
      <c r="I168" s="1082"/>
      <c r="J168" s="1082">
        <f>+H168</f>
        <v>200</v>
      </c>
      <c r="K168" s="719" t="s">
        <v>664</v>
      </c>
      <c r="L168" s="719" t="s">
        <v>644</v>
      </c>
    </row>
    <row r="169" spans="1:17" ht="42" customHeight="1" x14ac:dyDescent="0.25">
      <c r="B169" s="1052" t="s">
        <v>1046</v>
      </c>
      <c r="C169" s="1044" t="s">
        <v>838</v>
      </c>
      <c r="D169" s="1044" t="s">
        <v>898</v>
      </c>
      <c r="E169" s="1067" t="s">
        <v>907</v>
      </c>
      <c r="F169" s="718" t="s">
        <v>894</v>
      </c>
      <c r="G169" s="1047" t="s">
        <v>393</v>
      </c>
      <c r="H169" s="1043">
        <v>350</v>
      </c>
      <c r="I169" s="1043"/>
      <c r="J169" s="1043">
        <f t="shared" ref="J169:J170" si="47">+H169</f>
        <v>350</v>
      </c>
      <c r="K169" s="1048" t="s">
        <v>664</v>
      </c>
      <c r="L169" s="1048" t="s">
        <v>644</v>
      </c>
    </row>
    <row r="170" spans="1:17" ht="51" customHeight="1" x14ac:dyDescent="0.25">
      <c r="B170" s="1052"/>
      <c r="C170" s="1047"/>
      <c r="D170" s="1047"/>
      <c r="E170" s="1123" t="s">
        <v>890</v>
      </c>
      <c r="F170" s="1124" t="s">
        <v>440</v>
      </c>
      <c r="G170" s="1123"/>
      <c r="H170" s="1082">
        <v>200</v>
      </c>
      <c r="I170" s="1082"/>
      <c r="J170" s="1082">
        <f t="shared" si="47"/>
        <v>200</v>
      </c>
      <c r="K170" s="719" t="s">
        <v>664</v>
      </c>
      <c r="L170" s="719" t="s">
        <v>644</v>
      </c>
    </row>
    <row r="171" spans="1:17" ht="24.95" customHeight="1" x14ac:dyDescent="0.25">
      <c r="B171" s="1052" t="s">
        <v>1047</v>
      </c>
      <c r="C171" s="1044" t="s">
        <v>838</v>
      </c>
      <c r="D171" s="1044" t="s">
        <v>908</v>
      </c>
      <c r="E171" s="1125" t="s">
        <v>909</v>
      </c>
      <c r="F171" s="1048" t="s">
        <v>500</v>
      </c>
      <c r="G171" s="1047" t="s">
        <v>393</v>
      </c>
      <c r="H171" s="1043">
        <v>650</v>
      </c>
      <c r="I171" s="1043">
        <v>0</v>
      </c>
      <c r="J171" s="1043">
        <f>+I171+H171</f>
        <v>650</v>
      </c>
      <c r="K171" s="1043"/>
      <c r="L171" s="1048" t="s">
        <v>487</v>
      </c>
    </row>
    <row r="172" spans="1:17" ht="24.95" customHeight="1" x14ac:dyDescent="0.25">
      <c r="B172" s="1052" t="s">
        <v>1048</v>
      </c>
      <c r="C172" s="1044" t="s">
        <v>838</v>
      </c>
      <c r="D172" s="1044" t="s">
        <v>908</v>
      </c>
      <c r="E172" s="1125" t="s">
        <v>910</v>
      </c>
      <c r="F172" s="1048" t="s">
        <v>501</v>
      </c>
      <c r="G172" s="1047" t="s">
        <v>393</v>
      </c>
      <c r="H172" s="1043">
        <v>750</v>
      </c>
      <c r="I172" s="1043">
        <v>0</v>
      </c>
      <c r="J172" s="1043">
        <f>+I172+H172</f>
        <v>750</v>
      </c>
      <c r="K172" s="1043"/>
      <c r="L172" s="1048" t="s">
        <v>499</v>
      </c>
    </row>
    <row r="173" spans="1:17" ht="24.95" customHeight="1" x14ac:dyDescent="0.25">
      <c r="B173" s="1052" t="s">
        <v>1049</v>
      </c>
      <c r="C173" s="1044" t="s">
        <v>838</v>
      </c>
      <c r="D173" s="1044" t="s">
        <v>908</v>
      </c>
      <c r="E173" s="1125" t="s">
        <v>911</v>
      </c>
      <c r="F173" s="1048" t="s">
        <v>497</v>
      </c>
      <c r="G173" s="1047" t="s">
        <v>393</v>
      </c>
      <c r="H173" s="1043">
        <v>4500</v>
      </c>
      <c r="I173" s="1043">
        <v>0</v>
      </c>
      <c r="J173" s="1043">
        <f t="shared" ref="J173:J174" si="48">+I173+H173</f>
        <v>4500</v>
      </c>
      <c r="K173" s="1043"/>
      <c r="L173" s="1048"/>
    </row>
    <row r="174" spans="1:17" ht="24.95" customHeight="1" x14ac:dyDescent="0.25">
      <c r="B174" s="1052" t="s">
        <v>1054</v>
      </c>
      <c r="C174" s="1091" t="s">
        <v>838</v>
      </c>
      <c r="D174" s="1091" t="s">
        <v>908</v>
      </c>
      <c r="E174" s="1125" t="s">
        <v>912</v>
      </c>
      <c r="F174" s="1121" t="s">
        <v>498</v>
      </c>
      <c r="G174" s="1134" t="s">
        <v>393</v>
      </c>
      <c r="H174" s="1126">
        <v>4500</v>
      </c>
      <c r="I174" s="1126">
        <v>0</v>
      </c>
      <c r="J174" s="1126">
        <f t="shared" si="48"/>
        <v>4500</v>
      </c>
      <c r="K174" s="1126"/>
      <c r="L174" s="1121"/>
    </row>
    <row r="175" spans="1:17" ht="24.95" customHeight="1" x14ac:dyDescent="0.25">
      <c r="A175" s="1127" t="s">
        <v>1069</v>
      </c>
      <c r="B175" s="1052" t="s">
        <v>1221</v>
      </c>
      <c r="C175" s="1044"/>
      <c r="D175" s="1044"/>
      <c r="E175" s="1045"/>
      <c r="F175" s="1048" t="s">
        <v>1216</v>
      </c>
      <c r="G175" s="1047" t="s">
        <v>393</v>
      </c>
      <c r="H175" s="1078">
        <v>1200</v>
      </c>
      <c r="I175" s="1078"/>
      <c r="J175" s="1078">
        <f>+H175+I175</f>
        <v>1200</v>
      </c>
      <c r="K175" s="1078"/>
      <c r="L175" s="1048"/>
      <c r="Q175" s="1084"/>
    </row>
    <row r="176" spans="1:17" ht="24.95" customHeight="1" x14ac:dyDescent="0.25">
      <c r="A176" s="1127"/>
      <c r="B176" s="1052" t="s">
        <v>1234</v>
      </c>
      <c r="C176" s="1044"/>
      <c r="D176" s="1044"/>
      <c r="E176" s="1045"/>
      <c r="F176" s="1048" t="s">
        <v>1222</v>
      </c>
      <c r="G176" s="1047" t="s">
        <v>393</v>
      </c>
      <c r="H176" s="1078">
        <v>1850</v>
      </c>
      <c r="I176" s="1078"/>
      <c r="J176" s="1078">
        <f>+H176+I176</f>
        <v>1850</v>
      </c>
      <c r="K176" s="1078"/>
      <c r="L176" s="1048"/>
      <c r="Q176" s="1084"/>
    </row>
    <row r="177" spans="2:17" ht="24.95" customHeight="1" x14ac:dyDescent="0.25">
      <c r="B177" s="1052" t="s">
        <v>1240</v>
      </c>
      <c r="C177" s="1044"/>
      <c r="D177" s="1044"/>
      <c r="E177" s="1045"/>
      <c r="F177" s="1048" t="s">
        <v>1241</v>
      </c>
      <c r="G177" s="1047" t="s">
        <v>1242</v>
      </c>
      <c r="H177" s="1078">
        <v>589</v>
      </c>
      <c r="I177" s="1078">
        <v>0</v>
      </c>
      <c r="J177" s="1078">
        <v>589</v>
      </c>
      <c r="K177" s="1078"/>
      <c r="L177" s="1048"/>
      <c r="Q177" s="1084"/>
    </row>
    <row r="178" spans="2:17" ht="24.95" customHeight="1" x14ac:dyDescent="0.25">
      <c r="B178" s="1052"/>
      <c r="C178" s="1044"/>
      <c r="D178" s="1044"/>
      <c r="E178" s="1045"/>
      <c r="F178" s="1048"/>
      <c r="G178" s="1047"/>
      <c r="H178" s="1078"/>
      <c r="I178" s="1078"/>
      <c r="J178" s="1078"/>
      <c r="K178" s="1078"/>
      <c r="L178" s="1048"/>
      <c r="Q178" s="1084"/>
    </row>
    <row r="179" spans="2:17" ht="24.95" customHeight="1" x14ac:dyDescent="0.25">
      <c r="B179" s="1052"/>
      <c r="C179" s="1044"/>
      <c r="D179" s="1044"/>
      <c r="E179" s="1045"/>
      <c r="F179" s="1048"/>
      <c r="G179" s="1047"/>
      <c r="H179" s="1078"/>
      <c r="I179" s="1078"/>
      <c r="J179" s="1078"/>
      <c r="K179" s="1078"/>
      <c r="L179" s="1048"/>
      <c r="Q179" s="1084"/>
    </row>
    <row r="180" spans="2:17" ht="24.95" customHeight="1" x14ac:dyDescent="0.25">
      <c r="B180" s="1052"/>
      <c r="C180" s="1044"/>
      <c r="D180" s="1044"/>
      <c r="E180" s="1045"/>
      <c r="F180" s="1048"/>
      <c r="G180" s="1047"/>
      <c r="H180" s="1078"/>
      <c r="I180" s="1078"/>
      <c r="J180" s="1078"/>
      <c r="K180" s="1078"/>
      <c r="L180" s="1048"/>
      <c r="Q180" s="1084"/>
    </row>
    <row r="181" spans="2:17" ht="24.95" customHeight="1" x14ac:dyDescent="0.25">
      <c r="B181" s="1052"/>
      <c r="C181" s="1044"/>
      <c r="D181" s="1044"/>
      <c r="E181" s="1045"/>
      <c r="F181" s="1048"/>
      <c r="G181" s="1047"/>
      <c r="H181" s="1078"/>
      <c r="I181" s="1078"/>
      <c r="J181" s="1078"/>
      <c r="K181" s="1078"/>
      <c r="L181" s="1048"/>
      <c r="Q181" s="1084"/>
    </row>
    <row r="182" spans="2:17" ht="24.95" customHeight="1" x14ac:dyDescent="0.25">
      <c r="B182" s="1052"/>
      <c r="C182" s="1044"/>
      <c r="D182" s="1044"/>
      <c r="E182" s="1045"/>
      <c r="F182" s="1048"/>
      <c r="G182" s="1047"/>
      <c r="H182" s="1078"/>
      <c r="I182" s="1078"/>
      <c r="J182" s="1078"/>
      <c r="K182" s="1078"/>
      <c r="L182" s="1048"/>
      <c r="Q182" s="1084"/>
    </row>
    <row r="183" spans="2:17" ht="24.95" customHeight="1" x14ac:dyDescent="0.25">
      <c r="B183" s="1052"/>
      <c r="C183" s="1044"/>
      <c r="D183" s="1044"/>
      <c r="E183" s="1045"/>
      <c r="F183" s="1048"/>
      <c r="G183" s="1047"/>
      <c r="H183" s="1078"/>
      <c r="I183" s="1078"/>
      <c r="J183" s="1078"/>
      <c r="K183" s="1078"/>
      <c r="L183" s="1048"/>
      <c r="Q183" s="1084"/>
    </row>
    <row r="184" spans="2:17" ht="24.95" customHeight="1" x14ac:dyDescent="0.25">
      <c r="B184" s="1052"/>
      <c r="C184" s="1044"/>
      <c r="D184" s="1044"/>
      <c r="E184" s="1045"/>
      <c r="F184" s="1048"/>
      <c r="G184" s="1047"/>
      <c r="H184" s="1078"/>
      <c r="I184" s="1078"/>
      <c r="J184" s="1078"/>
      <c r="K184" s="1078"/>
      <c r="L184" s="1048"/>
      <c r="Q184" s="1084"/>
    </row>
    <row r="185" spans="2:17" ht="24.95" customHeight="1" x14ac:dyDescent="0.25">
      <c r="B185" s="1052"/>
      <c r="C185" s="1044"/>
      <c r="D185" s="1044"/>
      <c r="E185" s="1045"/>
      <c r="F185" s="1048"/>
      <c r="G185" s="1047"/>
      <c r="H185" s="1078"/>
      <c r="I185" s="1078"/>
      <c r="J185" s="1078"/>
      <c r="K185" s="1078"/>
      <c r="L185" s="1048"/>
      <c r="Q185" s="1084"/>
    </row>
    <row r="186" spans="2:17" ht="24.95" customHeight="1" x14ac:dyDescent="0.25">
      <c r="B186" s="1052"/>
      <c r="C186" s="1044"/>
      <c r="D186" s="1044"/>
      <c r="E186" s="1045"/>
      <c r="F186" s="1048"/>
      <c r="G186" s="1047"/>
      <c r="H186" s="1078"/>
      <c r="I186" s="1078"/>
      <c r="J186" s="1078"/>
      <c r="K186" s="1078"/>
      <c r="L186" s="1048"/>
      <c r="Q186" s="1084"/>
    </row>
    <row r="187" spans="2:17" ht="24.95" customHeight="1" x14ac:dyDescent="0.25">
      <c r="B187" s="1052"/>
      <c r="C187" s="1044"/>
      <c r="D187" s="1044"/>
      <c r="E187" s="1045"/>
      <c r="F187" s="1110" t="s">
        <v>1080</v>
      </c>
      <c r="G187" s="1047"/>
      <c r="H187" s="1078"/>
      <c r="I187" s="1078"/>
      <c r="J187" s="1078"/>
      <c r="K187" s="1078"/>
      <c r="L187" s="1048"/>
      <c r="Q187" s="1084"/>
    </row>
    <row r="188" spans="2:17" ht="24.95" customHeight="1" x14ac:dyDescent="0.25">
      <c r="B188" s="1052"/>
      <c r="C188" s="1044"/>
      <c r="D188" s="1044"/>
      <c r="E188" s="1128"/>
      <c r="F188" s="1048"/>
      <c r="G188" s="1047"/>
      <c r="H188" s="1078"/>
      <c r="I188" s="1078"/>
      <c r="J188" s="1078"/>
      <c r="K188" s="1078"/>
      <c r="L188" s="1048"/>
      <c r="Q188" s="1084"/>
    </row>
    <row r="189" spans="2:17" ht="42.75" customHeight="1" x14ac:dyDescent="0.25">
      <c r="B189" s="1047" t="s">
        <v>754</v>
      </c>
      <c r="C189" s="1047"/>
      <c r="D189" s="1047"/>
      <c r="E189" s="1047"/>
      <c r="F189" s="1129" t="s">
        <v>685</v>
      </c>
      <c r="G189" s="1047" t="s">
        <v>754</v>
      </c>
      <c r="H189" s="1130"/>
      <c r="I189" s="1130"/>
      <c r="J189" s="1130"/>
      <c r="K189" s="1048" t="s">
        <v>753</v>
      </c>
      <c r="L189" s="1048"/>
    </row>
    <row r="190" spans="2:17" ht="29.25" customHeight="1" x14ac:dyDescent="0.25">
      <c r="B190" s="1047" t="s">
        <v>754</v>
      </c>
      <c r="C190" s="1047"/>
      <c r="D190" s="1047"/>
      <c r="E190" s="1047"/>
      <c r="F190" s="1129" t="s">
        <v>694</v>
      </c>
      <c r="G190" s="1047" t="s">
        <v>754</v>
      </c>
      <c r="H190" s="1130"/>
      <c r="I190" s="1130"/>
      <c r="J190" s="1130"/>
      <c r="K190" s="1048"/>
      <c r="L190" s="1048"/>
    </row>
    <row r="191" spans="2:17" ht="27" customHeight="1" x14ac:dyDescent="0.25">
      <c r="B191" s="1047" t="s">
        <v>754</v>
      </c>
      <c r="C191" s="1047"/>
      <c r="D191" s="1047"/>
      <c r="E191" s="1047"/>
      <c r="F191" s="1129" t="s">
        <v>686</v>
      </c>
      <c r="G191" s="1047" t="s">
        <v>754</v>
      </c>
      <c r="H191" s="1130"/>
      <c r="I191" s="1130"/>
      <c r="J191" s="1130"/>
      <c r="K191" s="1048"/>
      <c r="L191" s="1048"/>
    </row>
    <row r="192" spans="2:17" ht="24.95" customHeight="1" x14ac:dyDescent="0.25">
      <c r="B192" s="1047" t="s">
        <v>754</v>
      </c>
      <c r="C192" s="1047"/>
      <c r="D192" s="1047"/>
      <c r="E192" s="1047"/>
      <c r="F192" s="1129" t="s">
        <v>700</v>
      </c>
      <c r="G192" s="1047" t="s">
        <v>754</v>
      </c>
      <c r="H192" s="1130"/>
      <c r="I192" s="1130"/>
      <c r="J192" s="1130"/>
      <c r="K192" s="1048"/>
      <c r="L192" s="1048"/>
    </row>
    <row r="193" spans="2:12" ht="24.95" customHeight="1" x14ac:dyDescent="0.25">
      <c r="B193" s="1047" t="s">
        <v>754</v>
      </c>
      <c r="C193" s="1047"/>
      <c r="D193" s="1047"/>
      <c r="E193" s="1047"/>
      <c r="F193" s="1129" t="s">
        <v>705</v>
      </c>
      <c r="G193" s="1047" t="s">
        <v>754</v>
      </c>
      <c r="H193" s="1130"/>
      <c r="I193" s="1130"/>
      <c r="J193" s="1130"/>
      <c r="K193" s="1048"/>
      <c r="L193" s="1048"/>
    </row>
    <row r="194" spans="2:12" ht="33.75" customHeight="1" x14ac:dyDescent="0.25">
      <c r="B194" s="1047" t="s">
        <v>754</v>
      </c>
      <c r="C194" s="1047"/>
      <c r="D194" s="1047"/>
      <c r="E194" s="1047"/>
      <c r="F194" s="1129" t="s">
        <v>706</v>
      </c>
      <c r="G194" s="1047" t="s">
        <v>754</v>
      </c>
      <c r="H194" s="1130"/>
      <c r="I194" s="1130"/>
      <c r="J194" s="1130"/>
      <c r="K194" s="1048"/>
      <c r="L194" s="1048"/>
    </row>
    <row r="195" spans="2:12" ht="28.5" customHeight="1" x14ac:dyDescent="0.25">
      <c r="B195" s="1047" t="s">
        <v>754</v>
      </c>
      <c r="C195" s="1047"/>
      <c r="D195" s="1047"/>
      <c r="E195" s="1047"/>
      <c r="F195" s="1129" t="s">
        <v>710</v>
      </c>
      <c r="G195" s="1047" t="s">
        <v>754</v>
      </c>
      <c r="H195" s="1130"/>
      <c r="I195" s="1130"/>
      <c r="J195" s="1130"/>
      <c r="K195" s="1048"/>
      <c r="L195" s="1048"/>
    </row>
    <row r="196" spans="2:12" ht="24.95" customHeight="1" x14ac:dyDescent="0.25">
      <c r="B196" s="1047" t="s">
        <v>754</v>
      </c>
      <c r="C196" s="1047"/>
      <c r="D196" s="1047"/>
      <c r="E196" s="1047"/>
      <c r="F196" s="1129" t="s">
        <v>716</v>
      </c>
      <c r="G196" s="1047" t="s">
        <v>754</v>
      </c>
      <c r="H196" s="1130"/>
      <c r="I196" s="1130"/>
      <c r="J196" s="1130"/>
      <c r="K196" s="1048"/>
      <c r="L196" s="1048"/>
    </row>
    <row r="197" spans="2:12" ht="24.95" customHeight="1" x14ac:dyDescent="0.25">
      <c r="B197" s="1047" t="s">
        <v>754</v>
      </c>
      <c r="C197" s="1047"/>
      <c r="D197" s="1047"/>
      <c r="E197" s="1047"/>
      <c r="F197" s="1129" t="s">
        <v>722</v>
      </c>
      <c r="G197" s="1047" t="s">
        <v>754</v>
      </c>
      <c r="H197" s="1130"/>
      <c r="I197" s="1130"/>
      <c r="J197" s="1130"/>
      <c r="K197" s="1048"/>
      <c r="L197" s="1048"/>
    </row>
    <row r="198" spans="2:12" ht="24.95" customHeight="1" x14ac:dyDescent="0.25">
      <c r="B198" s="1047" t="s">
        <v>754</v>
      </c>
      <c r="C198" s="1047"/>
      <c r="D198" s="1047"/>
      <c r="E198" s="1047"/>
      <c r="F198" s="1129" t="s">
        <v>723</v>
      </c>
      <c r="G198" s="1047" t="s">
        <v>754</v>
      </c>
      <c r="H198" s="1130"/>
      <c r="I198" s="1130"/>
      <c r="J198" s="1130"/>
      <c r="K198" s="1048"/>
      <c r="L198" s="1048"/>
    </row>
    <row r="199" spans="2:12" ht="24.95" customHeight="1" x14ac:dyDescent="0.25">
      <c r="B199" s="1047" t="s">
        <v>754</v>
      </c>
      <c r="C199" s="1047"/>
      <c r="D199" s="1047"/>
      <c r="E199" s="1047"/>
      <c r="F199" s="1129" t="s">
        <v>730</v>
      </c>
      <c r="G199" s="1047" t="s">
        <v>754</v>
      </c>
      <c r="H199" s="1130"/>
      <c r="I199" s="1130"/>
      <c r="J199" s="1130"/>
      <c r="K199" s="1048"/>
      <c r="L199" s="1048"/>
    </row>
    <row r="200" spans="2:12" ht="24.95" customHeight="1" x14ac:dyDescent="0.25">
      <c r="B200" s="1047" t="s">
        <v>754</v>
      </c>
      <c r="C200" s="1047"/>
      <c r="D200" s="1047"/>
      <c r="E200" s="1047"/>
      <c r="F200" s="1129" t="s">
        <v>731</v>
      </c>
      <c r="G200" s="1047" t="s">
        <v>754</v>
      </c>
      <c r="H200" s="1130"/>
      <c r="I200" s="1130"/>
      <c r="J200" s="1130"/>
      <c r="K200" s="1048"/>
      <c r="L200" s="1048"/>
    </row>
    <row r="201" spans="2:12" ht="38.25" customHeight="1" x14ac:dyDescent="0.25">
      <c r="B201" s="1047" t="s">
        <v>754</v>
      </c>
      <c r="C201" s="1047"/>
      <c r="D201" s="1047"/>
      <c r="E201" s="1047"/>
      <c r="F201" s="1095" t="s">
        <v>686</v>
      </c>
      <c r="G201" s="1047"/>
      <c r="H201" s="1043"/>
      <c r="I201" s="1043"/>
      <c r="J201" s="1043"/>
      <c r="K201" s="1048"/>
      <c r="L201" s="1048"/>
    </row>
    <row r="202" spans="2:12" ht="24.95" customHeight="1" x14ac:dyDescent="0.25"/>
    <row r="203" spans="2:12" ht="24.95" customHeight="1" x14ac:dyDescent="0.25"/>
    <row r="204" spans="2:12" ht="24.95" customHeight="1" x14ac:dyDescent="0.25"/>
    <row r="205" spans="2:12" ht="24.95" customHeight="1" x14ac:dyDescent="0.25"/>
    <row r="206" spans="2:12" ht="24.95" customHeight="1" x14ac:dyDescent="0.25"/>
    <row r="207" spans="2:12" ht="24.95" customHeight="1" x14ac:dyDescent="0.25"/>
    <row r="208" spans="2:12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47" spans="11:11" x14ac:dyDescent="0.25">
      <c r="K247" s="1049" t="s">
        <v>279</v>
      </c>
    </row>
  </sheetData>
  <autoFilter ref="F125:M201" xr:uid="{2B171E75-B413-46EE-B9D0-2038CACEB60A}"/>
  <dataConsolidate/>
  <mergeCells count="5">
    <mergeCell ref="H166:H167"/>
    <mergeCell ref="B4:F4"/>
    <mergeCell ref="B123:F123"/>
    <mergeCell ref="E166:E167"/>
    <mergeCell ref="B166:B167"/>
  </mergeCells>
  <phoneticPr fontId="39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CDC3-6B1B-428A-90CD-3164D26556D3}">
  <dimension ref="A1:L29"/>
  <sheetViews>
    <sheetView zoomScale="90" zoomScaleNormal="90" workbookViewId="0">
      <selection activeCell="H17" sqref="H17"/>
    </sheetView>
  </sheetViews>
  <sheetFormatPr baseColWidth="10" defaultRowHeight="16.5" x14ac:dyDescent="0.3"/>
  <cols>
    <col min="1" max="1" width="24.140625" style="712" customWidth="1"/>
    <col min="2" max="2" width="15.5703125" style="724" bestFit="1" customWidth="1"/>
    <col min="3" max="3" width="19.7109375" style="712" customWidth="1"/>
    <col min="4" max="4" width="4.42578125" style="723" customWidth="1"/>
    <col min="5" max="5" width="30.140625" style="712" bestFit="1" customWidth="1"/>
    <col min="6" max="6" width="11.42578125" style="712"/>
    <col min="7" max="7" width="4.140625" style="723" customWidth="1"/>
    <col min="8" max="8" width="31.7109375" style="712" bestFit="1" customWidth="1"/>
    <col min="9" max="9" width="11.42578125" style="712"/>
    <col min="10" max="10" width="4.85546875" style="723" customWidth="1"/>
    <col min="11" max="11" width="21.28515625" style="712" bestFit="1" customWidth="1"/>
    <col min="12" max="16384" width="11.42578125" style="712"/>
  </cols>
  <sheetData>
    <row r="1" spans="1:12" ht="33" x14ac:dyDescent="0.3">
      <c r="A1" s="720" t="s">
        <v>417</v>
      </c>
      <c r="B1" s="721" t="s">
        <v>418</v>
      </c>
      <c r="C1" s="722" t="s">
        <v>419</v>
      </c>
      <c r="E1" s="1494" t="s">
        <v>1167</v>
      </c>
      <c r="F1" s="1494"/>
      <c r="G1" s="741"/>
      <c r="H1" s="1494" t="s">
        <v>1168</v>
      </c>
      <c r="I1" s="1494"/>
      <c r="J1" s="741"/>
      <c r="K1" s="1494" t="s">
        <v>1173</v>
      </c>
      <c r="L1" s="1494"/>
    </row>
    <row r="2" spans="1:12" x14ac:dyDescent="0.3">
      <c r="A2" s="712" t="s">
        <v>420</v>
      </c>
      <c r="B2" s="724">
        <v>1000000</v>
      </c>
      <c r="C2" s="1493">
        <v>7000</v>
      </c>
      <c r="E2" s="712" t="s">
        <v>1160</v>
      </c>
      <c r="F2" s="738">
        <v>518900</v>
      </c>
      <c r="G2" s="742"/>
      <c r="H2" s="712" t="s">
        <v>1163</v>
      </c>
      <c r="I2" s="738">
        <v>499800</v>
      </c>
      <c r="J2" s="742"/>
      <c r="K2" s="733" t="s">
        <v>1166</v>
      </c>
      <c r="L2" s="739">
        <v>400000</v>
      </c>
    </row>
    <row r="3" spans="1:12" x14ac:dyDescent="0.3">
      <c r="A3" s="712" t="s">
        <v>421</v>
      </c>
      <c r="B3" s="724">
        <v>1450000</v>
      </c>
      <c r="C3" s="1493"/>
      <c r="E3" s="712" t="s">
        <v>1161</v>
      </c>
      <c r="F3" s="738">
        <v>1288800</v>
      </c>
      <c r="G3" s="742"/>
      <c r="H3" s="712" t="s">
        <v>1164</v>
      </c>
      <c r="I3" s="738">
        <v>868300</v>
      </c>
      <c r="J3" s="742"/>
      <c r="K3" s="712" t="s">
        <v>1174</v>
      </c>
      <c r="L3" s="738">
        <v>150000</v>
      </c>
    </row>
    <row r="4" spans="1:12" s="733" customFormat="1" ht="33" x14ac:dyDescent="0.25">
      <c r="A4" s="734" t="s">
        <v>422</v>
      </c>
      <c r="B4" s="735">
        <v>8000000</v>
      </c>
      <c r="C4" s="1493"/>
      <c r="D4" s="736"/>
      <c r="E4" s="733" t="s">
        <v>1162</v>
      </c>
      <c r="F4" s="739">
        <v>800000</v>
      </c>
      <c r="G4" s="743"/>
      <c r="H4" s="733" t="s">
        <v>1165</v>
      </c>
      <c r="I4" s="739">
        <v>700000</v>
      </c>
      <c r="J4" s="743"/>
      <c r="K4" s="733" t="s">
        <v>1175</v>
      </c>
      <c r="L4" s="739">
        <v>7000</v>
      </c>
    </row>
    <row r="5" spans="1:12" s="753" customFormat="1" ht="26.25" customHeight="1" x14ac:dyDescent="0.25">
      <c r="A5" s="749" t="s">
        <v>532</v>
      </c>
      <c r="B5" s="750">
        <v>7500000</v>
      </c>
      <c r="C5" s="1493"/>
      <c r="D5" s="751"/>
      <c r="E5" s="753" t="s">
        <v>1169</v>
      </c>
      <c r="F5" s="754">
        <v>4000000</v>
      </c>
      <c r="G5" s="752"/>
      <c r="H5" s="753" t="s">
        <v>1170</v>
      </c>
      <c r="I5" s="754">
        <v>4000000</v>
      </c>
      <c r="J5" s="752"/>
      <c r="K5" s="753" t="s">
        <v>1176</v>
      </c>
      <c r="L5" s="754">
        <v>60000</v>
      </c>
    </row>
    <row r="6" spans="1:12" x14ac:dyDescent="0.3">
      <c r="A6" s="712" t="s">
        <v>423</v>
      </c>
      <c r="B6" s="737">
        <v>500000</v>
      </c>
      <c r="C6" s="1493"/>
      <c r="E6" s="712" t="s">
        <v>1171</v>
      </c>
      <c r="F6" s="740">
        <v>3719855</v>
      </c>
      <c r="G6" s="744"/>
      <c r="H6" s="712" t="s">
        <v>1172</v>
      </c>
      <c r="I6" s="740">
        <v>3719855</v>
      </c>
      <c r="J6" s="744"/>
      <c r="K6" s="712" t="s">
        <v>1181</v>
      </c>
      <c r="L6" s="740">
        <v>4000000</v>
      </c>
    </row>
    <row r="7" spans="1:12" x14ac:dyDescent="0.3">
      <c r="A7" s="712" t="s">
        <v>424</v>
      </c>
      <c r="B7" s="737">
        <v>200000</v>
      </c>
      <c r="C7" s="1493"/>
      <c r="E7" s="712" t="s">
        <v>1177</v>
      </c>
      <c r="F7" s="740">
        <v>932000</v>
      </c>
      <c r="G7" s="744"/>
      <c r="J7" s="744"/>
      <c r="L7" s="740"/>
    </row>
    <row r="8" spans="1:12" x14ac:dyDescent="0.3">
      <c r="A8" s="712" t="s">
        <v>425</v>
      </c>
      <c r="B8" s="737"/>
      <c r="C8" s="1493"/>
      <c r="E8" s="712" t="s">
        <v>1178</v>
      </c>
      <c r="F8" s="740">
        <v>46000</v>
      </c>
      <c r="G8" s="744"/>
      <c r="I8" s="740"/>
      <c r="J8" s="744"/>
      <c r="L8" s="740"/>
    </row>
    <row r="9" spans="1:12" x14ac:dyDescent="0.3">
      <c r="A9" s="712" t="s">
        <v>426</v>
      </c>
      <c r="B9" s="737">
        <v>100000</v>
      </c>
      <c r="C9" s="1493"/>
      <c r="E9" s="755" t="s">
        <v>1182</v>
      </c>
      <c r="F9" s="756">
        <f>SUM(F2:F8)</f>
        <v>11305555</v>
      </c>
      <c r="G9" s="756"/>
      <c r="H9" s="755"/>
      <c r="I9" s="756">
        <f>SUM(I2:I8)</f>
        <v>9787955</v>
      </c>
      <c r="J9" s="756"/>
      <c r="K9" s="755"/>
      <c r="L9" s="756">
        <f>SUM(L2:L8)</f>
        <v>4617000</v>
      </c>
    </row>
    <row r="10" spans="1:12" x14ac:dyDescent="0.3">
      <c r="A10" s="712" t="s">
        <v>427</v>
      </c>
      <c r="B10" s="737">
        <v>150000</v>
      </c>
      <c r="C10" s="1493"/>
      <c r="F10" s="740"/>
      <c r="G10" s="744"/>
      <c r="I10" s="740"/>
      <c r="J10" s="744"/>
      <c r="L10" s="740"/>
    </row>
    <row r="11" spans="1:12" x14ac:dyDescent="0.3">
      <c r="A11" s="712" t="s">
        <v>428</v>
      </c>
      <c r="B11" s="737">
        <v>100000</v>
      </c>
      <c r="C11" s="1493"/>
      <c r="F11" s="740"/>
      <c r="G11" s="744"/>
      <c r="I11" s="740"/>
      <c r="J11" s="744"/>
      <c r="L11" s="740"/>
    </row>
    <row r="12" spans="1:12" x14ac:dyDescent="0.3">
      <c r="A12" s="712" t="s">
        <v>429</v>
      </c>
      <c r="B12" s="737">
        <v>120000</v>
      </c>
      <c r="C12" s="1493"/>
      <c r="F12" s="740"/>
      <c r="G12" s="744"/>
      <c r="H12" s="745" t="s">
        <v>1179</v>
      </c>
      <c r="I12" s="746">
        <f>+F9+I9+L9</f>
        <v>25710510</v>
      </c>
      <c r="J12" s="744"/>
      <c r="L12" s="740"/>
    </row>
    <row r="13" spans="1:12" x14ac:dyDescent="0.3">
      <c r="A13" s="712" t="s">
        <v>430</v>
      </c>
      <c r="B13" s="724">
        <v>50000</v>
      </c>
      <c r="C13" s="1493"/>
      <c r="F13" s="738"/>
      <c r="G13" s="742"/>
      <c r="I13" s="738"/>
      <c r="J13" s="742"/>
      <c r="L13" s="738"/>
    </row>
    <row r="14" spans="1:12" ht="18.75" x14ac:dyDescent="0.3">
      <c r="A14" s="712" t="s">
        <v>431</v>
      </c>
      <c r="B14" s="724">
        <v>80000</v>
      </c>
      <c r="C14" s="1493"/>
      <c r="F14" s="738"/>
      <c r="G14" s="742"/>
      <c r="H14" s="748" t="s">
        <v>1180</v>
      </c>
      <c r="I14" s="747">
        <f>+I12/7000</f>
        <v>3672.93</v>
      </c>
      <c r="J14" s="742"/>
      <c r="L14" s="738"/>
    </row>
    <row r="15" spans="1:12" x14ac:dyDescent="0.3">
      <c r="A15" s="712" t="s">
        <v>432</v>
      </c>
      <c r="B15" s="724">
        <v>400000</v>
      </c>
      <c r="C15" s="1493"/>
      <c r="F15" s="738"/>
      <c r="G15" s="742"/>
      <c r="I15" s="738"/>
      <c r="L15" s="738"/>
    </row>
    <row r="16" spans="1:12" ht="33" x14ac:dyDescent="0.3">
      <c r="A16" s="726" t="s">
        <v>506</v>
      </c>
      <c r="B16" s="725">
        <v>421900</v>
      </c>
      <c r="C16" s="727"/>
      <c r="F16" s="738"/>
      <c r="G16" s="742"/>
      <c r="I16" s="738"/>
      <c r="L16" s="738"/>
    </row>
    <row r="17" spans="1:3" ht="33" x14ac:dyDescent="0.3">
      <c r="A17" s="728" t="s">
        <v>507</v>
      </c>
      <c r="B17" s="729">
        <v>421900</v>
      </c>
      <c r="C17" s="727"/>
    </row>
    <row r="18" spans="1:3" x14ac:dyDescent="0.3">
      <c r="A18" s="728" t="s">
        <v>617</v>
      </c>
      <c r="B18" s="729">
        <v>1000000</v>
      </c>
      <c r="C18" s="727"/>
    </row>
    <row r="20" spans="1:3" ht="17.25" thickBot="1" x14ac:dyDescent="0.35">
      <c r="B20" s="730">
        <f>SUM(B2:B19)</f>
        <v>21493800</v>
      </c>
    </row>
    <row r="21" spans="1:3" ht="17.25" thickTop="1" x14ac:dyDescent="0.3"/>
    <row r="22" spans="1:3" x14ac:dyDescent="0.3">
      <c r="A22" s="712" t="s">
        <v>433</v>
      </c>
      <c r="B22" s="731">
        <f>B20/C2</f>
        <v>3070.542857142857</v>
      </c>
    </row>
    <row r="28" spans="1:3" x14ac:dyDescent="0.3">
      <c r="C28" s="712" t="s">
        <v>434</v>
      </c>
    </row>
    <row r="29" spans="1:3" x14ac:dyDescent="0.3">
      <c r="B29" s="724">
        <f>SUM(B2:B28)</f>
        <v>42990670.54285714</v>
      </c>
      <c r="C29" s="732">
        <f>B29/10000</f>
        <v>4299.0670542857142</v>
      </c>
    </row>
  </sheetData>
  <mergeCells count="4">
    <mergeCell ref="C2:C15"/>
    <mergeCell ref="E1:F1"/>
    <mergeCell ref="H1:I1"/>
    <mergeCell ref="K1:L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99A1-182A-41A6-A38B-2B28A52D6220}">
  <sheetPr>
    <tabColor rgb="FF00B0F0"/>
  </sheetPr>
  <dimension ref="A1:T31"/>
  <sheetViews>
    <sheetView topLeftCell="A10" zoomScale="69" zoomScaleNormal="69" workbookViewId="0">
      <selection activeCell="M23" sqref="M23"/>
    </sheetView>
  </sheetViews>
  <sheetFormatPr baseColWidth="10" defaultRowHeight="15" customHeight="1" x14ac:dyDescent="0.25"/>
  <cols>
    <col min="1" max="1" width="11.42578125" style="1012"/>
    <col min="2" max="2" width="21.7109375" style="1012" customWidth="1"/>
    <col min="3" max="3" width="14.5703125" style="1012" customWidth="1"/>
    <col min="4" max="4" width="17.5703125" style="1172" customWidth="1"/>
    <col min="5" max="5" width="17.42578125" style="1012" customWidth="1"/>
    <col min="6" max="6" width="22.140625" style="1012" customWidth="1"/>
    <col min="7" max="7" width="19.7109375" style="1012" customWidth="1"/>
    <col min="8" max="8" width="11.85546875" style="1012" customWidth="1"/>
    <col min="9" max="9" width="15.140625" style="1012" customWidth="1"/>
    <col min="10" max="12" width="11.42578125" style="1012"/>
    <col min="13" max="13" width="21.7109375" style="1012" customWidth="1"/>
    <col min="14" max="14" width="14.5703125" style="1012" customWidth="1"/>
    <col min="15" max="15" width="17.5703125" style="1172" customWidth="1"/>
    <col min="16" max="16" width="17.42578125" style="1012" customWidth="1"/>
    <col min="17" max="17" width="22.140625" style="1012" customWidth="1"/>
    <col min="18" max="18" width="19.7109375" style="1012" customWidth="1"/>
    <col min="19" max="19" width="11.85546875" style="1012" customWidth="1"/>
    <col min="20" max="20" width="15.140625" style="1012" customWidth="1"/>
    <col min="21" max="16384" width="11.42578125" style="1012"/>
  </cols>
  <sheetData>
    <row r="1" spans="1:20" ht="15" customHeight="1" x14ac:dyDescent="0.25">
      <c r="D1" s="1172" t="s">
        <v>406</v>
      </c>
      <c r="E1" s="1012" t="s">
        <v>407</v>
      </c>
      <c r="F1" s="1012" t="s">
        <v>439</v>
      </c>
      <c r="G1" s="1012">
        <v>1000</v>
      </c>
      <c r="O1" s="1172" t="s">
        <v>406</v>
      </c>
      <c r="P1" s="1012" t="s">
        <v>407</v>
      </c>
      <c r="Q1" s="1012" t="s">
        <v>439</v>
      </c>
      <c r="R1" s="1012">
        <v>1000</v>
      </c>
    </row>
    <row r="4" spans="1:20" ht="15" customHeight="1" x14ac:dyDescent="0.25">
      <c r="B4" s="1173" t="s">
        <v>61</v>
      </c>
      <c r="C4" s="1173"/>
      <c r="D4" s="1174" t="s">
        <v>142</v>
      </c>
      <c r="M4" s="1173" t="s">
        <v>61</v>
      </c>
      <c r="N4" s="1173"/>
      <c r="O4" s="1174" t="s">
        <v>205</v>
      </c>
    </row>
    <row r="5" spans="1:20" ht="15" customHeight="1" x14ac:dyDescent="0.25">
      <c r="B5" s="1173" t="s">
        <v>62</v>
      </c>
      <c r="C5" s="1173"/>
      <c r="D5" s="1174" t="str">
        <f>VLOOKUP(D4,LISTPROD[],2,FALSE)</f>
        <v>GREEN MARVIN (Ungüento)</v>
      </c>
      <c r="M5" s="1173" t="s">
        <v>62</v>
      </c>
      <c r="N5" s="1173"/>
      <c r="O5" s="1174" t="str">
        <f>VLOOKUP(O4,LISTPROD[],2,FALSE)</f>
        <v>UNGÜENTO CUBANO</v>
      </c>
    </row>
    <row r="6" spans="1:20" ht="15" customHeight="1" x14ac:dyDescent="0.25">
      <c r="B6" s="1173" t="s">
        <v>234</v>
      </c>
      <c r="C6" s="1173"/>
      <c r="D6" s="1174">
        <f>VLOOKUP(D4,LISTPROD[],9,FALSE)</f>
        <v>0</v>
      </c>
      <c r="M6" s="1173" t="s">
        <v>234</v>
      </c>
      <c r="N6" s="1173"/>
      <c r="O6" s="1174">
        <f>VLOOKUP(O4,LISTPROD[],9,FALSE)</f>
        <v>0</v>
      </c>
    </row>
    <row r="7" spans="1:20" ht="15" customHeight="1" x14ac:dyDescent="0.25">
      <c r="B7" s="1173" t="s">
        <v>239</v>
      </c>
      <c r="C7" s="1173"/>
      <c r="D7" s="1174">
        <v>130</v>
      </c>
      <c r="E7" s="1175"/>
      <c r="M7" s="1173" t="s">
        <v>239</v>
      </c>
      <c r="N7" s="1173"/>
      <c r="O7" s="1174">
        <v>130</v>
      </c>
      <c r="P7" s="1175"/>
    </row>
    <row r="8" spans="1:20" ht="15" customHeight="1" x14ac:dyDescent="0.25">
      <c r="B8" s="1173" t="s">
        <v>240</v>
      </c>
      <c r="C8" s="1173"/>
      <c r="D8" s="1174"/>
      <c r="M8" s="1173" t="s">
        <v>240</v>
      </c>
      <c r="N8" s="1173"/>
      <c r="O8" s="1174"/>
    </row>
    <row r="9" spans="1:20" ht="15" customHeight="1" x14ac:dyDescent="0.25">
      <c r="B9" s="1173" t="s">
        <v>238</v>
      </c>
      <c r="C9" s="1173"/>
      <c r="D9" s="1012" t="s">
        <v>478</v>
      </c>
      <c r="E9" s="1175"/>
      <c r="M9" s="1173" t="s">
        <v>238</v>
      </c>
      <c r="N9" s="1173"/>
      <c r="O9" s="1012" t="s">
        <v>478</v>
      </c>
      <c r="P9" s="1175"/>
    </row>
    <row r="10" spans="1:20" ht="15" customHeight="1" x14ac:dyDescent="0.25">
      <c r="B10" s="1176" t="s">
        <v>410</v>
      </c>
      <c r="C10" s="1176"/>
      <c r="D10" s="1177"/>
      <c r="E10" s="1178"/>
      <c r="M10" s="1176" t="s">
        <v>410</v>
      </c>
      <c r="N10" s="1176"/>
      <c r="O10" s="1177"/>
      <c r="P10" s="1178"/>
    </row>
    <row r="11" spans="1:20" ht="15" customHeight="1" x14ac:dyDescent="0.25">
      <c r="A11" s="1179"/>
      <c r="B11" s="1495" t="s">
        <v>404</v>
      </c>
      <c r="C11" s="1495"/>
      <c r="D11" s="1495"/>
      <c r="E11" s="1495"/>
      <c r="F11" s="1495"/>
      <c r="G11" s="1180"/>
      <c r="H11" s="1496" t="s">
        <v>416</v>
      </c>
      <c r="I11" s="1497"/>
      <c r="L11" s="1179"/>
      <c r="M11" s="1495" t="s">
        <v>404</v>
      </c>
      <c r="N11" s="1495"/>
      <c r="O11" s="1495"/>
      <c r="P11" s="1495"/>
      <c r="Q11" s="1495"/>
      <c r="R11" s="1180"/>
      <c r="S11" s="1496" t="s">
        <v>416</v>
      </c>
      <c r="T11" s="1497"/>
    </row>
    <row r="12" spans="1:20" ht="34.5" customHeight="1" x14ac:dyDescent="0.25">
      <c r="A12" s="1181"/>
      <c r="B12" s="1182" t="s">
        <v>398</v>
      </c>
      <c r="C12" s="1182" t="s">
        <v>441</v>
      </c>
      <c r="D12" s="1183" t="s">
        <v>399</v>
      </c>
      <c r="E12" s="1184" t="s">
        <v>402</v>
      </c>
      <c r="F12" s="1183" t="s">
        <v>399</v>
      </c>
      <c r="G12" s="1183" t="s">
        <v>411</v>
      </c>
      <c r="H12" s="1185" t="s">
        <v>408</v>
      </c>
      <c r="I12" s="1186" t="s">
        <v>415</v>
      </c>
      <c r="L12" s="1181"/>
      <c r="M12" s="1182" t="s">
        <v>398</v>
      </c>
      <c r="N12" s="1182" t="s">
        <v>441</v>
      </c>
      <c r="O12" s="1183" t="s">
        <v>399</v>
      </c>
      <c r="P12" s="1184" t="s">
        <v>402</v>
      </c>
      <c r="Q12" s="1183" t="s">
        <v>399</v>
      </c>
      <c r="R12" s="1183" t="s">
        <v>411</v>
      </c>
      <c r="S12" s="1185" t="s">
        <v>408</v>
      </c>
      <c r="T12" s="1186" t="s">
        <v>415</v>
      </c>
    </row>
    <row r="13" spans="1:20" ht="25.5" customHeight="1" x14ac:dyDescent="0.25">
      <c r="A13" s="1187" t="s">
        <v>400</v>
      </c>
      <c r="B13" s="1180" t="s">
        <v>444</v>
      </c>
      <c r="C13" s="1188">
        <v>1000</v>
      </c>
      <c r="D13" s="1018">
        <f>'Prec Materia Prima y Empaq'!$H$32</f>
        <v>10086</v>
      </c>
      <c r="E13" s="1189">
        <f>D13*19%</f>
        <v>1916.34</v>
      </c>
      <c r="F13" s="1190">
        <f>+E13+D13</f>
        <v>12002.34</v>
      </c>
      <c r="G13" s="1191">
        <f>F13/C13*H13</f>
        <v>60011.700000000004</v>
      </c>
      <c r="H13" s="1192">
        <v>5000</v>
      </c>
      <c r="I13" s="1193" t="s">
        <v>54</v>
      </c>
      <c r="L13" s="1187" t="s">
        <v>400</v>
      </c>
      <c r="M13" s="1180" t="s">
        <v>444</v>
      </c>
      <c r="N13" s="1188">
        <v>1000</v>
      </c>
      <c r="O13" s="1018">
        <f>'Preci Comp Prod'!$E$61</f>
        <v>10086</v>
      </c>
      <c r="P13" s="1189">
        <f>O13*19%</f>
        <v>1916.34</v>
      </c>
      <c r="Q13" s="1190">
        <f>+P13+O13</f>
        <v>12002.34</v>
      </c>
      <c r="R13" s="1191">
        <f>Q13/N13*S13</f>
        <v>60011.700000000004</v>
      </c>
      <c r="S13" s="1192">
        <v>5000</v>
      </c>
      <c r="T13" s="1193" t="s">
        <v>54</v>
      </c>
    </row>
    <row r="14" spans="1:20" ht="30" customHeight="1" x14ac:dyDescent="0.25">
      <c r="A14" s="1187" t="s">
        <v>400</v>
      </c>
      <c r="B14" s="1180" t="s">
        <v>291</v>
      </c>
      <c r="C14" s="1188">
        <v>1000</v>
      </c>
      <c r="D14" s="1018">
        <f>'Prec Materia Prima y Empaq'!$H$33</f>
        <v>15000</v>
      </c>
      <c r="E14" s="1189">
        <f>D14*19%</f>
        <v>2850</v>
      </c>
      <c r="F14" s="1190">
        <f t="shared" ref="F14:F17" si="0">+E14+D14</f>
        <v>17850</v>
      </c>
      <c r="G14" s="1191">
        <f>F14/C14*H14</f>
        <v>3570.0000000000005</v>
      </c>
      <c r="H14" s="1192">
        <v>200</v>
      </c>
      <c r="I14" s="1193" t="s">
        <v>54</v>
      </c>
      <c r="L14" s="1187" t="s">
        <v>400</v>
      </c>
      <c r="M14" s="1180" t="s">
        <v>291</v>
      </c>
      <c r="N14" s="1188">
        <v>1000</v>
      </c>
      <c r="O14" s="1018">
        <f>'Preci Comp Prod'!$E$62</f>
        <v>15000</v>
      </c>
      <c r="P14" s="1189">
        <f>O14*19%</f>
        <v>2850</v>
      </c>
      <c r="Q14" s="1190">
        <f t="shared" ref="Q14:Q20" si="1">+P14+O14</f>
        <v>17850</v>
      </c>
      <c r="R14" s="1191">
        <f>Q14/N14*S14</f>
        <v>3570.0000000000005</v>
      </c>
      <c r="S14" s="1192">
        <v>200</v>
      </c>
      <c r="T14" s="1193" t="s">
        <v>54</v>
      </c>
    </row>
    <row r="15" spans="1:20" ht="23.25" customHeight="1" x14ac:dyDescent="0.25">
      <c r="A15" s="1016" t="s">
        <v>439</v>
      </c>
      <c r="B15" s="1194" t="s">
        <v>447</v>
      </c>
      <c r="C15" s="1188">
        <v>1000</v>
      </c>
      <c r="D15" s="1018">
        <f>'Prec Materia Prima y Empaq'!$H$29</f>
        <v>38000</v>
      </c>
      <c r="E15" s="1191">
        <v>0</v>
      </c>
      <c r="F15" s="1190">
        <f t="shared" si="0"/>
        <v>38000</v>
      </c>
      <c r="G15" s="1191">
        <f t="shared" ref="G15:G20" si="2">F15/C15*H15</f>
        <v>114000</v>
      </c>
      <c r="H15" s="1192">
        <v>3000</v>
      </c>
      <c r="I15" s="1193" t="s">
        <v>56</v>
      </c>
      <c r="L15" s="1016" t="s">
        <v>439</v>
      </c>
      <c r="M15" s="1194" t="s">
        <v>447</v>
      </c>
      <c r="N15" s="1188">
        <v>1000</v>
      </c>
      <c r="O15" s="1018">
        <f>'Preci Comp Prod'!$E$58</f>
        <v>38000</v>
      </c>
      <c r="P15" s="1191">
        <v>0</v>
      </c>
      <c r="Q15" s="1190">
        <f t="shared" si="1"/>
        <v>38000</v>
      </c>
      <c r="R15" s="1191">
        <f t="shared" ref="R15:R20" si="3">Q15/N15*S15</f>
        <v>114000</v>
      </c>
      <c r="S15" s="1192">
        <v>3000</v>
      </c>
      <c r="T15" s="1193" t="s">
        <v>56</v>
      </c>
    </row>
    <row r="16" spans="1:20" ht="21" customHeight="1" x14ac:dyDescent="0.25">
      <c r="A16" s="1195" t="s">
        <v>400</v>
      </c>
      <c r="B16" s="1180" t="s">
        <v>292</v>
      </c>
      <c r="C16" s="1188">
        <v>1000</v>
      </c>
      <c r="D16" s="1018">
        <f>'Prec Materia Prima y Empaq'!$H$28</f>
        <v>120000</v>
      </c>
      <c r="E16" s="1189">
        <f>D16*19%</f>
        <v>22800</v>
      </c>
      <c r="F16" s="1190">
        <f t="shared" ref="F16" si="4">+E16+D16</f>
        <v>142800</v>
      </c>
      <c r="G16" s="1191">
        <f t="shared" si="2"/>
        <v>42840</v>
      </c>
      <c r="H16" s="1192">
        <v>300</v>
      </c>
      <c r="I16" s="1193" t="s">
        <v>54</v>
      </c>
      <c r="L16" s="1195" t="s">
        <v>400</v>
      </c>
      <c r="M16" s="1180" t="s">
        <v>292</v>
      </c>
      <c r="N16" s="1188">
        <v>1000</v>
      </c>
      <c r="O16" s="1018">
        <f>'Preci Comp Prod'!$E$37</f>
        <v>120000</v>
      </c>
      <c r="P16" s="1189">
        <f>O16*19%</f>
        <v>22800</v>
      </c>
      <c r="Q16" s="1190">
        <f t="shared" si="1"/>
        <v>142800</v>
      </c>
      <c r="R16" s="1191">
        <f t="shared" si="3"/>
        <v>42840</v>
      </c>
      <c r="S16" s="1192">
        <v>300</v>
      </c>
      <c r="T16" s="1193" t="s">
        <v>54</v>
      </c>
    </row>
    <row r="17" spans="1:20" ht="29.25" customHeight="1" x14ac:dyDescent="0.25">
      <c r="A17" s="1195" t="s">
        <v>400</v>
      </c>
      <c r="B17" s="1193" t="s">
        <v>293</v>
      </c>
      <c r="C17" s="1188">
        <v>1000</v>
      </c>
      <c r="D17" s="1196">
        <f>'Prec Materia Prima y Empaq'!$H$43</f>
        <v>140000</v>
      </c>
      <c r="E17" s="1189">
        <f>D17*19%</f>
        <v>26600</v>
      </c>
      <c r="F17" s="1190">
        <f t="shared" si="0"/>
        <v>166600</v>
      </c>
      <c r="G17" s="1191">
        <f t="shared" si="2"/>
        <v>333.2</v>
      </c>
      <c r="H17" s="1193">
        <v>2</v>
      </c>
      <c r="I17" s="1193" t="s">
        <v>54</v>
      </c>
      <c r="L17" s="1195" t="s">
        <v>400</v>
      </c>
      <c r="M17" s="1193" t="s">
        <v>259</v>
      </c>
      <c r="N17" s="1188">
        <v>1000</v>
      </c>
      <c r="O17" s="1197">
        <f>'Prec Materia Prima y Empaq'!$H$42</f>
        <v>63103</v>
      </c>
      <c r="P17" s="1189">
        <f>O17*19%</f>
        <v>11989.57</v>
      </c>
      <c r="Q17" s="1190">
        <f t="shared" si="1"/>
        <v>75092.570000000007</v>
      </c>
      <c r="R17" s="1191">
        <f t="shared" si="3"/>
        <v>150.18514000000002</v>
      </c>
      <c r="S17" s="1193">
        <v>2</v>
      </c>
      <c r="T17" s="1193" t="s">
        <v>54</v>
      </c>
    </row>
    <row r="18" spans="1:20" ht="29.25" customHeight="1" x14ac:dyDescent="0.25">
      <c r="A18" s="1195" t="s">
        <v>393</v>
      </c>
      <c r="B18" s="1194" t="s">
        <v>477</v>
      </c>
      <c r="C18" s="1195">
        <v>1</v>
      </c>
      <c r="D18" s="1196">
        <f>'Prec Materia Prima y Empaq'!H133</f>
        <v>844</v>
      </c>
      <c r="E18" s="1189">
        <f>D18*19%</f>
        <v>160.36000000000001</v>
      </c>
      <c r="F18" s="1190">
        <f t="shared" ref="F18:F20" si="5">+E18+D18</f>
        <v>1004.36</v>
      </c>
      <c r="G18" s="1191">
        <f t="shared" si="2"/>
        <v>1004.36</v>
      </c>
      <c r="H18" s="1193">
        <v>1</v>
      </c>
      <c r="I18" s="1195" t="s">
        <v>393</v>
      </c>
      <c r="L18" s="1195" t="s">
        <v>393</v>
      </c>
      <c r="M18" s="1194" t="s">
        <v>477</v>
      </c>
      <c r="N18" s="1195">
        <v>1</v>
      </c>
      <c r="O18" s="1196">
        <f>'Preci Comp Prod'!$N$15</f>
        <v>844</v>
      </c>
      <c r="P18" s="1189">
        <f>O18*19%</f>
        <v>160.36000000000001</v>
      </c>
      <c r="Q18" s="1190">
        <f t="shared" si="1"/>
        <v>1004.36</v>
      </c>
      <c r="R18" s="1191">
        <f t="shared" si="3"/>
        <v>1004.36</v>
      </c>
      <c r="S18" s="1193">
        <v>1</v>
      </c>
      <c r="T18" s="1195" t="s">
        <v>393</v>
      </c>
    </row>
    <row r="19" spans="1:20" ht="29.25" customHeight="1" x14ac:dyDescent="0.25">
      <c r="A19" s="1195" t="s">
        <v>393</v>
      </c>
      <c r="B19" s="1194" t="s">
        <v>479</v>
      </c>
      <c r="C19" s="1195">
        <v>1</v>
      </c>
      <c r="D19" s="1196">
        <f>'Prec Materia Prima y Empaq'!H134</f>
        <v>550</v>
      </c>
      <c r="E19" s="1189"/>
      <c r="F19" s="1190">
        <f t="shared" si="5"/>
        <v>550</v>
      </c>
      <c r="G19" s="1191">
        <f t="shared" si="2"/>
        <v>550</v>
      </c>
      <c r="H19" s="1193">
        <v>1</v>
      </c>
      <c r="I19" s="1195" t="s">
        <v>393</v>
      </c>
      <c r="L19" s="1195" t="s">
        <v>393</v>
      </c>
      <c r="M19" s="1194" t="s">
        <v>479</v>
      </c>
      <c r="N19" s="1195">
        <v>1</v>
      </c>
      <c r="O19" s="1196">
        <f>'Preci Comp Prod'!$N$16</f>
        <v>550</v>
      </c>
      <c r="P19" s="1189"/>
      <c r="Q19" s="1190">
        <f t="shared" si="1"/>
        <v>550</v>
      </c>
      <c r="R19" s="1191">
        <f t="shared" si="3"/>
        <v>550</v>
      </c>
      <c r="S19" s="1193">
        <v>1</v>
      </c>
      <c r="T19" s="1195" t="s">
        <v>393</v>
      </c>
    </row>
    <row r="20" spans="1:20" ht="29.25" customHeight="1" x14ac:dyDescent="0.25">
      <c r="A20" s="1195" t="s">
        <v>393</v>
      </c>
      <c r="B20" s="1194" t="s">
        <v>480</v>
      </c>
      <c r="C20" s="1195">
        <v>1</v>
      </c>
      <c r="D20" s="1196">
        <f>'Prec Materia Prima y Empaq'!H135</f>
        <v>100</v>
      </c>
      <c r="E20" s="1189"/>
      <c r="F20" s="1190">
        <f t="shared" si="5"/>
        <v>100</v>
      </c>
      <c r="G20" s="1191">
        <f t="shared" si="2"/>
        <v>100</v>
      </c>
      <c r="H20" s="1193">
        <v>1</v>
      </c>
      <c r="I20" s="1195" t="s">
        <v>393</v>
      </c>
      <c r="L20" s="1195" t="s">
        <v>393</v>
      </c>
      <c r="M20" s="1194" t="s">
        <v>480</v>
      </c>
      <c r="N20" s="1195">
        <v>1</v>
      </c>
      <c r="O20" s="1196">
        <f>'Preci Comp Prod'!$N$17</f>
        <v>100</v>
      </c>
      <c r="P20" s="1189"/>
      <c r="Q20" s="1190">
        <f t="shared" si="1"/>
        <v>100</v>
      </c>
      <c r="R20" s="1191">
        <f t="shared" si="3"/>
        <v>100</v>
      </c>
      <c r="S20" s="1193">
        <v>1</v>
      </c>
      <c r="T20" s="1195" t="s">
        <v>393</v>
      </c>
    </row>
    <row r="21" spans="1:20" ht="29.25" customHeight="1" x14ac:dyDescent="0.25">
      <c r="B21" s="1198"/>
      <c r="C21" s="1198"/>
      <c r="D21" s="1199"/>
      <c r="E21" s="1200"/>
      <c r="F21" s="1201"/>
      <c r="G21" s="1202"/>
      <c r="H21" s="1198"/>
      <c r="I21" s="1198"/>
      <c r="M21" s="1198"/>
      <c r="N21" s="1198"/>
      <c r="O21" s="1199"/>
      <c r="P21" s="1200"/>
      <c r="Q21" s="1201"/>
      <c r="R21" s="1202"/>
      <c r="S21" s="1198"/>
      <c r="T21" s="1198"/>
    </row>
    <row r="22" spans="1:20" ht="19.5" customHeight="1" x14ac:dyDescent="0.25">
      <c r="B22" s="1198"/>
      <c r="C22" s="1198"/>
      <c r="D22" s="1199"/>
      <c r="E22" s="1200"/>
      <c r="F22" s="1201"/>
      <c r="G22" s="1203">
        <f>SUM(G13:G20)/130</f>
        <v>1710.8404615384616</v>
      </c>
      <c r="H22" s="1204" t="s">
        <v>454</v>
      </c>
      <c r="I22" s="1198"/>
      <c r="M22" s="1198"/>
      <c r="N22" s="1198"/>
      <c r="O22" s="1199"/>
      <c r="P22" s="1200"/>
      <c r="Q22" s="1201"/>
      <c r="R22" s="1203">
        <f>SUM(R13:R20)/130</f>
        <v>1709.4326549230768</v>
      </c>
      <c r="S22" s="1204" t="s">
        <v>454</v>
      </c>
      <c r="T22" s="1198"/>
    </row>
    <row r="23" spans="1:20" ht="15" customHeight="1" x14ac:dyDescent="0.25">
      <c r="B23" s="1205" t="s">
        <v>409</v>
      </c>
      <c r="C23" s="1206"/>
      <c r="D23" s="1207">
        <f>+'Gtos Varios'!I14</f>
        <v>3672.93</v>
      </c>
      <c r="E23" s="1206"/>
      <c r="F23" s="1208">
        <f>+E23+D23</f>
        <v>3672.93</v>
      </c>
      <c r="G23" s="1209">
        <f>F23</f>
        <v>3672.93</v>
      </c>
      <c r="H23" s="1206" t="str">
        <f>B23</f>
        <v xml:space="preserve">GASTOS VARIOS </v>
      </c>
      <c r="I23" s="1206"/>
      <c r="J23" s="1206"/>
      <c r="M23" s="1205" t="s">
        <v>409</v>
      </c>
      <c r="N23" s="1206"/>
      <c r="O23" s="1207">
        <f>+'Gtos Varios'!I14</f>
        <v>3672.93</v>
      </c>
      <c r="P23" s="1206"/>
      <c r="Q23" s="1208">
        <f t="shared" ref="Q23" si="6">+P23+O23</f>
        <v>3672.93</v>
      </c>
      <c r="R23" s="1209">
        <f>Q23</f>
        <v>3672.93</v>
      </c>
      <c r="S23" s="1206" t="str">
        <f>M23</f>
        <v xml:space="preserve">GASTOS VARIOS </v>
      </c>
      <c r="T23" s="1206"/>
    </row>
    <row r="24" spans="1:20" ht="15" customHeight="1" x14ac:dyDescent="0.25">
      <c r="B24" s="1198"/>
      <c r="C24" s="1198"/>
      <c r="D24" s="1199"/>
      <c r="E24" s="1200"/>
      <c r="F24" s="1201"/>
      <c r="G24" s="1202"/>
      <c r="H24" s="1198"/>
      <c r="I24" s="1198"/>
      <c r="M24" s="1198"/>
      <c r="N24" s="1198"/>
      <c r="O24" s="1199"/>
      <c r="P24" s="1200"/>
      <c r="Q24" s="1201"/>
      <c r="R24" s="1202"/>
      <c r="S24" s="1198"/>
      <c r="T24" s="1198"/>
    </row>
    <row r="25" spans="1:20" ht="15" customHeight="1" x14ac:dyDescent="0.25">
      <c r="B25" s="1198"/>
      <c r="C25" s="1198"/>
      <c r="D25" s="1199"/>
      <c r="E25" s="1200"/>
      <c r="F25" s="1201"/>
      <c r="G25" s="1202"/>
      <c r="H25" s="1198"/>
      <c r="I25" s="1198"/>
      <c r="M25" s="1198"/>
      <c r="N25" s="1198"/>
      <c r="O25" s="1199"/>
      <c r="P25" s="1200"/>
      <c r="Q25" s="1201"/>
      <c r="R25" s="1202"/>
      <c r="S25" s="1198"/>
      <c r="T25" s="1198"/>
    </row>
    <row r="26" spans="1:20" ht="15" customHeight="1" thickBot="1" x14ac:dyDescent="0.3">
      <c r="F26" s="1210">
        <f>SUM(F13:F17)</f>
        <v>377252.33999999997</v>
      </c>
      <c r="G26" s="1211">
        <f>SUM(G22:G23)</f>
        <v>5383.7704615384609</v>
      </c>
      <c r="H26" s="1012" t="s">
        <v>412</v>
      </c>
      <c r="Q26" s="1210">
        <f>SUM(Q13:Q17)</f>
        <v>285744.91000000003</v>
      </c>
      <c r="R26" s="1211">
        <f>SUM(R22:R23)</f>
        <v>5382.3626549230767</v>
      </c>
      <c r="S26" s="1012" t="s">
        <v>412</v>
      </c>
    </row>
    <row r="27" spans="1:20" ht="19.5" customHeight="1" thickTop="1" x14ac:dyDescent="0.25">
      <c r="G27" s="1212">
        <f>G26*63%</f>
        <v>3391.7753907692304</v>
      </c>
      <c r="H27" s="1213">
        <v>0.63</v>
      </c>
      <c r="I27" s="1012" t="s">
        <v>539</v>
      </c>
      <c r="R27" s="1214">
        <f>R26*63%</f>
        <v>3390.8884726015385</v>
      </c>
      <c r="S27" s="1213">
        <v>0.63</v>
      </c>
      <c r="T27" s="1012" t="s">
        <v>539</v>
      </c>
    </row>
    <row r="28" spans="1:20" ht="15" customHeight="1" thickBot="1" x14ac:dyDescent="0.3">
      <c r="G28" s="1215">
        <f>G26+G27</f>
        <v>8775.5458523076923</v>
      </c>
      <c r="H28" s="1012" t="s">
        <v>414</v>
      </c>
      <c r="R28" s="1215">
        <f>R26+R27</f>
        <v>8773.2511275246143</v>
      </c>
      <c r="S28" s="1012" t="s">
        <v>414</v>
      </c>
    </row>
    <row r="29" spans="1:20" ht="15" customHeight="1" thickTop="1" x14ac:dyDescent="0.25"/>
    <row r="31" spans="1:20" ht="15" customHeight="1" x14ac:dyDescent="0.25">
      <c r="G31" s="1212">
        <v>1392</v>
      </c>
      <c r="H31" s="1175" t="s">
        <v>543</v>
      </c>
      <c r="R31" s="1212">
        <v>1392</v>
      </c>
      <c r="S31" s="1175" t="s">
        <v>543</v>
      </c>
    </row>
  </sheetData>
  <mergeCells count="4">
    <mergeCell ref="B11:F11"/>
    <mergeCell ref="H11:I11"/>
    <mergeCell ref="M11:Q11"/>
    <mergeCell ref="S11:T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DF5C-1E58-4729-BAC5-9D239D5A9A04}">
  <sheetPr>
    <tabColor rgb="FF00B0F0"/>
  </sheetPr>
  <dimension ref="A1:AC2305"/>
  <sheetViews>
    <sheetView showGridLines="0" topLeftCell="A250" zoomScale="90" zoomScaleNormal="90" workbookViewId="0">
      <selection activeCell="K63" sqref="K63"/>
    </sheetView>
  </sheetViews>
  <sheetFormatPr baseColWidth="10" defaultRowHeight="15" customHeight="1" x14ac:dyDescent="0.25"/>
  <cols>
    <col min="1" max="1" width="14.42578125" style="733" customWidth="1"/>
    <col min="2" max="2" width="27.7109375" style="733" customWidth="1"/>
    <col min="3" max="3" width="19.7109375" style="733" customWidth="1"/>
    <col min="4" max="4" width="19.7109375" style="735" customWidth="1"/>
    <col min="5" max="5" width="17.42578125" style="733" customWidth="1"/>
    <col min="6" max="6" width="23.7109375" style="733" customWidth="1"/>
    <col min="7" max="7" width="19.7109375" style="733" customWidth="1"/>
    <col min="8" max="8" width="11.85546875" style="733" customWidth="1"/>
    <col min="9" max="9" width="11.42578125" style="733"/>
    <col min="10" max="10" width="6.7109375" style="733" customWidth="1"/>
    <col min="11" max="11" width="11.42578125" style="733"/>
    <col min="12" max="12" width="16.85546875" style="1221" customWidth="1"/>
    <col min="13" max="16384" width="11.42578125" style="733"/>
  </cols>
  <sheetData>
    <row r="1" spans="1:12" ht="30.75" customHeight="1" x14ac:dyDescent="0.25">
      <c r="B1" s="1217" t="s">
        <v>687</v>
      </c>
      <c r="C1" s="1218" t="s">
        <v>688</v>
      </c>
      <c r="H1" s="1439" t="s">
        <v>726</v>
      </c>
      <c r="I1" s="1439"/>
      <c r="J1" s="1439"/>
      <c r="K1" s="1439"/>
      <c r="L1" s="1439"/>
    </row>
    <row r="2" spans="1:12" ht="33" customHeight="1" x14ac:dyDescent="0.25">
      <c r="A2" s="733" t="s">
        <v>692</v>
      </c>
      <c r="B2" s="1219" t="s">
        <v>486</v>
      </c>
      <c r="C2" s="733" t="s">
        <v>691</v>
      </c>
      <c r="H2" s="1439"/>
      <c r="I2" s="1439"/>
      <c r="J2" s="1439"/>
      <c r="K2" s="1439"/>
      <c r="L2" s="1439"/>
    </row>
    <row r="3" spans="1:12" ht="15" customHeight="1" x14ac:dyDescent="0.25">
      <c r="B3" s="1220" t="s">
        <v>693</v>
      </c>
    </row>
    <row r="6" spans="1:12" ht="15" customHeight="1" x14ac:dyDescent="0.25">
      <c r="D6" s="735" t="s">
        <v>406</v>
      </c>
      <c r="E6" s="733" t="s">
        <v>407</v>
      </c>
      <c r="F6" s="733" t="s">
        <v>439</v>
      </c>
      <c r="G6" s="733">
        <v>1000</v>
      </c>
    </row>
    <row r="9" spans="1:12" ht="15" customHeight="1" x14ac:dyDescent="0.25">
      <c r="B9" s="1222" t="s">
        <v>61</v>
      </c>
      <c r="C9" s="1219" t="s">
        <v>172</v>
      </c>
      <c r="D9" s="733"/>
    </row>
    <row r="10" spans="1:12" ht="15" customHeight="1" x14ac:dyDescent="0.25">
      <c r="A10" s="1223" t="s">
        <v>711</v>
      </c>
      <c r="B10" s="1222" t="s">
        <v>62</v>
      </c>
      <c r="C10" s="1219" t="str">
        <f>VLOOKUP(C9,LISTPROD[],2,FALSE)</f>
        <v>POTENFULL</v>
      </c>
      <c r="D10" s="1219" t="s">
        <v>486</v>
      </c>
      <c r="E10" s="733" t="s">
        <v>689</v>
      </c>
    </row>
    <row r="11" spans="1:12" ht="15" customHeight="1" x14ac:dyDescent="0.25">
      <c r="B11" s="1222" t="s">
        <v>234</v>
      </c>
      <c r="C11" s="1219" t="str">
        <f>VLOOKUP(C9,LISTPROD[],9,FALSE)</f>
        <v>500 ML</v>
      </c>
      <c r="D11" s="733"/>
    </row>
    <row r="12" spans="1:12" ht="15" customHeight="1" x14ac:dyDescent="0.25">
      <c r="B12" s="1222" t="s">
        <v>239</v>
      </c>
      <c r="C12" s="1224">
        <v>420</v>
      </c>
      <c r="D12" s="1218"/>
    </row>
    <row r="13" spans="1:12" ht="15" customHeight="1" x14ac:dyDescent="0.25">
      <c r="B13" s="1222" t="s">
        <v>240</v>
      </c>
      <c r="C13" s="1219"/>
      <c r="D13" s="733"/>
    </row>
    <row r="14" spans="1:12" ht="15" customHeight="1" x14ac:dyDescent="0.25">
      <c r="B14" s="1222" t="s">
        <v>238</v>
      </c>
      <c r="C14" s="733" t="s">
        <v>56</v>
      </c>
      <c r="D14" s="857" t="s">
        <v>449</v>
      </c>
    </row>
    <row r="15" spans="1:12" ht="15" customHeight="1" x14ac:dyDescent="0.25">
      <c r="B15" s="1225" t="s">
        <v>410</v>
      </c>
      <c r="C15" s="753">
        <v>500</v>
      </c>
      <c r="D15" s="1226"/>
    </row>
    <row r="16" spans="1:12" ht="15" customHeight="1" x14ac:dyDescent="0.25">
      <c r="A16" s="1227"/>
      <c r="B16" s="1436" t="s">
        <v>404</v>
      </c>
      <c r="C16" s="1436"/>
      <c r="D16" s="1436"/>
      <c r="E16" s="1436"/>
      <c r="F16" s="1436"/>
      <c r="G16" s="1228"/>
      <c r="H16" s="1437" t="s">
        <v>416</v>
      </c>
      <c r="I16" s="1438"/>
    </row>
    <row r="17" spans="1:29" ht="45" customHeight="1" x14ac:dyDescent="0.25">
      <c r="A17" s="1229"/>
      <c r="B17" s="1230" t="s">
        <v>398</v>
      </c>
      <c r="C17" s="1231" t="s">
        <v>441</v>
      </c>
      <c r="D17" s="1232" t="s">
        <v>399</v>
      </c>
      <c r="E17" s="1233" t="s">
        <v>402</v>
      </c>
      <c r="F17" s="1232" t="s">
        <v>399</v>
      </c>
      <c r="G17" s="1232" t="s">
        <v>411</v>
      </c>
      <c r="H17" s="1234" t="s">
        <v>408</v>
      </c>
      <c r="I17" s="1235" t="s">
        <v>415</v>
      </c>
      <c r="K17" s="1236" t="s">
        <v>603</v>
      </c>
      <c r="L17" s="1237" t="s">
        <v>604</v>
      </c>
    </row>
    <row r="18" spans="1:29" ht="15" customHeight="1" x14ac:dyDescent="0.25">
      <c r="A18" s="1238"/>
      <c r="B18" s="1228" t="s">
        <v>248</v>
      </c>
      <c r="C18" s="1228">
        <v>1000</v>
      </c>
      <c r="D18" s="1239">
        <f>'Prec Materia Prima y Empaq'!$H$21</f>
        <v>15400</v>
      </c>
      <c r="E18" s="1240">
        <f>D18*19%</f>
        <v>2926</v>
      </c>
      <c r="F18" s="1241">
        <f>+E18+D18</f>
        <v>18326</v>
      </c>
      <c r="G18" s="1240">
        <f>F18/C18*H18</f>
        <v>12828.2</v>
      </c>
      <c r="H18" s="1242">
        <v>700</v>
      </c>
      <c r="I18" s="1228" t="s">
        <v>450</v>
      </c>
      <c r="K18" s="1242">
        <f>H18/$C$12</f>
        <v>1.6666666666666667</v>
      </c>
      <c r="L18" s="1243">
        <f>F18/C18*K18</f>
        <v>30.543333333333337</v>
      </c>
    </row>
    <row r="19" spans="1:29" ht="15" customHeight="1" x14ac:dyDescent="0.25">
      <c r="A19" s="1238"/>
      <c r="B19" s="1228" t="s">
        <v>443</v>
      </c>
      <c r="C19" s="1228">
        <v>1000</v>
      </c>
      <c r="D19" s="1239">
        <f>'Prec Materia Prima y Empaq'!$H$11</f>
        <v>8000</v>
      </c>
      <c r="E19" s="1240">
        <f t="shared" ref="E19:E23" si="0">D19*19%</f>
        <v>1520</v>
      </c>
      <c r="F19" s="1241">
        <f t="shared" ref="F19:F27" si="1">+E19+D19</f>
        <v>9520</v>
      </c>
      <c r="G19" s="1240">
        <f t="shared" ref="G19:G26" si="2">F19/C19*H19</f>
        <v>5712</v>
      </c>
      <c r="H19" s="1242">
        <v>600</v>
      </c>
      <c r="I19" s="1228" t="s">
        <v>450</v>
      </c>
      <c r="K19" s="1242">
        <f t="shared" ref="K19:K32" si="3">H19/$C$12</f>
        <v>1.4285714285714286</v>
      </c>
      <c r="L19" s="1243">
        <f t="shared" ref="L19:L32" si="4">F19/C19*K19</f>
        <v>13.6</v>
      </c>
    </row>
    <row r="20" spans="1:29" ht="15" customHeight="1" x14ac:dyDescent="0.25">
      <c r="A20" s="1238"/>
      <c r="B20" s="1228" t="s">
        <v>253</v>
      </c>
      <c r="C20" s="1228">
        <v>1000</v>
      </c>
      <c r="D20" s="1239">
        <f>'Prec Materia Prima y Empaq'!$H$9</f>
        <v>5400</v>
      </c>
      <c r="E20" s="1240">
        <f t="shared" ref="E20" si="5">D20*19%</f>
        <v>1026</v>
      </c>
      <c r="F20" s="1241">
        <f t="shared" ref="F20" si="6">+E20+D20</f>
        <v>6426</v>
      </c>
      <c r="G20" s="1240">
        <f t="shared" si="2"/>
        <v>6426</v>
      </c>
      <c r="H20" s="1242">
        <v>1000</v>
      </c>
      <c r="I20" s="1228" t="s">
        <v>450</v>
      </c>
      <c r="K20" s="1242">
        <f t="shared" si="3"/>
        <v>2.3809523809523809</v>
      </c>
      <c r="L20" s="1243">
        <f t="shared" si="4"/>
        <v>15.3</v>
      </c>
    </row>
    <row r="21" spans="1:29" ht="15" customHeight="1" x14ac:dyDescent="0.25">
      <c r="A21" s="1238"/>
      <c r="B21" s="1228" t="s">
        <v>255</v>
      </c>
      <c r="C21" s="1228">
        <v>1000</v>
      </c>
      <c r="D21" s="1239">
        <f>'Prec Materia Prima y Empaq'!$H$26</f>
        <v>45404</v>
      </c>
      <c r="E21" s="1240">
        <f t="shared" si="0"/>
        <v>8626.76</v>
      </c>
      <c r="F21" s="1241">
        <f t="shared" si="1"/>
        <v>54030.76</v>
      </c>
      <c r="G21" s="1240">
        <f t="shared" si="2"/>
        <v>13507.69</v>
      </c>
      <c r="H21" s="1242">
        <v>250</v>
      </c>
      <c r="I21" s="1228" t="s">
        <v>450</v>
      </c>
      <c r="K21" s="1242">
        <f t="shared" si="3"/>
        <v>0.59523809523809523</v>
      </c>
      <c r="L21" s="1243">
        <f t="shared" si="4"/>
        <v>32.161166666666666</v>
      </c>
    </row>
    <row r="22" spans="1:29" ht="15" customHeight="1" x14ac:dyDescent="0.25">
      <c r="A22" s="1238"/>
      <c r="B22" s="1228" t="s">
        <v>382</v>
      </c>
      <c r="C22" s="1228">
        <v>3785</v>
      </c>
      <c r="D22" s="1239">
        <f>'Prec Materia Prima y Empaq'!$H$18</f>
        <v>24</v>
      </c>
      <c r="E22" s="1240">
        <f t="shared" si="0"/>
        <v>4.5600000000000005</v>
      </c>
      <c r="F22" s="1241">
        <f t="shared" si="1"/>
        <v>28.560000000000002</v>
      </c>
      <c r="G22" s="1240">
        <f>F22/C22*H22</f>
        <v>0.37727873183619554</v>
      </c>
      <c r="H22" s="1242">
        <v>50</v>
      </c>
      <c r="I22" s="1228" t="s">
        <v>450</v>
      </c>
      <c r="K22" s="1242">
        <f t="shared" si="3"/>
        <v>0.11904761904761904</v>
      </c>
      <c r="L22" s="1243">
        <f t="shared" si="4"/>
        <v>8.9828269484808459E-4</v>
      </c>
    </row>
    <row r="23" spans="1:29" ht="15" customHeight="1" x14ac:dyDescent="0.25">
      <c r="A23" s="1238"/>
      <c r="B23" s="1228" t="s">
        <v>249</v>
      </c>
      <c r="C23" s="1228">
        <v>1000</v>
      </c>
      <c r="D23" s="1239">
        <f>'Prec Materia Prima y Empaq'!$H$59</f>
        <v>65135</v>
      </c>
      <c r="E23" s="1240">
        <f t="shared" si="0"/>
        <v>12375.65</v>
      </c>
      <c r="F23" s="1241">
        <f t="shared" si="1"/>
        <v>77510.649999999994</v>
      </c>
      <c r="G23" s="1240">
        <f t="shared" si="2"/>
        <v>38755.324999999997</v>
      </c>
      <c r="H23" s="1242">
        <v>500</v>
      </c>
      <c r="I23" s="1228" t="s">
        <v>450</v>
      </c>
      <c r="K23" s="1242">
        <f t="shared" si="3"/>
        <v>1.1904761904761905</v>
      </c>
      <c r="L23" s="1243">
        <f t="shared" si="4"/>
        <v>92.274583333333325</v>
      </c>
    </row>
    <row r="24" spans="1:29" ht="15" customHeight="1" x14ac:dyDescent="0.25">
      <c r="A24" s="1238"/>
      <c r="B24" s="1228" t="s">
        <v>300</v>
      </c>
      <c r="C24" s="1228">
        <v>1000</v>
      </c>
      <c r="D24" s="1239">
        <f>'Prec Materia Prima y Empaq'!$H$25</f>
        <v>30041</v>
      </c>
      <c r="E24" s="1240">
        <f t="shared" ref="E24" si="7">D24*19%</f>
        <v>5707.79</v>
      </c>
      <c r="F24" s="1241">
        <f t="shared" si="1"/>
        <v>35748.79</v>
      </c>
      <c r="G24" s="1240">
        <f t="shared" si="2"/>
        <v>17874.395</v>
      </c>
      <c r="H24" s="1242">
        <v>500</v>
      </c>
      <c r="I24" s="1228" t="s">
        <v>450</v>
      </c>
      <c r="K24" s="1242">
        <f t="shared" si="3"/>
        <v>1.1904761904761905</v>
      </c>
      <c r="L24" s="1243">
        <f t="shared" si="4"/>
        <v>42.558083333333336</v>
      </c>
    </row>
    <row r="25" spans="1:29" ht="15" customHeight="1" x14ac:dyDescent="0.25">
      <c r="A25" s="1238"/>
      <c r="B25" s="1228" t="s">
        <v>713</v>
      </c>
      <c r="C25" s="1228">
        <v>1000</v>
      </c>
      <c r="D25" s="1239">
        <f>'Prec Materia Prima y Empaq'!$H$27</f>
        <v>120000</v>
      </c>
      <c r="E25" s="1240">
        <f t="shared" ref="E25" si="8">D25*19%</f>
        <v>22800</v>
      </c>
      <c r="F25" s="1241">
        <f t="shared" ref="F25" si="9">+E25+D25</f>
        <v>142800</v>
      </c>
      <c r="G25" s="1240">
        <f t="shared" ref="G25" si="10">F25/C25*H25</f>
        <v>71400</v>
      </c>
      <c r="H25" s="1242">
        <v>500</v>
      </c>
      <c r="I25" s="1228" t="s">
        <v>450</v>
      </c>
      <c r="K25" s="1242">
        <f t="shared" si="3"/>
        <v>1.1904761904761905</v>
      </c>
      <c r="L25" s="1243">
        <f t="shared" ref="L25" si="11">F25/C25*K25</f>
        <v>170</v>
      </c>
    </row>
    <row r="26" spans="1:29" ht="28.5" customHeight="1" x14ac:dyDescent="0.25">
      <c r="B26" s="1228" t="s">
        <v>712</v>
      </c>
      <c r="C26" s="1228">
        <v>1000</v>
      </c>
      <c r="D26" s="1239">
        <f>'Prec Materia Prima y Empaq'!$H$23</f>
        <v>2000000</v>
      </c>
      <c r="E26" s="1240">
        <f t="shared" ref="E26" si="12">D26*19%</f>
        <v>380000</v>
      </c>
      <c r="F26" s="1241">
        <f t="shared" si="1"/>
        <v>2380000</v>
      </c>
      <c r="G26" s="1241">
        <f t="shared" si="2"/>
        <v>357000</v>
      </c>
      <c r="H26" s="1228">
        <v>150</v>
      </c>
      <c r="I26" s="1228" t="s">
        <v>450</v>
      </c>
      <c r="K26" s="1242">
        <f t="shared" si="3"/>
        <v>0.35714285714285715</v>
      </c>
      <c r="L26" s="1243">
        <f t="shared" si="4"/>
        <v>850</v>
      </c>
    </row>
    <row r="27" spans="1:29" ht="31.5" customHeight="1" x14ac:dyDescent="0.25">
      <c r="B27" s="1220" t="s">
        <v>247</v>
      </c>
      <c r="C27" s="1228">
        <v>1000</v>
      </c>
      <c r="D27" s="1244">
        <f>'Prec Materia Prima y Empaq'!$H$7</f>
        <v>50000</v>
      </c>
      <c r="E27" s="1240">
        <v>0</v>
      </c>
      <c r="F27" s="1241">
        <f t="shared" si="1"/>
        <v>50000</v>
      </c>
      <c r="G27" s="1240">
        <f>F27/C27*H27</f>
        <v>32.022471910112351</v>
      </c>
      <c r="H27" s="1245">
        <v>0.64044943820224698</v>
      </c>
      <c r="I27" s="1245" t="s">
        <v>453</v>
      </c>
      <c r="K27" s="1246">
        <f>H27/$C$378</f>
        <v>1.6421780466724281E-3</v>
      </c>
      <c r="L27" s="1243">
        <f>F27/C27*K27</f>
        <v>8.2108902333621406E-2</v>
      </c>
      <c r="N27" s="1220" t="s">
        <v>247</v>
      </c>
      <c r="O27" s="1247">
        <v>1</v>
      </c>
      <c r="P27" s="1240">
        <f>$F$391/$C$391*$O$391</f>
        <v>50</v>
      </c>
      <c r="Q27" s="1248"/>
      <c r="R27" s="1249" t="e">
        <f>P27/O16</f>
        <v>#DIV/0!</v>
      </c>
      <c r="S27" s="1248" t="e">
        <f>R27*1000</f>
        <v>#DIV/0!</v>
      </c>
      <c r="T27" s="1250">
        <f>O27/$O$380*1000</f>
        <v>2.5641025641025641E-3</v>
      </c>
      <c r="U27" s="1238">
        <f>T27*$M$380</f>
        <v>1</v>
      </c>
      <c r="Y27" s="1238"/>
      <c r="Z27" s="1238"/>
      <c r="AA27" s="1251"/>
      <c r="AC27" s="1252"/>
    </row>
    <row r="28" spans="1:29" ht="30.75" customHeight="1" x14ac:dyDescent="0.25">
      <c r="B28" s="1220" t="s">
        <v>451</v>
      </c>
      <c r="C28" s="1220">
        <v>1</v>
      </c>
      <c r="D28" s="1244">
        <f>'Prec Materia Prima y Empaq'!$H$126</f>
        <v>700</v>
      </c>
      <c r="E28" s="1240">
        <v>0</v>
      </c>
      <c r="F28" s="1241">
        <f t="shared" ref="F28:F32" si="13">+E28+D28</f>
        <v>700</v>
      </c>
      <c r="G28" s="1253">
        <f>F28*H28</f>
        <v>294000</v>
      </c>
      <c r="H28" s="1245">
        <f>$C$12</f>
        <v>420</v>
      </c>
      <c r="I28" s="1245" t="s">
        <v>453</v>
      </c>
      <c r="K28" s="1242">
        <f t="shared" si="3"/>
        <v>1</v>
      </c>
      <c r="L28" s="1243">
        <f t="shared" si="4"/>
        <v>700</v>
      </c>
    </row>
    <row r="29" spans="1:29" ht="19.5" customHeight="1" x14ac:dyDescent="0.25">
      <c r="B29" s="1220" t="s">
        <v>614</v>
      </c>
      <c r="C29" s="1220">
        <v>1</v>
      </c>
      <c r="D29" s="1244">
        <f>'Prec Materia Prima y Empaq'!$H$144</f>
        <v>70</v>
      </c>
      <c r="E29" s="1240">
        <v>0</v>
      </c>
      <c r="F29" s="1241">
        <f t="shared" si="13"/>
        <v>70</v>
      </c>
      <c r="G29" s="1253">
        <f>F29*H29</f>
        <v>29400</v>
      </c>
      <c r="H29" s="1245">
        <f t="shared" ref="H29:H32" si="14">$C$12</f>
        <v>420</v>
      </c>
      <c r="I29" s="1245" t="s">
        <v>453</v>
      </c>
      <c r="K29" s="1242">
        <f t="shared" si="3"/>
        <v>1</v>
      </c>
      <c r="L29" s="1243">
        <f t="shared" si="4"/>
        <v>70</v>
      </c>
    </row>
    <row r="30" spans="1:29" ht="18.75" customHeight="1" x14ac:dyDescent="0.25">
      <c r="B30" s="1245" t="s">
        <v>452</v>
      </c>
      <c r="C30" s="1245">
        <v>1</v>
      </c>
      <c r="D30" s="1244">
        <f>'Prec Materia Prima y Empaq'!$H$140</f>
        <v>120</v>
      </c>
      <c r="E30" s="1240">
        <v>0</v>
      </c>
      <c r="F30" s="1241">
        <f t="shared" si="13"/>
        <v>120</v>
      </c>
      <c r="G30" s="1253">
        <f t="shared" ref="G30:G32" si="15">F30*H30</f>
        <v>50400</v>
      </c>
      <c r="H30" s="1245">
        <f t="shared" si="14"/>
        <v>420</v>
      </c>
      <c r="I30" s="1245" t="s">
        <v>453</v>
      </c>
      <c r="K30" s="1242">
        <f t="shared" si="3"/>
        <v>1</v>
      </c>
      <c r="L30" s="1243">
        <f t="shared" si="4"/>
        <v>120</v>
      </c>
    </row>
    <row r="31" spans="1:29" ht="16.5" customHeight="1" x14ac:dyDescent="0.25">
      <c r="B31" s="1254" t="s">
        <v>310</v>
      </c>
      <c r="C31" s="1245">
        <v>1</v>
      </c>
      <c r="D31" s="1244">
        <f>'Prec Materia Prima y Empaq'!$H$130</f>
        <v>100</v>
      </c>
      <c r="E31" s="1240">
        <v>0</v>
      </c>
      <c r="F31" s="1241">
        <f t="shared" si="13"/>
        <v>100</v>
      </c>
      <c r="G31" s="1253">
        <f t="shared" si="15"/>
        <v>42000</v>
      </c>
      <c r="H31" s="1245">
        <f t="shared" si="14"/>
        <v>420</v>
      </c>
      <c r="I31" s="1245" t="s">
        <v>453</v>
      </c>
      <c r="K31" s="1242">
        <f t="shared" si="3"/>
        <v>1</v>
      </c>
      <c r="L31" s="1243">
        <f t="shared" si="4"/>
        <v>100</v>
      </c>
    </row>
    <row r="32" spans="1:29" ht="21.75" customHeight="1" x14ac:dyDescent="0.25">
      <c r="B32" s="1245" t="s">
        <v>309</v>
      </c>
      <c r="C32" s="1245">
        <v>1</v>
      </c>
      <c r="D32" s="1244">
        <f>'Prec Materia Prima y Empaq'!$H$129</f>
        <v>800</v>
      </c>
      <c r="E32" s="1240">
        <v>0</v>
      </c>
      <c r="F32" s="1241">
        <f t="shared" si="13"/>
        <v>800</v>
      </c>
      <c r="G32" s="1253">
        <f t="shared" si="15"/>
        <v>336000</v>
      </c>
      <c r="H32" s="1245">
        <f t="shared" si="14"/>
        <v>420</v>
      </c>
      <c r="I32" s="1245" t="s">
        <v>453</v>
      </c>
      <c r="K32" s="1242">
        <f t="shared" si="3"/>
        <v>1</v>
      </c>
      <c r="L32" s="1243">
        <f t="shared" si="4"/>
        <v>800</v>
      </c>
    </row>
    <row r="33" spans="1:12" ht="19.5" customHeight="1" thickBot="1" x14ac:dyDescent="0.3">
      <c r="B33" s="1255"/>
      <c r="C33" s="857"/>
      <c r="D33" s="1256"/>
      <c r="E33" s="1248"/>
      <c r="F33" s="1257"/>
      <c r="G33" s="1258">
        <f>+'Gtos Varios'!I14</f>
        <v>3672.93</v>
      </c>
      <c r="H33" s="1259" t="s">
        <v>454</v>
      </c>
      <c r="I33" s="857"/>
      <c r="L33" s="1260">
        <f>SUM(L18:L32)</f>
        <v>3036.5201738516953</v>
      </c>
    </row>
    <row r="34" spans="1:12" ht="15" customHeight="1" thickTop="1" x14ac:dyDescent="0.25">
      <c r="B34" s="1261" t="s">
        <v>409</v>
      </c>
      <c r="C34" s="1262"/>
      <c r="D34" s="1263">
        <f>+'Gtos Varios'!I14</f>
        <v>3672.93</v>
      </c>
      <c r="E34" s="1262"/>
      <c r="F34" s="1264">
        <f t="shared" ref="F34" si="16">+E34+D34</f>
        <v>3672.93</v>
      </c>
      <c r="G34" s="1265">
        <f>F34</f>
        <v>3672.93</v>
      </c>
      <c r="H34" s="1262" t="str">
        <f>B34</f>
        <v xml:space="preserve">GASTOS VARIOS </v>
      </c>
      <c r="I34" s="1262"/>
    </row>
    <row r="35" spans="1:12" ht="15" customHeight="1" x14ac:dyDescent="0.25">
      <c r="B35" s="1255"/>
      <c r="C35" s="857"/>
      <c r="D35" s="1256"/>
      <c r="E35" s="1248"/>
      <c r="F35" s="1257"/>
      <c r="G35" s="1266"/>
      <c r="H35" s="857"/>
      <c r="I35" s="857"/>
    </row>
    <row r="36" spans="1:12" ht="15" customHeight="1" x14ac:dyDescent="0.25">
      <c r="B36" s="1255"/>
      <c r="C36" s="857"/>
      <c r="D36" s="1256"/>
      <c r="E36" s="1248"/>
      <c r="F36" s="1257"/>
      <c r="G36" s="1266"/>
      <c r="H36" s="857"/>
      <c r="I36" s="857"/>
    </row>
    <row r="37" spans="1:12" ht="15" customHeight="1" thickBot="1" x14ac:dyDescent="0.3">
      <c r="F37" s="1267">
        <f>SUM(F18:F32)</f>
        <v>2776180.76</v>
      </c>
      <c r="G37" s="1268">
        <f>SUM(G33:G34)</f>
        <v>7345.86</v>
      </c>
      <c r="H37" s="733" t="s">
        <v>412</v>
      </c>
    </row>
    <row r="38" spans="1:12" ht="15" customHeight="1" thickTop="1" x14ac:dyDescent="0.25">
      <c r="G38" s="1257">
        <f>G37*48%</f>
        <v>3526.0127999999995</v>
      </c>
      <c r="H38" s="1269">
        <v>0.48</v>
      </c>
      <c r="I38" s="733" t="s">
        <v>539</v>
      </c>
    </row>
    <row r="39" spans="1:12" ht="15" customHeight="1" thickBot="1" x14ac:dyDescent="0.3">
      <c r="G39" s="1270">
        <f>G37+G38</f>
        <v>10871.872799999999</v>
      </c>
      <c r="H39" s="733" t="s">
        <v>414</v>
      </c>
    </row>
    <row r="40" spans="1:12" ht="15" customHeight="1" thickTop="1" x14ac:dyDescent="0.25"/>
    <row r="44" spans="1:12" ht="15" customHeight="1" x14ac:dyDescent="0.25">
      <c r="B44" s="1222" t="s">
        <v>61</v>
      </c>
      <c r="C44" s="1219" t="s">
        <v>68</v>
      </c>
      <c r="D44" s="733"/>
    </row>
    <row r="45" spans="1:12" ht="15" customHeight="1" x14ac:dyDescent="0.25">
      <c r="B45" s="1222" t="s">
        <v>62</v>
      </c>
      <c r="C45" s="1219" t="str">
        <f>VLOOKUP(C44,LISTPROD[],2,FALSE)</f>
        <v>7 TOROS</v>
      </c>
      <c r="D45" s="733"/>
    </row>
    <row r="46" spans="1:12" ht="15" customHeight="1" x14ac:dyDescent="0.25">
      <c r="B46" s="1222" t="s">
        <v>234</v>
      </c>
      <c r="C46" s="1219" t="str">
        <f>VLOOKUP(C44,LISTPROD[],9,FALSE)</f>
        <v>500 ML</v>
      </c>
      <c r="D46" s="1219" t="s">
        <v>486</v>
      </c>
      <c r="E46" s="733" t="s">
        <v>691</v>
      </c>
    </row>
    <row r="47" spans="1:12" ht="15" customHeight="1" x14ac:dyDescent="0.25">
      <c r="A47" s="1223" t="s">
        <v>684</v>
      </c>
      <c r="B47" s="1222" t="s">
        <v>239</v>
      </c>
      <c r="C47" s="1224">
        <v>390</v>
      </c>
      <c r="D47" s="1218"/>
    </row>
    <row r="48" spans="1:12" ht="15" customHeight="1" x14ac:dyDescent="0.25">
      <c r="B48" s="1222" t="s">
        <v>240</v>
      </c>
      <c r="C48" s="1219"/>
      <c r="D48" s="733"/>
    </row>
    <row r="49" spans="1:29" ht="15" customHeight="1" x14ac:dyDescent="0.25">
      <c r="B49" s="1222" t="s">
        <v>238</v>
      </c>
      <c r="C49" s="733" t="s">
        <v>56</v>
      </c>
      <c r="D49" s="857" t="s">
        <v>449</v>
      </c>
    </row>
    <row r="50" spans="1:29" ht="15" customHeight="1" x14ac:dyDescent="0.25">
      <c r="B50" s="1225" t="s">
        <v>410</v>
      </c>
      <c r="C50" s="753">
        <v>500</v>
      </c>
      <c r="D50" s="1226"/>
    </row>
    <row r="51" spans="1:29" ht="15" customHeight="1" x14ac:dyDescent="0.25">
      <c r="A51" s="1227"/>
      <c r="B51" s="1440" t="s">
        <v>404</v>
      </c>
      <c r="C51" s="1440"/>
      <c r="D51" s="1440"/>
      <c r="E51" s="1440"/>
      <c r="F51" s="1440"/>
      <c r="G51" s="1402"/>
      <c r="H51" s="1441" t="s">
        <v>416</v>
      </c>
      <c r="I51" s="1442"/>
    </row>
    <row r="52" spans="1:29" ht="47.25" customHeight="1" x14ac:dyDescent="0.25">
      <c r="A52" s="1229"/>
      <c r="B52" s="1403" t="s">
        <v>398</v>
      </c>
      <c r="C52" s="1404" t="s">
        <v>441</v>
      </c>
      <c r="D52" s="1405" t="s">
        <v>399</v>
      </c>
      <c r="E52" s="1406" t="s">
        <v>402</v>
      </c>
      <c r="F52" s="1405" t="s">
        <v>399</v>
      </c>
      <c r="G52" s="1405" t="s">
        <v>411</v>
      </c>
      <c r="H52" s="1407" t="s">
        <v>408</v>
      </c>
      <c r="I52" s="1408" t="s">
        <v>415</v>
      </c>
      <c r="K52" s="1236" t="s">
        <v>603</v>
      </c>
      <c r="L52" s="1237" t="s">
        <v>604</v>
      </c>
    </row>
    <row r="53" spans="1:29" ht="15" customHeight="1" x14ac:dyDescent="0.25">
      <c r="A53" s="1238"/>
      <c r="B53" s="1228" t="s">
        <v>248</v>
      </c>
      <c r="C53" s="1228">
        <v>1000</v>
      </c>
      <c r="D53" s="1239">
        <f>'Prec Materia Prima y Empaq'!$H$21</f>
        <v>15400</v>
      </c>
      <c r="E53" s="1240">
        <f>D53*19%</f>
        <v>2926</v>
      </c>
      <c r="F53" s="1241">
        <f>+E53+D53</f>
        <v>18326</v>
      </c>
      <c r="G53" s="1240">
        <f>F53/C53*H53</f>
        <v>12828.2</v>
      </c>
      <c r="H53" s="1409">
        <v>700</v>
      </c>
      <c r="I53" s="1410" t="s">
        <v>450</v>
      </c>
      <c r="K53" s="1242">
        <f>H53/$C$47</f>
        <v>1.7948717948717949</v>
      </c>
      <c r="L53" s="1243">
        <f>F53/C53*K53</f>
        <v>32.892820512820514</v>
      </c>
    </row>
    <row r="54" spans="1:29" ht="15" customHeight="1" x14ac:dyDescent="0.25">
      <c r="A54" s="1238"/>
      <c r="B54" s="1228" t="s">
        <v>443</v>
      </c>
      <c r="C54" s="1228">
        <v>1000</v>
      </c>
      <c r="D54" s="1239">
        <f>'Prec Materia Prima y Empaq'!$H$11</f>
        <v>8000</v>
      </c>
      <c r="E54" s="1240">
        <f t="shared" ref="E54:E60" si="17">D54*19%</f>
        <v>1520</v>
      </c>
      <c r="F54" s="1241">
        <f t="shared" ref="F54:F66" si="18">+E54+D54</f>
        <v>9520</v>
      </c>
      <c r="G54" s="1240">
        <f t="shared" ref="G54:G56" si="19">F54/C54*H54</f>
        <v>5712</v>
      </c>
      <c r="H54" s="1409">
        <v>600</v>
      </c>
      <c r="I54" s="1410" t="s">
        <v>450</v>
      </c>
      <c r="K54" s="1242">
        <f t="shared" ref="K54:K67" si="20">H54/$C$47</f>
        <v>1.5384615384615385</v>
      </c>
      <c r="L54" s="1243">
        <f t="shared" ref="L54:L66" si="21">F54/C54*K54</f>
        <v>14.646153846153846</v>
      </c>
    </row>
    <row r="55" spans="1:29" ht="15" customHeight="1" x14ac:dyDescent="0.25">
      <c r="A55" s="1238"/>
      <c r="B55" s="1228" t="s">
        <v>253</v>
      </c>
      <c r="C55" s="1228">
        <v>1000</v>
      </c>
      <c r="D55" s="1239">
        <f>'Prec Materia Prima y Empaq'!$H$9</f>
        <v>5400</v>
      </c>
      <c r="E55" s="1240">
        <f t="shared" si="17"/>
        <v>1026</v>
      </c>
      <c r="F55" s="1241">
        <f t="shared" si="18"/>
        <v>6426</v>
      </c>
      <c r="G55" s="1240">
        <f t="shared" si="19"/>
        <v>1927.8</v>
      </c>
      <c r="H55" s="1409">
        <v>300</v>
      </c>
      <c r="I55" s="1410" t="s">
        <v>450</v>
      </c>
      <c r="K55" s="1242">
        <f t="shared" si="20"/>
        <v>0.76923076923076927</v>
      </c>
      <c r="L55" s="1243">
        <f t="shared" si="21"/>
        <v>4.9430769230769238</v>
      </c>
    </row>
    <row r="56" spans="1:29" ht="15" customHeight="1" x14ac:dyDescent="0.25">
      <c r="A56" s="1238"/>
      <c r="B56" s="1228" t="s">
        <v>261</v>
      </c>
      <c r="C56" s="1228">
        <v>1000</v>
      </c>
      <c r="D56" s="1239">
        <f>'Prec Materia Prima y Empaq'!$H$16</f>
        <v>14000</v>
      </c>
      <c r="E56" s="1240">
        <f t="shared" si="17"/>
        <v>2660</v>
      </c>
      <c r="F56" s="1241">
        <f t="shared" si="18"/>
        <v>16660</v>
      </c>
      <c r="G56" s="1240">
        <f t="shared" si="19"/>
        <v>3332</v>
      </c>
      <c r="H56" s="1409">
        <v>200</v>
      </c>
      <c r="I56" s="1410" t="s">
        <v>450</v>
      </c>
      <c r="K56" s="1242">
        <f t="shared" si="20"/>
        <v>0.51282051282051277</v>
      </c>
      <c r="L56" s="1243">
        <f t="shared" si="21"/>
        <v>8.5435897435897434</v>
      </c>
    </row>
    <row r="57" spans="1:29" ht="15" customHeight="1" x14ac:dyDescent="0.25">
      <c r="A57" s="1238"/>
      <c r="B57" s="1228" t="s">
        <v>562</v>
      </c>
      <c r="C57" s="1228">
        <v>1000</v>
      </c>
      <c r="D57" s="1239">
        <f>'Prec Materia Prima y Empaq'!$H$41</f>
        <v>80268</v>
      </c>
      <c r="E57" s="1240">
        <f t="shared" si="17"/>
        <v>15250.92</v>
      </c>
      <c r="F57" s="1241">
        <f t="shared" si="18"/>
        <v>95518.92</v>
      </c>
      <c r="G57" s="1240">
        <f>F57/C57*H57</f>
        <v>4775.9459999999999</v>
      </c>
      <c r="H57" s="1409">
        <v>50</v>
      </c>
      <c r="I57" s="1410" t="s">
        <v>450</v>
      </c>
      <c r="K57" s="1242">
        <f t="shared" si="20"/>
        <v>0.12820512820512819</v>
      </c>
      <c r="L57" s="1243">
        <f t="shared" si="21"/>
        <v>12.246015384615383</v>
      </c>
    </row>
    <row r="58" spans="1:29" ht="15" customHeight="1" x14ac:dyDescent="0.25">
      <c r="A58" s="1238"/>
      <c r="B58" s="1228" t="s">
        <v>269</v>
      </c>
      <c r="C58" s="1228">
        <v>1000</v>
      </c>
      <c r="D58" s="1239">
        <f>'Prec Materia Prima y Empaq'!$H$47</f>
        <v>49240</v>
      </c>
      <c r="E58" s="1240">
        <f t="shared" si="17"/>
        <v>9355.6</v>
      </c>
      <c r="F58" s="1241">
        <f t="shared" si="18"/>
        <v>58595.6</v>
      </c>
      <c r="G58" s="1240">
        <f t="shared" ref="G58:G60" si="22">F58/C58*H58</f>
        <v>11719.119999999999</v>
      </c>
      <c r="H58" s="1409">
        <v>200</v>
      </c>
      <c r="I58" s="1410" t="s">
        <v>450</v>
      </c>
      <c r="K58" s="1242">
        <f t="shared" si="20"/>
        <v>0.51282051282051277</v>
      </c>
      <c r="L58" s="1243">
        <f t="shared" si="21"/>
        <v>30.049025641025636</v>
      </c>
    </row>
    <row r="59" spans="1:29" ht="15" customHeight="1" x14ac:dyDescent="0.25">
      <c r="A59" s="1238"/>
      <c r="B59" s="1228" t="s">
        <v>607</v>
      </c>
      <c r="C59" s="1228">
        <v>1000</v>
      </c>
      <c r="D59" s="1239">
        <f>'Prec Materia Prima y Empaq'!$H$40</f>
        <v>20882</v>
      </c>
      <c r="E59" s="1240">
        <f t="shared" si="17"/>
        <v>3967.58</v>
      </c>
      <c r="F59" s="1241">
        <f t="shared" si="18"/>
        <v>24849.58</v>
      </c>
      <c r="G59" s="1240">
        <f t="shared" si="22"/>
        <v>2484.9580000000005</v>
      </c>
      <c r="H59" s="1409">
        <v>100</v>
      </c>
      <c r="I59" s="1410" t="s">
        <v>450</v>
      </c>
      <c r="K59" s="1242">
        <f t="shared" si="20"/>
        <v>0.25641025641025639</v>
      </c>
      <c r="L59" s="1243">
        <f t="shared" si="21"/>
        <v>6.3716871794871794</v>
      </c>
    </row>
    <row r="60" spans="1:29" ht="28.5" customHeight="1" x14ac:dyDescent="0.25">
      <c r="B60" s="1228" t="s">
        <v>712</v>
      </c>
      <c r="C60" s="1228">
        <v>1000</v>
      </c>
      <c r="D60" s="1239">
        <f>'Prec Materia Prima y Empaq'!$H$23</f>
        <v>2000000</v>
      </c>
      <c r="E60" s="1240">
        <f t="shared" si="17"/>
        <v>380000</v>
      </c>
      <c r="F60" s="1241">
        <f t="shared" si="18"/>
        <v>2380000</v>
      </c>
      <c r="G60" s="1241">
        <f t="shared" si="22"/>
        <v>357000</v>
      </c>
      <c r="H60" s="1410">
        <v>150</v>
      </c>
      <c r="I60" s="1410" t="s">
        <v>450</v>
      </c>
      <c r="K60" s="1242">
        <f t="shared" si="20"/>
        <v>0.38461538461538464</v>
      </c>
      <c r="L60" s="1243">
        <f t="shared" si="21"/>
        <v>915.38461538461547</v>
      </c>
    </row>
    <row r="61" spans="1:29" ht="15" customHeight="1" x14ac:dyDescent="0.25">
      <c r="B61" s="1228" t="s">
        <v>268</v>
      </c>
      <c r="C61" s="1228">
        <v>1000</v>
      </c>
      <c r="D61" s="1239">
        <f>'Prec Materia Prima y Empaq'!$H$31</f>
        <v>20000</v>
      </c>
      <c r="E61" s="1240">
        <v>0</v>
      </c>
      <c r="F61" s="1241">
        <f t="shared" si="18"/>
        <v>20000</v>
      </c>
      <c r="G61" s="1241">
        <f>F61/C61*H61</f>
        <v>20000</v>
      </c>
      <c r="H61" s="1410">
        <v>1000</v>
      </c>
      <c r="I61" s="1410" t="s">
        <v>450</v>
      </c>
      <c r="K61" s="1242">
        <f t="shared" si="20"/>
        <v>2.5641025641025643</v>
      </c>
      <c r="L61" s="1243">
        <f t="shared" si="21"/>
        <v>51.282051282051285</v>
      </c>
    </row>
    <row r="62" spans="1:29" ht="15" customHeight="1" x14ac:dyDescent="0.25">
      <c r="A62" s="1238"/>
      <c r="B62" s="1228" t="s">
        <v>382</v>
      </c>
      <c r="C62" s="1228">
        <v>3785</v>
      </c>
      <c r="D62" s="1239">
        <f>'Prec Materia Prima y Empaq'!$H$18</f>
        <v>24</v>
      </c>
      <c r="E62" s="1240">
        <f t="shared" ref="E62" si="23">D62*19%</f>
        <v>4.5600000000000005</v>
      </c>
      <c r="F62" s="1241">
        <f t="shared" si="18"/>
        <v>28.560000000000002</v>
      </c>
      <c r="G62" s="1240">
        <f>F62/C62*H62</f>
        <v>0.37727873183619554</v>
      </c>
      <c r="H62" s="1409">
        <v>50</v>
      </c>
      <c r="I62" s="1410" t="s">
        <v>450</v>
      </c>
      <c r="K62" s="1242">
        <f t="shared" si="20"/>
        <v>0.12820512820512819</v>
      </c>
      <c r="L62" s="1243">
        <f t="shared" si="21"/>
        <v>9.6738136368255262E-4</v>
      </c>
    </row>
    <row r="63" spans="1:29" ht="31.5" customHeight="1" x14ac:dyDescent="0.25">
      <c r="B63" s="1220" t="s">
        <v>247</v>
      </c>
      <c r="C63" s="1228">
        <v>1000</v>
      </c>
      <c r="D63" s="1244">
        <f>'Prec Materia Prima y Empaq'!$H$7</f>
        <v>50000</v>
      </c>
      <c r="E63" s="1240">
        <v>0</v>
      </c>
      <c r="F63" s="1241">
        <f t="shared" si="18"/>
        <v>50000</v>
      </c>
      <c r="G63" s="1240">
        <f>F63/C63*H63</f>
        <v>32.022471910112351</v>
      </c>
      <c r="H63" s="1411">
        <v>0.64044943820224698</v>
      </c>
      <c r="I63" s="1411" t="s">
        <v>453</v>
      </c>
      <c r="K63" s="1246">
        <f>H63/$C$378</f>
        <v>1.6421780466724281E-3</v>
      </c>
      <c r="L63" s="1243">
        <f>F63/C63*K63</f>
        <v>8.2108902333621406E-2</v>
      </c>
      <c r="N63" s="1220" t="s">
        <v>247</v>
      </c>
      <c r="O63" s="1247">
        <v>1</v>
      </c>
      <c r="P63" s="1240">
        <f>$F$391/$C$391*$O$391</f>
        <v>50</v>
      </c>
      <c r="Q63" s="1248"/>
      <c r="R63" s="1249" t="e">
        <f>P63/O52</f>
        <v>#DIV/0!</v>
      </c>
      <c r="S63" s="1248" t="e">
        <f>R63*1000</f>
        <v>#DIV/0!</v>
      </c>
      <c r="T63" s="1250">
        <f>O63/$O$380*1000</f>
        <v>2.5641025641025641E-3</v>
      </c>
      <c r="U63" s="1238">
        <f>T63*$M$380</f>
        <v>1</v>
      </c>
      <c r="Y63" s="1238"/>
      <c r="Z63" s="1238"/>
      <c r="AA63" s="1251"/>
      <c r="AC63" s="1252"/>
    </row>
    <row r="64" spans="1:29" ht="30.75" customHeight="1" x14ac:dyDescent="0.25">
      <c r="B64" s="1220" t="s">
        <v>493</v>
      </c>
      <c r="C64" s="1220">
        <v>1</v>
      </c>
      <c r="D64" s="1244">
        <f>'Prec Materia Prima y Empaq'!$H$142</f>
        <v>650</v>
      </c>
      <c r="E64" s="1240">
        <v>0</v>
      </c>
      <c r="F64" s="1241">
        <f t="shared" si="18"/>
        <v>650</v>
      </c>
      <c r="G64" s="1253">
        <f t="shared" ref="G64:G67" si="24">F64*H64</f>
        <v>253500</v>
      </c>
      <c r="H64" s="1411">
        <f>$C$47</f>
        <v>390</v>
      </c>
      <c r="I64" s="1411" t="s">
        <v>453</v>
      </c>
      <c r="K64" s="1242">
        <f t="shared" si="20"/>
        <v>1</v>
      </c>
      <c r="L64" s="1243">
        <f t="shared" si="21"/>
        <v>650</v>
      </c>
    </row>
    <row r="65" spans="1:12" ht="18" customHeight="1" x14ac:dyDescent="0.25">
      <c r="B65" s="1220" t="s">
        <v>614</v>
      </c>
      <c r="C65" s="1220">
        <v>1</v>
      </c>
      <c r="D65" s="1244">
        <f>'Prec Materia Prima y Empaq'!$H$144</f>
        <v>70</v>
      </c>
      <c r="E65" s="1240">
        <v>0</v>
      </c>
      <c r="F65" s="1241">
        <f t="shared" si="18"/>
        <v>70</v>
      </c>
      <c r="G65" s="1253">
        <f t="shared" si="24"/>
        <v>27300</v>
      </c>
      <c r="H65" s="1411">
        <f>$C$47</f>
        <v>390</v>
      </c>
      <c r="I65" s="1411" t="s">
        <v>453</v>
      </c>
      <c r="K65" s="1242">
        <f t="shared" si="20"/>
        <v>1</v>
      </c>
      <c r="L65" s="1243">
        <f t="shared" si="21"/>
        <v>70</v>
      </c>
    </row>
    <row r="66" spans="1:12" ht="27.75" customHeight="1" x14ac:dyDescent="0.25">
      <c r="B66" s="1220" t="s">
        <v>503</v>
      </c>
      <c r="C66" s="1245">
        <v>1</v>
      </c>
      <c r="D66" s="1244">
        <f>'Prec Materia Prima y Empaq'!$H$143</f>
        <v>250</v>
      </c>
      <c r="E66" s="1240">
        <v>0</v>
      </c>
      <c r="F66" s="1241">
        <f t="shared" si="18"/>
        <v>250</v>
      </c>
      <c r="G66" s="1253">
        <f t="shared" si="24"/>
        <v>97500</v>
      </c>
      <c r="H66" s="1411">
        <f>$C$47</f>
        <v>390</v>
      </c>
      <c r="I66" s="1411" t="s">
        <v>453</v>
      </c>
      <c r="K66" s="1242">
        <f t="shared" si="20"/>
        <v>1</v>
      </c>
      <c r="L66" s="1243">
        <f t="shared" si="21"/>
        <v>250</v>
      </c>
    </row>
    <row r="67" spans="1:12" ht="51" customHeight="1" x14ac:dyDescent="0.25">
      <c r="A67" s="1271" t="s">
        <v>750</v>
      </c>
      <c r="B67" s="1254" t="s">
        <v>685</v>
      </c>
      <c r="C67" s="1245">
        <v>1</v>
      </c>
      <c r="D67" s="1272">
        <f>'Prec Materia Prima y Empaq'!$H$189</f>
        <v>0</v>
      </c>
      <c r="E67" s="1240">
        <v>0</v>
      </c>
      <c r="F67" s="1241">
        <f t="shared" ref="F67" si="25">+E67+D67</f>
        <v>0</v>
      </c>
      <c r="G67" s="1253">
        <f t="shared" si="24"/>
        <v>0</v>
      </c>
      <c r="H67" s="1411">
        <f>$C$47</f>
        <v>390</v>
      </c>
      <c r="I67" s="1411" t="s">
        <v>453</v>
      </c>
      <c r="K67" s="1242">
        <f t="shared" si="20"/>
        <v>1</v>
      </c>
      <c r="L67" s="1243">
        <f t="shared" ref="L67" si="26">F67/C67*K67</f>
        <v>0</v>
      </c>
    </row>
    <row r="68" spans="1:12" ht="19.5" customHeight="1" thickBot="1" x14ac:dyDescent="0.3">
      <c r="B68" s="1255"/>
      <c r="C68" s="857"/>
      <c r="D68" s="1256"/>
      <c r="E68" s="1248"/>
      <c r="F68" s="1257"/>
      <c r="G68" s="1258">
        <f>SUM(G53:G67)/$C$47</f>
        <v>2046.4421121811333</v>
      </c>
      <c r="H68" s="1259" t="s">
        <v>454</v>
      </c>
      <c r="I68" s="857"/>
      <c r="L68" s="1260">
        <f>SUM(L53:L67)</f>
        <v>2046.4421121811331</v>
      </c>
    </row>
    <row r="69" spans="1:12" ht="15" customHeight="1" thickTop="1" x14ac:dyDescent="0.25">
      <c r="B69" s="1261" t="s">
        <v>409</v>
      </c>
      <c r="C69" s="1412"/>
      <c r="D69" s="1413">
        <f>+'Gtos Varios'!I14</f>
        <v>3672.93</v>
      </c>
      <c r="E69" s="1412"/>
      <c r="F69" s="1414">
        <f t="shared" ref="F69" si="27">+E69+D69</f>
        <v>3672.93</v>
      </c>
      <c r="G69" s="1415">
        <f>F69</f>
        <v>3672.93</v>
      </c>
      <c r="H69" s="1412" t="str">
        <f>B69</f>
        <v xml:space="preserve">GASTOS VARIOS </v>
      </c>
      <c r="I69" s="1412"/>
    </row>
    <row r="70" spans="1:12" ht="15" customHeight="1" x14ac:dyDescent="0.25">
      <c r="B70" s="1255"/>
      <c r="C70" s="857"/>
      <c r="D70" s="1256"/>
      <c r="E70" s="1248"/>
      <c r="F70" s="1257"/>
      <c r="G70" s="1266"/>
      <c r="H70" s="857"/>
      <c r="I70" s="857"/>
    </row>
    <row r="71" spans="1:12" ht="15" customHeight="1" x14ac:dyDescent="0.25">
      <c r="B71" s="1255"/>
      <c r="C71" s="857"/>
      <c r="D71" s="1256"/>
      <c r="E71" s="1248"/>
      <c r="F71" s="1257"/>
      <c r="G71" s="1266"/>
      <c r="H71" s="857"/>
      <c r="I71" s="857"/>
    </row>
    <row r="72" spans="1:12" ht="15" customHeight="1" thickBot="1" x14ac:dyDescent="0.3">
      <c r="F72" s="1267">
        <f>SUM(F53:F67)</f>
        <v>2680894.66</v>
      </c>
      <c r="G72" s="1268">
        <f>SUM(G68:G69)</f>
        <v>5719.3721121811332</v>
      </c>
      <c r="H72" s="733" t="s">
        <v>412</v>
      </c>
    </row>
    <row r="73" spans="1:12" ht="15" customHeight="1" thickTop="1" x14ac:dyDescent="0.25">
      <c r="G73" s="1257">
        <f>G72*54%</f>
        <v>3088.4609405778119</v>
      </c>
      <c r="H73" s="1269">
        <v>0.54</v>
      </c>
      <c r="I73" s="733" t="s">
        <v>539</v>
      </c>
    </row>
    <row r="74" spans="1:12" ht="15" customHeight="1" thickBot="1" x14ac:dyDescent="0.3">
      <c r="G74" s="1270">
        <f>G72+G73</f>
        <v>8807.833052758946</v>
      </c>
      <c r="H74" s="733" t="s">
        <v>414</v>
      </c>
    </row>
    <row r="75" spans="1:12" ht="15" customHeight="1" thickTop="1" x14ac:dyDescent="0.25"/>
    <row r="78" spans="1:12" ht="15" customHeight="1" x14ac:dyDescent="0.25">
      <c r="B78" s="1222" t="s">
        <v>61</v>
      </c>
      <c r="C78" s="1219" t="s">
        <v>71</v>
      </c>
      <c r="D78" s="733"/>
    </row>
    <row r="79" spans="1:12" ht="15" customHeight="1" x14ac:dyDescent="0.25">
      <c r="B79" s="1222" t="s">
        <v>62</v>
      </c>
      <c r="C79" s="1219" t="str">
        <f>VLOOKUP(C78,LISTPROD[],2,FALSE)</f>
        <v>ALICITRIM LT</v>
      </c>
      <c r="D79" s="1219" t="s">
        <v>486</v>
      </c>
      <c r="E79" s="857" t="s">
        <v>491</v>
      </c>
    </row>
    <row r="80" spans="1:12" ht="15" customHeight="1" x14ac:dyDescent="0.25">
      <c r="B80" s="1222" t="s">
        <v>234</v>
      </c>
      <c r="C80" s="1219" t="str">
        <f>VLOOKUP(C78,LISTPROD[],9,FALSE)</f>
        <v>1000 ML</v>
      </c>
      <c r="D80" s="733"/>
    </row>
    <row r="81" spans="1:29" ht="15" customHeight="1" x14ac:dyDescent="0.25">
      <c r="A81" s="1223" t="s">
        <v>684</v>
      </c>
      <c r="B81" s="1222" t="s">
        <v>239</v>
      </c>
      <c r="C81" s="1224">
        <v>220</v>
      </c>
      <c r="D81" s="1218"/>
    </row>
    <row r="82" spans="1:29" ht="15" customHeight="1" x14ac:dyDescent="0.25">
      <c r="B82" s="1222" t="s">
        <v>240</v>
      </c>
      <c r="C82" s="1219"/>
      <c r="D82" s="733"/>
    </row>
    <row r="83" spans="1:29" ht="15" customHeight="1" x14ac:dyDescent="0.25">
      <c r="B83" s="1222" t="s">
        <v>238</v>
      </c>
      <c r="C83" s="733" t="s">
        <v>56</v>
      </c>
      <c r="D83" s="1218" t="s">
        <v>449</v>
      </c>
    </row>
    <row r="84" spans="1:29" ht="24.75" customHeight="1" x14ac:dyDescent="0.25">
      <c r="B84" s="1225" t="s">
        <v>410</v>
      </c>
      <c r="C84" s="753">
        <v>1000</v>
      </c>
      <c r="D84" s="1226"/>
    </row>
    <row r="85" spans="1:29" ht="15" customHeight="1" x14ac:dyDescent="0.25">
      <c r="A85" s="1227"/>
      <c r="B85" s="1436" t="s">
        <v>404</v>
      </c>
      <c r="C85" s="1436"/>
      <c r="D85" s="1436"/>
      <c r="E85" s="1436"/>
      <c r="F85" s="1436"/>
      <c r="G85" s="1228"/>
      <c r="H85" s="1437" t="s">
        <v>416</v>
      </c>
      <c r="I85" s="1438"/>
    </row>
    <row r="86" spans="1:29" ht="34.5" customHeight="1" x14ac:dyDescent="0.25">
      <c r="A86" s="1229"/>
      <c r="B86" s="1230" t="s">
        <v>398</v>
      </c>
      <c r="C86" s="1231" t="s">
        <v>441</v>
      </c>
      <c r="D86" s="1232" t="s">
        <v>399</v>
      </c>
      <c r="E86" s="1233" t="s">
        <v>402</v>
      </c>
      <c r="F86" s="1232" t="s">
        <v>399</v>
      </c>
      <c r="G86" s="1232" t="s">
        <v>411</v>
      </c>
      <c r="H86" s="1234" t="s">
        <v>408</v>
      </c>
      <c r="I86" s="1235" t="s">
        <v>415</v>
      </c>
      <c r="K86" s="1236" t="s">
        <v>603</v>
      </c>
      <c r="L86" s="1237" t="s">
        <v>604</v>
      </c>
    </row>
    <row r="87" spans="1:29" ht="15" customHeight="1" x14ac:dyDescent="0.25">
      <c r="A87" s="1238"/>
      <c r="B87" s="1228" t="s">
        <v>248</v>
      </c>
      <c r="C87" s="1228">
        <v>1000</v>
      </c>
      <c r="D87" s="1239">
        <f>'Prec Materia Prima y Empaq'!$H$21</f>
        <v>15400</v>
      </c>
      <c r="E87" s="1240">
        <f>D87*19%</f>
        <v>2926</v>
      </c>
      <c r="F87" s="1241">
        <f>+E87+D87</f>
        <v>18326</v>
      </c>
      <c r="G87" s="1240">
        <f t="shared" ref="G87:G89" si="28">F87/C87*H87</f>
        <v>16493.400000000001</v>
      </c>
      <c r="H87" s="1242">
        <v>900</v>
      </c>
      <c r="I87" s="1228" t="s">
        <v>450</v>
      </c>
      <c r="K87" s="1242">
        <f>H87/$C$81</f>
        <v>4.0909090909090908</v>
      </c>
      <c r="L87" s="1243">
        <f>F87/C87*K87</f>
        <v>74.97</v>
      </c>
    </row>
    <row r="88" spans="1:29" ht="15" customHeight="1" x14ac:dyDescent="0.25">
      <c r="A88" s="1238"/>
      <c r="B88" s="1228" t="s">
        <v>443</v>
      </c>
      <c r="C88" s="1228">
        <v>1000</v>
      </c>
      <c r="D88" s="1239">
        <f>'Prec Materia Prima y Empaq'!$H$11</f>
        <v>8000</v>
      </c>
      <c r="E88" s="1240">
        <f t="shared" ref="E88:E92" si="29">D88*19%</f>
        <v>1520</v>
      </c>
      <c r="F88" s="1241">
        <f t="shared" ref="F88:F92" si="30">+E88+D88</f>
        <v>9520</v>
      </c>
      <c r="G88" s="1240">
        <f t="shared" si="28"/>
        <v>5712</v>
      </c>
      <c r="H88" s="1242">
        <v>600</v>
      </c>
      <c r="I88" s="1228" t="s">
        <v>450</v>
      </c>
      <c r="K88" s="1242">
        <f t="shared" ref="K88:K97" si="31">H88/$C$81</f>
        <v>2.7272727272727271</v>
      </c>
      <c r="L88" s="1243">
        <f t="shared" ref="L88:L97" si="32">F88/C88*K88</f>
        <v>25.963636363636361</v>
      </c>
    </row>
    <row r="89" spans="1:29" ht="15" customHeight="1" x14ac:dyDescent="0.25">
      <c r="A89" s="1238"/>
      <c r="B89" s="1228" t="s">
        <v>253</v>
      </c>
      <c r="C89" s="1228">
        <v>1000</v>
      </c>
      <c r="D89" s="1239">
        <f>'Prec Materia Prima y Empaq'!$H$9</f>
        <v>5400</v>
      </c>
      <c r="E89" s="1240">
        <f t="shared" si="29"/>
        <v>1026</v>
      </c>
      <c r="F89" s="1241">
        <f t="shared" si="30"/>
        <v>6426</v>
      </c>
      <c r="G89" s="1240">
        <f t="shared" si="28"/>
        <v>2891.7000000000003</v>
      </c>
      <c r="H89" s="1242">
        <v>450</v>
      </c>
      <c r="I89" s="1228" t="s">
        <v>450</v>
      </c>
      <c r="K89" s="1242">
        <f t="shared" si="31"/>
        <v>2.0454545454545454</v>
      </c>
      <c r="L89" s="1243">
        <f t="shared" si="32"/>
        <v>13.144090909090909</v>
      </c>
    </row>
    <row r="90" spans="1:29" ht="15" customHeight="1" x14ac:dyDescent="0.25">
      <c r="A90" s="1238"/>
      <c r="B90" s="1228" t="s">
        <v>382</v>
      </c>
      <c r="C90" s="1228">
        <v>3785</v>
      </c>
      <c r="D90" s="1239">
        <f>'Prec Materia Prima y Empaq'!$H$18</f>
        <v>24</v>
      </c>
      <c r="E90" s="1240">
        <f t="shared" si="29"/>
        <v>4.5600000000000005</v>
      </c>
      <c r="F90" s="1241">
        <f t="shared" si="30"/>
        <v>28.560000000000002</v>
      </c>
      <c r="G90" s="1240">
        <f>F90/C90*H90</f>
        <v>0.37727873183619554</v>
      </c>
      <c r="H90" s="1242">
        <v>50</v>
      </c>
      <c r="I90" s="1228" t="s">
        <v>450</v>
      </c>
      <c r="K90" s="1242">
        <f t="shared" si="31"/>
        <v>0.22727272727272727</v>
      </c>
      <c r="L90" s="1243">
        <f t="shared" si="32"/>
        <v>1.7149033265281615E-3</v>
      </c>
    </row>
    <row r="91" spans="1:29" ht="15" customHeight="1" x14ac:dyDescent="0.25">
      <c r="A91" s="1238"/>
      <c r="B91" s="1228" t="s">
        <v>262</v>
      </c>
      <c r="C91" s="1228">
        <v>1000</v>
      </c>
      <c r="D91" s="1273">
        <f>'Prec Materia Prima y Empaq'!$H$55</f>
        <v>50522</v>
      </c>
      <c r="E91" s="1240">
        <f t="shared" si="29"/>
        <v>9599.18</v>
      </c>
      <c r="F91" s="1241">
        <f t="shared" si="30"/>
        <v>60121.18</v>
      </c>
      <c r="G91" s="1240">
        <f t="shared" ref="G91:G92" si="33">F91/C91*H91</f>
        <v>6012.1180000000004</v>
      </c>
      <c r="H91" s="1242">
        <v>100</v>
      </c>
      <c r="I91" s="1228" t="s">
        <v>450</v>
      </c>
      <c r="K91" s="1242">
        <f t="shared" si="31"/>
        <v>0.45454545454545453</v>
      </c>
      <c r="L91" s="1243">
        <f t="shared" si="32"/>
        <v>27.327809090909092</v>
      </c>
    </row>
    <row r="92" spans="1:29" ht="15" customHeight="1" x14ac:dyDescent="0.25">
      <c r="A92" s="1238"/>
      <c r="B92" s="1228" t="s">
        <v>246</v>
      </c>
      <c r="C92" s="1228">
        <v>1000</v>
      </c>
      <c r="D92" s="1239">
        <f>'Prec Materia Prima y Empaq'!$H$41</f>
        <v>80268</v>
      </c>
      <c r="E92" s="1240">
        <f t="shared" si="29"/>
        <v>15250.92</v>
      </c>
      <c r="F92" s="1241">
        <f t="shared" si="30"/>
        <v>95518.92</v>
      </c>
      <c r="G92" s="1240">
        <f t="shared" si="33"/>
        <v>3820.7567999999997</v>
      </c>
      <c r="H92" s="1242">
        <v>40</v>
      </c>
      <c r="I92" s="1228" t="s">
        <v>450</v>
      </c>
      <c r="K92" s="1242">
        <f t="shared" si="31"/>
        <v>0.18181818181818182</v>
      </c>
      <c r="L92" s="1243">
        <f t="shared" si="32"/>
        <v>17.367076363636365</v>
      </c>
    </row>
    <row r="93" spans="1:29" ht="33.75" customHeight="1" x14ac:dyDescent="0.25">
      <c r="A93" s="1238"/>
      <c r="B93" s="1228" t="s">
        <v>261</v>
      </c>
      <c r="C93" s="1228">
        <v>1000</v>
      </c>
      <c r="D93" s="1239">
        <f>'Prec Materia Prima y Empaq'!$H$16</f>
        <v>14000</v>
      </c>
      <c r="E93" s="1240">
        <f t="shared" ref="E93" si="34">D93*19%</f>
        <v>2660</v>
      </c>
      <c r="F93" s="1241">
        <f t="shared" ref="F93:F94" si="35">+E93+D93</f>
        <v>16660</v>
      </c>
      <c r="G93" s="1240">
        <f t="shared" ref="G93" si="36">F93/C93*H93</f>
        <v>3332</v>
      </c>
      <c r="H93" s="1242">
        <v>200</v>
      </c>
      <c r="I93" s="1228" t="s">
        <v>450</v>
      </c>
      <c r="K93" s="1242">
        <f t="shared" si="31"/>
        <v>0.90909090909090906</v>
      </c>
      <c r="L93" s="1243">
        <f t="shared" si="32"/>
        <v>15.145454545454545</v>
      </c>
    </row>
    <row r="94" spans="1:29" ht="31.5" customHeight="1" x14ac:dyDescent="0.25">
      <c r="B94" s="1220" t="s">
        <v>247</v>
      </c>
      <c r="C94" s="1228">
        <v>1000</v>
      </c>
      <c r="D94" s="1244">
        <f>'Prec Materia Prima y Empaq'!$H$7</f>
        <v>50000</v>
      </c>
      <c r="E94" s="1240">
        <v>0</v>
      </c>
      <c r="F94" s="1241">
        <f t="shared" si="35"/>
        <v>50000</v>
      </c>
      <c r="G94" s="1240">
        <f>F94/C94*H94</f>
        <v>32.022471910112351</v>
      </c>
      <c r="H94" s="1245">
        <v>0.64044943820224698</v>
      </c>
      <c r="I94" s="1245" t="s">
        <v>453</v>
      </c>
      <c r="K94" s="1246">
        <f>H94/$C$378</f>
        <v>1.6421780466724281E-3</v>
      </c>
      <c r="L94" s="1243">
        <f>F94/C94*K94</f>
        <v>8.2108902333621406E-2</v>
      </c>
      <c r="N94" s="1220" t="s">
        <v>247</v>
      </c>
      <c r="O94" s="1247">
        <v>1</v>
      </c>
      <c r="P94" s="1240">
        <f>$F$391/$C$391*$O$391</f>
        <v>50</v>
      </c>
      <c r="Q94" s="1248"/>
      <c r="R94" s="1249" t="e">
        <f>P94/O83</f>
        <v>#DIV/0!</v>
      </c>
      <c r="S94" s="1248" t="e">
        <f>R94*1000</f>
        <v>#DIV/0!</v>
      </c>
      <c r="T94" s="1250">
        <f>O94/$O$380*1000</f>
        <v>2.5641025641025641E-3</v>
      </c>
      <c r="U94" s="1238">
        <f>T94*$M$380</f>
        <v>1</v>
      </c>
      <c r="Y94" s="1238"/>
      <c r="Z94" s="1238"/>
      <c r="AA94" s="1251"/>
      <c r="AC94" s="1252"/>
    </row>
    <row r="95" spans="1:29" ht="30.75" customHeight="1" x14ac:dyDescent="0.25">
      <c r="B95" s="1220" t="s">
        <v>494</v>
      </c>
      <c r="C95" s="1220">
        <v>1</v>
      </c>
      <c r="D95" s="1244">
        <f>'Prec Materia Prima y Empaq'!$H$141</f>
        <v>1500</v>
      </c>
      <c r="E95" s="1240">
        <v>0</v>
      </c>
      <c r="F95" s="1241">
        <f t="shared" ref="F95:F96" si="37">+E95+D95</f>
        <v>1500</v>
      </c>
      <c r="G95" s="1253">
        <f t="shared" ref="G95" si="38">F95*H95</f>
        <v>330000</v>
      </c>
      <c r="H95" s="1245">
        <f>$C$81</f>
        <v>220</v>
      </c>
      <c r="I95" s="1245" t="s">
        <v>453</v>
      </c>
      <c r="K95" s="1242">
        <f t="shared" si="31"/>
        <v>1</v>
      </c>
      <c r="L95" s="1243">
        <f t="shared" si="32"/>
        <v>1500</v>
      </c>
    </row>
    <row r="96" spans="1:29" ht="56.25" customHeight="1" x14ac:dyDescent="0.25">
      <c r="A96" s="1271"/>
      <c r="B96" s="1220" t="s">
        <v>695</v>
      </c>
      <c r="C96" s="1220">
        <v>1</v>
      </c>
      <c r="D96" s="1272">
        <f>'Prec Materia Prima y Empaq'!$H$161</f>
        <v>300</v>
      </c>
      <c r="E96" s="1240"/>
      <c r="F96" s="1241">
        <f t="shared" si="37"/>
        <v>300</v>
      </c>
      <c r="G96" s="1253">
        <f>F96*H96</f>
        <v>66000</v>
      </c>
      <c r="H96" s="1245">
        <f>$C$81</f>
        <v>220</v>
      </c>
      <c r="I96" s="1245" t="s">
        <v>453</v>
      </c>
      <c r="J96" s="1218"/>
      <c r="K96" s="1242">
        <f t="shared" si="31"/>
        <v>1</v>
      </c>
      <c r="L96" s="1243">
        <f t="shared" si="32"/>
        <v>300</v>
      </c>
    </row>
    <row r="97" spans="2:12" ht="22.5" customHeight="1" x14ac:dyDescent="0.25">
      <c r="B97" s="1254" t="s">
        <v>310</v>
      </c>
      <c r="C97" s="1245">
        <v>1</v>
      </c>
      <c r="D97" s="1244">
        <f>'Prec Materia Prima y Empaq'!$H$130</f>
        <v>100</v>
      </c>
      <c r="E97" s="1240">
        <v>0</v>
      </c>
      <c r="F97" s="1241">
        <f t="shared" ref="F97" si="39">+E97+D97</f>
        <v>100</v>
      </c>
      <c r="G97" s="1253">
        <f>F97*H97</f>
        <v>22000</v>
      </c>
      <c r="H97" s="1245">
        <f>$C$81</f>
        <v>220</v>
      </c>
      <c r="I97" s="1245" t="s">
        <v>453</v>
      </c>
      <c r="K97" s="1242">
        <f t="shared" si="31"/>
        <v>1</v>
      </c>
      <c r="L97" s="1243">
        <f t="shared" si="32"/>
        <v>100</v>
      </c>
    </row>
    <row r="98" spans="2:12" ht="19.5" customHeight="1" thickBot="1" x14ac:dyDescent="0.3">
      <c r="B98" s="1255"/>
      <c r="C98" s="857"/>
      <c r="D98" s="1256"/>
      <c r="E98" s="1248"/>
      <c r="F98" s="1257"/>
      <c r="G98" s="1258">
        <f>SUM(G87:G97)/$C$81</f>
        <v>2074.0653388665546</v>
      </c>
      <c r="H98" s="1259" t="s">
        <v>454</v>
      </c>
      <c r="I98" s="857"/>
      <c r="L98" s="1260">
        <f>SUM(L87:L97)</f>
        <v>2074.0018910783874</v>
      </c>
    </row>
    <row r="99" spans="2:12" ht="15" customHeight="1" thickTop="1" x14ac:dyDescent="0.25">
      <c r="B99" s="1261" t="s">
        <v>409</v>
      </c>
      <c r="C99" s="1262"/>
      <c r="D99" s="1263">
        <f>+'Gtos Varios'!I14</f>
        <v>3672.93</v>
      </c>
      <c r="E99" s="1262"/>
      <c r="F99" s="1264">
        <f t="shared" ref="F99" si="40">+E99+D99</f>
        <v>3672.93</v>
      </c>
      <c r="G99" s="1265">
        <f>F99</f>
        <v>3672.93</v>
      </c>
      <c r="H99" s="1262" t="str">
        <f>B99</f>
        <v xml:space="preserve">GASTOS VARIOS </v>
      </c>
      <c r="I99" s="1262"/>
    </row>
    <row r="100" spans="2:12" ht="15" customHeight="1" x14ac:dyDescent="0.25">
      <c r="B100" s="1255"/>
      <c r="C100" s="857"/>
      <c r="D100" s="1256"/>
      <c r="E100" s="1248"/>
      <c r="F100" s="1257"/>
      <c r="G100" s="1266"/>
      <c r="H100" s="857"/>
      <c r="I100" s="857"/>
    </row>
    <row r="101" spans="2:12" ht="15" customHeight="1" x14ac:dyDescent="0.25">
      <c r="B101" s="1255"/>
      <c r="C101" s="857"/>
      <c r="D101" s="1256"/>
      <c r="E101" s="1248"/>
      <c r="F101" s="1257"/>
      <c r="G101" s="1266"/>
      <c r="H101" s="857"/>
      <c r="I101" s="857"/>
    </row>
    <row r="102" spans="2:12" ht="15" customHeight="1" thickBot="1" x14ac:dyDescent="0.3">
      <c r="F102" s="1267">
        <f>SUM(F87:F97)</f>
        <v>258500.65999999997</v>
      </c>
      <c r="G102" s="1268">
        <f>SUM(G98:G99)</f>
        <v>5746.9953388665544</v>
      </c>
      <c r="H102" s="733" t="s">
        <v>412</v>
      </c>
    </row>
    <row r="103" spans="2:12" ht="15" customHeight="1" thickTop="1" x14ac:dyDescent="0.25">
      <c r="G103" s="1257">
        <f>G102*59%</f>
        <v>3390.7272499312671</v>
      </c>
      <c r="H103" s="1274">
        <v>0.59</v>
      </c>
      <c r="I103" s="733" t="s">
        <v>539</v>
      </c>
    </row>
    <row r="104" spans="2:12" ht="15" customHeight="1" thickBot="1" x14ac:dyDescent="0.3">
      <c r="G104" s="1270">
        <f>G102+G103</f>
        <v>9137.722588797822</v>
      </c>
      <c r="H104" s="733" t="s">
        <v>414</v>
      </c>
    </row>
    <row r="105" spans="2:12" ht="15" customHeight="1" thickTop="1" x14ac:dyDescent="0.25"/>
    <row r="109" spans="2:12" ht="15" customHeight="1" x14ac:dyDescent="0.25">
      <c r="B109" s="1222" t="s">
        <v>61</v>
      </c>
      <c r="C109" s="1219" t="s">
        <v>76</v>
      </c>
      <c r="D109" s="733"/>
    </row>
    <row r="110" spans="2:12" ht="15" customHeight="1" x14ac:dyDescent="0.25">
      <c r="B110" s="1222" t="s">
        <v>62</v>
      </c>
      <c r="C110" s="1219" t="str">
        <f>VLOOKUP(C109,LISTPROD[],2,FALSE)</f>
        <v>ARBRON</v>
      </c>
      <c r="D110" s="1219" t="s">
        <v>486</v>
      </c>
      <c r="E110" s="733" t="s">
        <v>691</v>
      </c>
    </row>
    <row r="111" spans="2:12" ht="15" customHeight="1" x14ac:dyDescent="0.25">
      <c r="B111" s="1222" t="s">
        <v>234</v>
      </c>
      <c r="C111" s="1219" t="str">
        <f>VLOOKUP(C109,LISTPROD[],9,FALSE)</f>
        <v>500 ML</v>
      </c>
      <c r="D111" s="733"/>
    </row>
    <row r="112" spans="2:12" ht="15" customHeight="1" x14ac:dyDescent="0.25">
      <c r="B112" s="1222" t="s">
        <v>239</v>
      </c>
      <c r="C112" s="1224">
        <v>390</v>
      </c>
      <c r="D112" s="1218"/>
    </row>
    <row r="113" spans="1:29" ht="15" customHeight="1" x14ac:dyDescent="0.25">
      <c r="A113" s="1223" t="s">
        <v>707</v>
      </c>
      <c r="B113" s="1222" t="s">
        <v>240</v>
      </c>
      <c r="C113" s="1219"/>
      <c r="D113" s="733"/>
    </row>
    <row r="114" spans="1:29" ht="15" customHeight="1" x14ac:dyDescent="0.25">
      <c r="B114" s="1222" t="s">
        <v>238</v>
      </c>
      <c r="C114" s="733" t="s">
        <v>56</v>
      </c>
      <c r="D114" s="1218" t="s">
        <v>449</v>
      </c>
    </row>
    <row r="115" spans="1:29" ht="15" customHeight="1" x14ac:dyDescent="0.25">
      <c r="B115" s="1225" t="s">
        <v>410</v>
      </c>
      <c r="C115" s="753">
        <v>500</v>
      </c>
      <c r="D115" s="1226"/>
    </row>
    <row r="116" spans="1:29" ht="15" customHeight="1" x14ac:dyDescent="0.25">
      <c r="A116" s="1227"/>
      <c r="B116" s="1436" t="s">
        <v>404</v>
      </c>
      <c r="C116" s="1436"/>
      <c r="D116" s="1436"/>
      <c r="E116" s="1436"/>
      <c r="F116" s="1436"/>
      <c r="G116" s="1228"/>
      <c r="H116" s="1443" t="s">
        <v>416</v>
      </c>
      <c r="I116" s="1444"/>
    </row>
    <row r="117" spans="1:29" ht="34.5" customHeight="1" x14ac:dyDescent="0.25">
      <c r="A117" s="1229"/>
      <c r="B117" s="1403" t="s">
        <v>398</v>
      </c>
      <c r="C117" s="1404" t="s">
        <v>441</v>
      </c>
      <c r="D117" s="1405" t="s">
        <v>399</v>
      </c>
      <c r="E117" s="1406" t="s">
        <v>402</v>
      </c>
      <c r="F117" s="1405" t="s">
        <v>399</v>
      </c>
      <c r="G117" s="1405" t="s">
        <v>411</v>
      </c>
      <c r="H117" s="1417" t="s">
        <v>408</v>
      </c>
      <c r="I117" s="1418" t="s">
        <v>415</v>
      </c>
      <c r="K117" s="1236" t="s">
        <v>603</v>
      </c>
      <c r="L117" s="1237" t="s">
        <v>604</v>
      </c>
    </row>
    <row r="118" spans="1:29" ht="15" customHeight="1" x14ac:dyDescent="0.25">
      <c r="A118" s="1238"/>
      <c r="B118" s="1228" t="s">
        <v>248</v>
      </c>
      <c r="C118" s="1228">
        <v>1000</v>
      </c>
      <c r="D118" s="1239">
        <f>'Prec Materia Prima y Empaq'!$H$21</f>
        <v>15400</v>
      </c>
      <c r="E118" s="1240">
        <f>D118*19%</f>
        <v>2926</v>
      </c>
      <c r="F118" s="1241">
        <f>+E118+D118</f>
        <v>18326</v>
      </c>
      <c r="G118" s="1240">
        <f>F118/C118*H118</f>
        <v>14660.800000000001</v>
      </c>
      <c r="H118" s="1419">
        <v>800</v>
      </c>
      <c r="I118" s="1420" t="s">
        <v>450</v>
      </c>
      <c r="K118" s="1242">
        <f>H118/$C$112</f>
        <v>2.0512820512820511</v>
      </c>
      <c r="L118" s="1243">
        <f>F118/C118*K118</f>
        <v>37.591794871794868</v>
      </c>
    </row>
    <row r="119" spans="1:29" ht="15" customHeight="1" x14ac:dyDescent="0.25">
      <c r="A119" s="1238"/>
      <c r="B119" s="1228" t="s">
        <v>443</v>
      </c>
      <c r="C119" s="1228">
        <v>1000</v>
      </c>
      <c r="D119" s="1239">
        <f>'Prec Materia Prima y Empaq'!$H$11</f>
        <v>8000</v>
      </c>
      <c r="E119" s="1240">
        <f t="shared" ref="E119:E126" si="41">D119*19%</f>
        <v>1520</v>
      </c>
      <c r="F119" s="1241">
        <f t="shared" ref="F119:F125" si="42">+E119+D119</f>
        <v>9520</v>
      </c>
      <c r="G119" s="1240">
        <f t="shared" ref="G119:G121" si="43">F119/C119*H119</f>
        <v>5712</v>
      </c>
      <c r="H119" s="1419">
        <v>600</v>
      </c>
      <c r="I119" s="1420" t="s">
        <v>450</v>
      </c>
      <c r="K119" s="1242">
        <f t="shared" ref="K119:K131" si="44">H119/$C$112</f>
        <v>1.5384615384615385</v>
      </c>
      <c r="L119" s="1243">
        <f t="shared" ref="L119:L125" si="45">F119/C119*K119</f>
        <v>14.646153846153846</v>
      </c>
    </row>
    <row r="120" spans="1:29" ht="15" customHeight="1" x14ac:dyDescent="0.25">
      <c r="A120" s="1238"/>
      <c r="B120" s="1228" t="s">
        <v>253</v>
      </c>
      <c r="C120" s="1228">
        <v>1000</v>
      </c>
      <c r="D120" s="1239">
        <f>'Prec Materia Prima y Empaq'!$H$9</f>
        <v>5400</v>
      </c>
      <c r="E120" s="1240">
        <f t="shared" si="41"/>
        <v>1026</v>
      </c>
      <c r="F120" s="1241">
        <f t="shared" si="42"/>
        <v>6426</v>
      </c>
      <c r="G120" s="1240">
        <f t="shared" si="43"/>
        <v>3213</v>
      </c>
      <c r="H120" s="1419">
        <v>500</v>
      </c>
      <c r="I120" s="1420" t="s">
        <v>450</v>
      </c>
      <c r="K120" s="1242">
        <f t="shared" si="44"/>
        <v>1.2820512820512822</v>
      </c>
      <c r="L120" s="1243">
        <f t="shared" si="45"/>
        <v>8.2384615384615394</v>
      </c>
    </row>
    <row r="121" spans="1:29" ht="15" customHeight="1" x14ac:dyDescent="0.25">
      <c r="A121" s="1238"/>
      <c r="B121" s="1228" t="s">
        <v>261</v>
      </c>
      <c r="C121" s="1228">
        <v>1000</v>
      </c>
      <c r="D121" s="1239">
        <f>'Prec Materia Prima y Empaq'!$H$16</f>
        <v>14000</v>
      </c>
      <c r="E121" s="1240">
        <f t="shared" si="41"/>
        <v>2660</v>
      </c>
      <c r="F121" s="1241">
        <f t="shared" si="42"/>
        <v>16660</v>
      </c>
      <c r="G121" s="1240">
        <f t="shared" si="43"/>
        <v>3332</v>
      </c>
      <c r="H121" s="1419">
        <v>200</v>
      </c>
      <c r="I121" s="1420" t="s">
        <v>450</v>
      </c>
      <c r="K121" s="1242">
        <f t="shared" si="44"/>
        <v>0.51282051282051277</v>
      </c>
      <c r="L121" s="1243">
        <f t="shared" si="45"/>
        <v>8.5435897435897434</v>
      </c>
    </row>
    <row r="122" spans="1:29" ht="15" customHeight="1" x14ac:dyDescent="0.25">
      <c r="A122" s="1238"/>
      <c r="B122" s="1228" t="s">
        <v>562</v>
      </c>
      <c r="C122" s="1228">
        <v>1000</v>
      </c>
      <c r="D122" s="1239">
        <f>'Prec Materia Prima y Empaq'!$H$41</f>
        <v>80268</v>
      </c>
      <c r="E122" s="1240">
        <f t="shared" si="41"/>
        <v>15250.92</v>
      </c>
      <c r="F122" s="1241">
        <f t="shared" si="42"/>
        <v>95518.92</v>
      </c>
      <c r="G122" s="1240">
        <f>F122/C122*H122</f>
        <v>1910.3783999999998</v>
      </c>
      <c r="H122" s="1419">
        <v>20</v>
      </c>
      <c r="I122" s="1420" t="s">
        <v>450</v>
      </c>
      <c r="K122" s="1242">
        <f t="shared" si="44"/>
        <v>5.128205128205128E-2</v>
      </c>
      <c r="L122" s="1243">
        <f t="shared" si="45"/>
        <v>4.8984061538461532</v>
      </c>
    </row>
    <row r="123" spans="1:29" ht="15" customHeight="1" x14ac:dyDescent="0.25">
      <c r="A123" s="1238"/>
      <c r="B123" s="1228" t="s">
        <v>262</v>
      </c>
      <c r="C123" s="1228">
        <v>1000</v>
      </c>
      <c r="D123" s="1273">
        <f>'Prec Materia Prima y Empaq'!$H$55</f>
        <v>50522</v>
      </c>
      <c r="E123" s="1240">
        <f t="shared" si="41"/>
        <v>9599.18</v>
      </c>
      <c r="F123" s="1241">
        <f t="shared" si="42"/>
        <v>60121.18</v>
      </c>
      <c r="G123" s="1240">
        <f t="shared" ref="G123" si="46">F123/C123*H123</f>
        <v>6012.1180000000004</v>
      </c>
      <c r="H123" s="1419">
        <v>100</v>
      </c>
      <c r="I123" s="1420" t="s">
        <v>450</v>
      </c>
      <c r="K123" s="1242">
        <f t="shared" si="44"/>
        <v>0.25641025641025639</v>
      </c>
      <c r="L123" s="1243">
        <f t="shared" si="45"/>
        <v>15.415687179487179</v>
      </c>
    </row>
    <row r="124" spans="1:29" ht="15" customHeight="1" x14ac:dyDescent="0.25">
      <c r="A124" s="1238"/>
      <c r="B124" s="1228" t="s">
        <v>256</v>
      </c>
      <c r="C124" s="1228">
        <v>1000</v>
      </c>
      <c r="D124" s="1239">
        <f>'Prec Materia Prima y Empaq'!$H$54</f>
        <v>142131</v>
      </c>
      <c r="E124" s="1240">
        <f t="shared" ref="E124" si="47">D124*19%</f>
        <v>27004.89</v>
      </c>
      <c r="F124" s="1241">
        <f t="shared" ref="F124" si="48">+E124+D124</f>
        <v>169135.89</v>
      </c>
      <c r="G124" s="1240">
        <f t="shared" ref="G124" si="49">F124/C124*H124</f>
        <v>8456.7945</v>
      </c>
      <c r="H124" s="1419">
        <v>50</v>
      </c>
      <c r="I124" s="1420" t="s">
        <v>450</v>
      </c>
      <c r="K124" s="1242">
        <f t="shared" si="44"/>
        <v>0.12820512820512819</v>
      </c>
      <c r="L124" s="1243">
        <f t="shared" ref="L124" si="50">F124/C124*K124</f>
        <v>21.684088461538462</v>
      </c>
    </row>
    <row r="125" spans="1:29" ht="15" customHeight="1" x14ac:dyDescent="0.25">
      <c r="A125" s="1238"/>
      <c r="B125" s="1228" t="s">
        <v>382</v>
      </c>
      <c r="C125" s="1228">
        <v>3785</v>
      </c>
      <c r="D125" s="1239">
        <f>'Prec Materia Prima y Empaq'!$H$18</f>
        <v>24</v>
      </c>
      <c r="E125" s="1240">
        <f t="shared" si="41"/>
        <v>4.5600000000000005</v>
      </c>
      <c r="F125" s="1241">
        <f t="shared" si="42"/>
        <v>28.560000000000002</v>
      </c>
      <c r="G125" s="1240">
        <f>F125/C125*H125</f>
        <v>0.37727873183619554</v>
      </c>
      <c r="H125" s="1419">
        <v>50</v>
      </c>
      <c r="I125" s="1420" t="s">
        <v>450</v>
      </c>
      <c r="K125" s="1242">
        <f t="shared" si="44"/>
        <v>0.12820512820512819</v>
      </c>
      <c r="L125" s="1243">
        <f t="shared" si="45"/>
        <v>9.6738136368255262E-4</v>
      </c>
    </row>
    <row r="126" spans="1:29" ht="15" customHeight="1" x14ac:dyDescent="0.25">
      <c r="B126" s="1228" t="s">
        <v>251</v>
      </c>
      <c r="C126" s="1228">
        <v>1000</v>
      </c>
      <c r="D126" s="1239">
        <f>'Prec Materia Prima y Empaq'!$H$26</f>
        <v>45404</v>
      </c>
      <c r="E126" s="1240">
        <f t="shared" si="41"/>
        <v>8626.76</v>
      </c>
      <c r="F126" s="1241">
        <f t="shared" ref="F126:F131" si="51">+E126+D126</f>
        <v>54030.76</v>
      </c>
      <c r="G126" s="1241">
        <f>F126/C126*H126</f>
        <v>2701.538</v>
      </c>
      <c r="H126" s="1420">
        <v>50</v>
      </c>
      <c r="I126" s="1420" t="s">
        <v>450</v>
      </c>
      <c r="K126" s="1242">
        <f t="shared" si="44"/>
        <v>0.12820512820512819</v>
      </c>
      <c r="L126" s="1243">
        <f t="shared" ref="L126:L131" si="52">F126/C126*K126</f>
        <v>6.927020512820512</v>
      </c>
    </row>
    <row r="127" spans="1:29" ht="31.5" customHeight="1" x14ac:dyDescent="0.25">
      <c r="B127" s="1220" t="s">
        <v>247</v>
      </c>
      <c r="C127" s="1228">
        <v>1000</v>
      </c>
      <c r="D127" s="1244">
        <f>'Prec Materia Prima y Empaq'!$H$7</f>
        <v>50000</v>
      </c>
      <c r="E127" s="1240">
        <v>0</v>
      </c>
      <c r="F127" s="1241">
        <f t="shared" si="51"/>
        <v>50000</v>
      </c>
      <c r="G127" s="1240">
        <f>F127/C127*H127</f>
        <v>32.022471910112351</v>
      </c>
      <c r="H127" s="1421">
        <v>0.64044943820224698</v>
      </c>
      <c r="I127" s="1421" t="s">
        <v>453</v>
      </c>
      <c r="K127" s="1246">
        <f>H127/$C$378</f>
        <v>1.6421780466724281E-3</v>
      </c>
      <c r="L127" s="1243">
        <f>F127/C127*K127</f>
        <v>8.2108902333621406E-2</v>
      </c>
      <c r="N127" s="1220" t="s">
        <v>247</v>
      </c>
      <c r="O127" s="1247">
        <v>1</v>
      </c>
      <c r="P127" s="1240">
        <f>$F$391/$C$391*$O$391</f>
        <v>50</v>
      </c>
      <c r="Q127" s="1248"/>
      <c r="R127" s="1249" t="e">
        <f>P127/O116</f>
        <v>#DIV/0!</v>
      </c>
      <c r="S127" s="1248" t="e">
        <f>R127*1000</f>
        <v>#DIV/0!</v>
      </c>
      <c r="T127" s="1250">
        <f>O127/$O$380*1000</f>
        <v>2.5641025641025641E-3</v>
      </c>
      <c r="U127" s="1238">
        <f>T127*$M$380</f>
        <v>1</v>
      </c>
      <c r="Y127" s="1238"/>
      <c r="Z127" s="1238"/>
      <c r="AA127" s="1251"/>
      <c r="AC127" s="1252"/>
    </row>
    <row r="128" spans="1:29" ht="30.75" customHeight="1" x14ac:dyDescent="0.25">
      <c r="B128" s="1220" t="s">
        <v>493</v>
      </c>
      <c r="C128" s="1220">
        <v>1</v>
      </c>
      <c r="D128" s="1244">
        <f>'Prec Materia Prima y Empaq'!$H$142</f>
        <v>650</v>
      </c>
      <c r="E128" s="1240">
        <v>0</v>
      </c>
      <c r="F128" s="1241">
        <f t="shared" si="51"/>
        <v>650</v>
      </c>
      <c r="G128" s="1253">
        <f t="shared" ref="G128:G131" si="53">F128*H128</f>
        <v>253500</v>
      </c>
      <c r="H128" s="1421">
        <f>$C$112</f>
        <v>390</v>
      </c>
      <c r="I128" s="1421" t="s">
        <v>453</v>
      </c>
      <c r="K128" s="1242">
        <f t="shared" si="44"/>
        <v>1</v>
      </c>
      <c r="L128" s="1243">
        <f t="shared" si="52"/>
        <v>650</v>
      </c>
    </row>
    <row r="129" spans="1:12" ht="15" customHeight="1" x14ac:dyDescent="0.25">
      <c r="B129" s="1220" t="s">
        <v>614</v>
      </c>
      <c r="C129" s="1220">
        <v>1</v>
      </c>
      <c r="D129" s="1244">
        <f>'Prec Materia Prima y Empaq'!$H$144</f>
        <v>70</v>
      </c>
      <c r="E129" s="1240">
        <v>0</v>
      </c>
      <c r="F129" s="1241">
        <f t="shared" si="51"/>
        <v>70</v>
      </c>
      <c r="G129" s="1253">
        <f t="shared" si="53"/>
        <v>27300</v>
      </c>
      <c r="H129" s="1421">
        <f>$C$112</f>
        <v>390</v>
      </c>
      <c r="I129" s="1421" t="s">
        <v>453</v>
      </c>
      <c r="K129" s="1242">
        <f t="shared" si="44"/>
        <v>1</v>
      </c>
      <c r="L129" s="1243">
        <f t="shared" si="52"/>
        <v>70</v>
      </c>
    </row>
    <row r="130" spans="1:12" ht="15" customHeight="1" x14ac:dyDescent="0.25">
      <c r="B130" s="1245" t="s">
        <v>503</v>
      </c>
      <c r="C130" s="1245">
        <v>1</v>
      </c>
      <c r="D130" s="1244">
        <f>'Prec Materia Prima y Empaq'!$H$143</f>
        <v>250</v>
      </c>
      <c r="E130" s="1240">
        <v>0</v>
      </c>
      <c r="F130" s="1241">
        <f t="shared" si="51"/>
        <v>250</v>
      </c>
      <c r="G130" s="1253">
        <f t="shared" si="53"/>
        <v>97500</v>
      </c>
      <c r="H130" s="1421">
        <f>$C$112</f>
        <v>390</v>
      </c>
      <c r="I130" s="1421" t="s">
        <v>453</v>
      </c>
      <c r="K130" s="1242">
        <f t="shared" si="44"/>
        <v>1</v>
      </c>
      <c r="L130" s="1243">
        <f t="shared" si="52"/>
        <v>250</v>
      </c>
    </row>
    <row r="131" spans="1:12" ht="39.75" customHeight="1" x14ac:dyDescent="0.25">
      <c r="A131" s="1275" t="s">
        <v>754</v>
      </c>
      <c r="B131" s="1276" t="s">
        <v>686</v>
      </c>
      <c r="C131" s="1277">
        <v>1</v>
      </c>
      <c r="D131" s="1278">
        <f>'Prec Materia Prima y Empaq'!$H$191</f>
        <v>0</v>
      </c>
      <c r="E131" s="1240">
        <v>0</v>
      </c>
      <c r="F131" s="1241">
        <f t="shared" si="51"/>
        <v>0</v>
      </c>
      <c r="G131" s="1253">
        <f t="shared" si="53"/>
        <v>0</v>
      </c>
      <c r="H131" s="1421">
        <f>$C$112</f>
        <v>390</v>
      </c>
      <c r="I131" s="1421" t="s">
        <v>453</v>
      </c>
      <c r="K131" s="1242">
        <f t="shared" si="44"/>
        <v>1</v>
      </c>
      <c r="L131" s="1243">
        <f t="shared" si="52"/>
        <v>0</v>
      </c>
    </row>
    <row r="132" spans="1:12" ht="19.5" customHeight="1" thickBot="1" x14ac:dyDescent="0.3">
      <c r="B132" s="1255"/>
      <c r="C132" s="857"/>
      <c r="D132" s="1256"/>
      <c r="E132" s="1248"/>
      <c r="F132" s="1257"/>
      <c r="G132" s="1258">
        <f>SUM(G118:G131)/$C$112</f>
        <v>1088.0282785913896</v>
      </c>
      <c r="H132" s="1259" t="s">
        <v>454</v>
      </c>
      <c r="I132" s="857"/>
      <c r="L132" s="1260">
        <f>SUM(L118:L131)</f>
        <v>1088.0282785913896</v>
      </c>
    </row>
    <row r="133" spans="1:12" ht="15" customHeight="1" thickTop="1" x14ac:dyDescent="0.25">
      <c r="B133" s="1261" t="s">
        <v>409</v>
      </c>
      <c r="C133" s="1412"/>
      <c r="D133" s="1413">
        <f>+'Gtos Varios'!I14</f>
        <v>3672.93</v>
      </c>
      <c r="E133" s="1412"/>
      <c r="F133" s="1414">
        <f t="shared" ref="F133" si="54">+E133+D133</f>
        <v>3672.93</v>
      </c>
      <c r="G133" s="1415">
        <f>F133</f>
        <v>3672.93</v>
      </c>
      <c r="H133" s="1412" t="str">
        <f>B133</f>
        <v xml:space="preserve">GASTOS VARIOS </v>
      </c>
      <c r="I133" s="1262"/>
    </row>
    <row r="134" spans="1:12" ht="15" customHeight="1" x14ac:dyDescent="0.25">
      <c r="B134" s="1255"/>
      <c r="C134" s="857"/>
      <c r="D134" s="1256"/>
      <c r="E134" s="1248"/>
      <c r="F134" s="1257"/>
      <c r="G134" s="1266"/>
      <c r="H134" s="857"/>
      <c r="I134" s="857"/>
    </row>
    <row r="135" spans="1:12" ht="15" customHeight="1" x14ac:dyDescent="0.25">
      <c r="B135" s="1255"/>
      <c r="C135" s="857"/>
      <c r="D135" s="1256"/>
      <c r="E135" s="1248"/>
      <c r="F135" s="1257"/>
      <c r="G135" s="1266"/>
      <c r="H135" s="857"/>
      <c r="I135" s="857"/>
    </row>
    <row r="136" spans="1:12" ht="15" customHeight="1" thickBot="1" x14ac:dyDescent="0.3">
      <c r="F136" s="1267">
        <f>SUM(F118:F131)</f>
        <v>480737.31</v>
      </c>
      <c r="G136" s="1268">
        <f>SUM(G132:G133)</f>
        <v>4760.9582785913899</v>
      </c>
      <c r="H136" s="733" t="s">
        <v>412</v>
      </c>
    </row>
    <row r="137" spans="1:12" ht="15" customHeight="1" thickTop="1" x14ac:dyDescent="0.25">
      <c r="G137" s="1257">
        <f>G136*73%</f>
        <v>3475.4995433717145</v>
      </c>
      <c r="H137" s="1274">
        <v>0.73</v>
      </c>
      <c r="I137" s="733" t="s">
        <v>539</v>
      </c>
    </row>
    <row r="138" spans="1:12" ht="23.25" customHeight="1" thickBot="1" x14ac:dyDescent="0.3">
      <c r="G138" s="1270">
        <f>G136+G137</f>
        <v>8236.4578219631039</v>
      </c>
      <c r="H138" s="733" t="s">
        <v>414</v>
      </c>
    </row>
    <row r="139" spans="1:12" ht="15" customHeight="1" thickTop="1" x14ac:dyDescent="0.25"/>
    <row r="143" spans="1:12" ht="15" customHeight="1" x14ac:dyDescent="0.25">
      <c r="B143" s="1222" t="s">
        <v>61</v>
      </c>
      <c r="C143" s="1219" t="s">
        <v>79</v>
      </c>
      <c r="D143" s="733"/>
    </row>
    <row r="144" spans="1:12" ht="15" customHeight="1" x14ac:dyDescent="0.25">
      <c r="B144" s="1222" t="s">
        <v>62</v>
      </c>
      <c r="C144" s="1219" t="str">
        <f>VLOOKUP(C143,LISTPROD[],2,FALSE)</f>
        <v>ARTERIO VENOSO</v>
      </c>
      <c r="D144" s="1219" t="s">
        <v>486</v>
      </c>
      <c r="E144" s="733" t="s">
        <v>487</v>
      </c>
    </row>
    <row r="145" spans="1:29" ht="15" customHeight="1" x14ac:dyDescent="0.25">
      <c r="B145" s="1222" t="s">
        <v>234</v>
      </c>
      <c r="C145" s="1219" t="str">
        <f>VLOOKUP(C143,LISTPROD[],9,FALSE)</f>
        <v>500 ML</v>
      </c>
      <c r="D145" s="733"/>
    </row>
    <row r="146" spans="1:29" ht="15" customHeight="1" x14ac:dyDescent="0.25">
      <c r="A146" s="1223" t="s">
        <v>720</v>
      </c>
      <c r="B146" s="1222" t="s">
        <v>239</v>
      </c>
      <c r="C146" s="1224">
        <v>420</v>
      </c>
      <c r="D146" s="1218"/>
    </row>
    <row r="147" spans="1:29" ht="15" customHeight="1" x14ac:dyDescent="0.25">
      <c r="B147" s="1222" t="s">
        <v>240</v>
      </c>
      <c r="C147" s="1219"/>
      <c r="D147" s="733"/>
    </row>
    <row r="148" spans="1:29" ht="15" customHeight="1" x14ac:dyDescent="0.25">
      <c r="B148" s="1222" t="s">
        <v>238</v>
      </c>
      <c r="C148" s="733" t="s">
        <v>56</v>
      </c>
      <c r="D148" s="857" t="s">
        <v>449</v>
      </c>
    </row>
    <row r="149" spans="1:29" ht="15" customHeight="1" x14ac:dyDescent="0.25">
      <c r="B149" s="1225" t="s">
        <v>410</v>
      </c>
      <c r="C149" s="753">
        <v>500</v>
      </c>
      <c r="D149" s="1226"/>
    </row>
    <row r="150" spans="1:29" ht="15" customHeight="1" x14ac:dyDescent="0.25">
      <c r="A150" s="1227"/>
      <c r="B150" s="1436" t="s">
        <v>404</v>
      </c>
      <c r="C150" s="1436"/>
      <c r="D150" s="1436"/>
      <c r="E150" s="1436"/>
      <c r="F150" s="1436"/>
      <c r="G150" s="1228"/>
      <c r="H150" s="1437" t="s">
        <v>416</v>
      </c>
      <c r="I150" s="1438"/>
    </row>
    <row r="151" spans="1:29" ht="57" customHeight="1" x14ac:dyDescent="0.25">
      <c r="A151" s="1229"/>
      <c r="B151" s="1230" t="s">
        <v>398</v>
      </c>
      <c r="C151" s="1231" t="s">
        <v>441</v>
      </c>
      <c r="D151" s="1232" t="s">
        <v>399</v>
      </c>
      <c r="E151" s="1233" t="s">
        <v>402</v>
      </c>
      <c r="F151" s="1232" t="s">
        <v>399</v>
      </c>
      <c r="G151" s="1232" t="s">
        <v>411</v>
      </c>
      <c r="H151" s="1234" t="s">
        <v>408</v>
      </c>
      <c r="I151" s="1235" t="s">
        <v>415</v>
      </c>
      <c r="K151" s="1236" t="s">
        <v>603</v>
      </c>
      <c r="L151" s="1237" t="s">
        <v>604</v>
      </c>
    </row>
    <row r="152" spans="1:29" ht="15" customHeight="1" x14ac:dyDescent="0.25">
      <c r="A152" s="1238"/>
      <c r="B152" s="1228" t="s">
        <v>248</v>
      </c>
      <c r="C152" s="1228">
        <v>1000</v>
      </c>
      <c r="D152" s="1239">
        <f>'Prec Materia Prima y Empaq'!$H$21</f>
        <v>15400</v>
      </c>
      <c r="E152" s="1240">
        <f>D152*19%</f>
        <v>2926</v>
      </c>
      <c r="F152" s="1241">
        <f>+E152+D152</f>
        <v>18326</v>
      </c>
      <c r="G152" s="1240">
        <f>F152/C152*H152</f>
        <v>14660.800000000001</v>
      </c>
      <c r="H152" s="1242">
        <v>800</v>
      </c>
      <c r="I152" s="1228" t="s">
        <v>450</v>
      </c>
      <c r="K152" s="1242">
        <f>H152/$C$146</f>
        <v>1.9047619047619047</v>
      </c>
      <c r="L152" s="1243">
        <f>F152/C152*K152</f>
        <v>34.906666666666666</v>
      </c>
    </row>
    <row r="153" spans="1:29" ht="15" customHeight="1" x14ac:dyDescent="0.25">
      <c r="A153" s="1238"/>
      <c r="B153" s="1228" t="s">
        <v>443</v>
      </c>
      <c r="C153" s="1228">
        <v>1000</v>
      </c>
      <c r="D153" s="1239">
        <f>'Prec Materia Prima y Empaq'!$H$11</f>
        <v>8000</v>
      </c>
      <c r="E153" s="1240">
        <f t="shared" ref="E153:E159" si="55">D153*19%</f>
        <v>1520</v>
      </c>
      <c r="F153" s="1241">
        <f t="shared" ref="F153:F164" si="56">+E153+D153</f>
        <v>9520</v>
      </c>
      <c r="G153" s="1240">
        <f t="shared" ref="G153:G159" si="57">F153/C153*H153</f>
        <v>5712</v>
      </c>
      <c r="H153" s="1242">
        <f>300*2</f>
        <v>600</v>
      </c>
      <c r="I153" s="1228" t="s">
        <v>450</v>
      </c>
      <c r="K153" s="1242">
        <f t="shared" ref="K153:K166" si="58">H153/$C$146</f>
        <v>1.4285714285714286</v>
      </c>
      <c r="L153" s="1243">
        <f t="shared" ref="L153:L166" si="59">F153/C153*K153</f>
        <v>13.6</v>
      </c>
    </row>
    <row r="154" spans="1:29" ht="15" customHeight="1" x14ac:dyDescent="0.25">
      <c r="A154" s="1238"/>
      <c r="B154" s="1228" t="s">
        <v>253</v>
      </c>
      <c r="C154" s="1228">
        <v>1000</v>
      </c>
      <c r="D154" s="1239">
        <f>'Prec Materia Prima y Empaq'!$H$9</f>
        <v>5400</v>
      </c>
      <c r="E154" s="1240">
        <f t="shared" si="55"/>
        <v>1026</v>
      </c>
      <c r="F154" s="1241">
        <f t="shared" si="56"/>
        <v>6426</v>
      </c>
      <c r="G154" s="1240">
        <f t="shared" si="57"/>
        <v>6426</v>
      </c>
      <c r="H154" s="1242">
        <v>1000</v>
      </c>
      <c r="I154" s="1228" t="s">
        <v>450</v>
      </c>
      <c r="K154" s="1242">
        <f t="shared" si="58"/>
        <v>2.3809523809523809</v>
      </c>
      <c r="L154" s="1243">
        <f t="shared" si="59"/>
        <v>15.3</v>
      </c>
    </row>
    <row r="155" spans="1:29" ht="15" customHeight="1" x14ac:dyDescent="0.25">
      <c r="A155" s="1238"/>
      <c r="B155" s="1228" t="s">
        <v>261</v>
      </c>
      <c r="C155" s="1228">
        <v>1000</v>
      </c>
      <c r="D155" s="1239">
        <f>'Prec Materia Prima y Empaq'!$H$16</f>
        <v>14000</v>
      </c>
      <c r="E155" s="1240">
        <f t="shared" si="55"/>
        <v>2660</v>
      </c>
      <c r="F155" s="1241">
        <f t="shared" si="56"/>
        <v>16660</v>
      </c>
      <c r="G155" s="1240">
        <f t="shared" si="57"/>
        <v>3332</v>
      </c>
      <c r="H155" s="1242">
        <f>100*2</f>
        <v>200</v>
      </c>
      <c r="I155" s="1228" t="s">
        <v>450</v>
      </c>
      <c r="K155" s="1242">
        <f t="shared" si="58"/>
        <v>0.47619047619047616</v>
      </c>
      <c r="L155" s="1243">
        <f t="shared" si="59"/>
        <v>7.9333333333333327</v>
      </c>
    </row>
    <row r="156" spans="1:29" ht="15" customHeight="1" x14ac:dyDescent="0.25">
      <c r="A156" s="1238"/>
      <c r="B156" s="1228" t="s">
        <v>562</v>
      </c>
      <c r="C156" s="1228">
        <v>1000</v>
      </c>
      <c r="D156" s="1239">
        <f>'Prec Materia Prima y Empaq'!$H$41</f>
        <v>80268</v>
      </c>
      <c r="E156" s="1240">
        <f t="shared" si="55"/>
        <v>15250.92</v>
      </c>
      <c r="F156" s="1241">
        <f t="shared" si="56"/>
        <v>95518.92</v>
      </c>
      <c r="G156" s="1240">
        <f t="shared" si="57"/>
        <v>5731.1351999999997</v>
      </c>
      <c r="H156" s="1242">
        <f>30*2</f>
        <v>60</v>
      </c>
      <c r="I156" s="1228" t="s">
        <v>450</v>
      </c>
      <c r="K156" s="1242">
        <f t="shared" si="58"/>
        <v>0.14285714285714285</v>
      </c>
      <c r="L156" s="1243">
        <f t="shared" si="59"/>
        <v>13.645559999999998</v>
      </c>
    </row>
    <row r="157" spans="1:29" ht="15" customHeight="1" x14ac:dyDescent="0.25">
      <c r="A157" s="1238"/>
      <c r="B157" s="1228" t="s">
        <v>262</v>
      </c>
      <c r="C157" s="1228">
        <v>1000</v>
      </c>
      <c r="D157" s="1273">
        <f>'Prec Materia Prima y Empaq'!$H$55</f>
        <v>50522</v>
      </c>
      <c r="E157" s="1240">
        <f t="shared" si="55"/>
        <v>9599.18</v>
      </c>
      <c r="F157" s="1241">
        <f t="shared" si="56"/>
        <v>60121.18</v>
      </c>
      <c r="G157" s="1240">
        <f t="shared" si="57"/>
        <v>6012.1180000000004</v>
      </c>
      <c r="H157" s="1242">
        <f>50*2</f>
        <v>100</v>
      </c>
      <c r="I157" s="1228" t="s">
        <v>450</v>
      </c>
      <c r="K157" s="1242">
        <f t="shared" si="58"/>
        <v>0.23809523809523808</v>
      </c>
      <c r="L157" s="1243">
        <f t="shared" si="59"/>
        <v>14.314566666666666</v>
      </c>
    </row>
    <row r="158" spans="1:29" ht="15" customHeight="1" x14ac:dyDescent="0.25">
      <c r="A158" s="1238"/>
      <c r="B158" s="1228" t="s">
        <v>268</v>
      </c>
      <c r="C158" s="1228">
        <v>1000</v>
      </c>
      <c r="D158" s="1273">
        <f>'Prec Materia Prima y Empaq'!$H$31</f>
        <v>20000</v>
      </c>
      <c r="E158" s="1240"/>
      <c r="F158" s="1241">
        <f t="shared" si="56"/>
        <v>20000</v>
      </c>
      <c r="G158" s="1240">
        <f t="shared" si="57"/>
        <v>6000</v>
      </c>
      <c r="H158" s="1242">
        <v>300</v>
      </c>
      <c r="I158" s="1228" t="s">
        <v>450</v>
      </c>
      <c r="K158" s="1242">
        <f t="shared" si="58"/>
        <v>0.7142857142857143</v>
      </c>
      <c r="L158" s="1243">
        <f t="shared" si="59"/>
        <v>14.285714285714286</v>
      </c>
    </row>
    <row r="159" spans="1:29" ht="15" customHeight="1" x14ac:dyDescent="0.25">
      <c r="A159" s="1238"/>
      <c r="B159" s="1228" t="s">
        <v>382</v>
      </c>
      <c r="C159" s="1228">
        <v>3785</v>
      </c>
      <c r="D159" s="1239">
        <f>'Prec Materia Prima y Empaq'!$H$18</f>
        <v>24</v>
      </c>
      <c r="E159" s="1240">
        <f t="shared" si="55"/>
        <v>4.5600000000000005</v>
      </c>
      <c r="F159" s="1241">
        <f t="shared" si="56"/>
        <v>28.560000000000002</v>
      </c>
      <c r="G159" s="1240">
        <f t="shared" si="57"/>
        <v>0.75455746367239107</v>
      </c>
      <c r="H159" s="1242">
        <f>50*2</f>
        <v>100</v>
      </c>
      <c r="I159" s="1228" t="s">
        <v>450</v>
      </c>
      <c r="K159" s="1242">
        <f t="shared" si="58"/>
        <v>0.23809523809523808</v>
      </c>
      <c r="L159" s="1243">
        <f t="shared" si="59"/>
        <v>1.7965653896961692E-3</v>
      </c>
    </row>
    <row r="160" spans="1:29" ht="31.5" customHeight="1" x14ac:dyDescent="0.25">
      <c r="B160" s="1220" t="s">
        <v>247</v>
      </c>
      <c r="C160" s="1228">
        <v>1000</v>
      </c>
      <c r="D160" s="1244">
        <f>'Prec Materia Prima y Empaq'!$H$7</f>
        <v>50000</v>
      </c>
      <c r="E160" s="1240">
        <v>0</v>
      </c>
      <c r="F160" s="1241">
        <f t="shared" si="56"/>
        <v>50000</v>
      </c>
      <c r="G160" s="1240">
        <f>F160/C160*H160</f>
        <v>32.022471910112351</v>
      </c>
      <c r="H160" s="1245">
        <v>0.64044943820224698</v>
      </c>
      <c r="I160" s="1245" t="s">
        <v>453</v>
      </c>
      <c r="K160" s="1246">
        <f>H160/$C$378</f>
        <v>1.6421780466724281E-3</v>
      </c>
      <c r="L160" s="1243">
        <f>F160/C160*K160</f>
        <v>8.2108902333621406E-2</v>
      </c>
      <c r="N160" s="1220" t="s">
        <v>247</v>
      </c>
      <c r="O160" s="1247">
        <v>1</v>
      </c>
      <c r="P160" s="1240">
        <f>$F$391/$C$391*$O$391</f>
        <v>50</v>
      </c>
      <c r="Q160" s="1248"/>
      <c r="R160" s="1249" t="e">
        <f>P160/O149</f>
        <v>#DIV/0!</v>
      </c>
      <c r="S160" s="1248" t="e">
        <f>R160*1000</f>
        <v>#DIV/0!</v>
      </c>
      <c r="T160" s="1250">
        <f>O160/$O$380*1000</f>
        <v>2.5641025641025641E-3</v>
      </c>
      <c r="U160" s="1238">
        <f>T160*$M$380</f>
        <v>1</v>
      </c>
      <c r="Y160" s="1238"/>
      <c r="Z160" s="1238"/>
      <c r="AA160" s="1251"/>
      <c r="AC160" s="1252"/>
    </row>
    <row r="161" spans="2:12" ht="30.75" customHeight="1" x14ac:dyDescent="0.25">
      <c r="B161" s="1220" t="s">
        <v>485</v>
      </c>
      <c r="C161" s="1220">
        <v>1</v>
      </c>
      <c r="D161" s="1244">
        <f>'Prec Materia Prima y Empaq'!$H$138</f>
        <v>650</v>
      </c>
      <c r="E161" s="1240">
        <v>0</v>
      </c>
      <c r="F161" s="1241">
        <f t="shared" si="56"/>
        <v>650</v>
      </c>
      <c r="G161" s="1253">
        <f t="shared" ref="G161:G166" si="60">F161*H161</f>
        <v>273000</v>
      </c>
      <c r="H161" s="1245">
        <f>$C$146</f>
        <v>420</v>
      </c>
      <c r="I161" s="1245" t="s">
        <v>453</v>
      </c>
      <c r="K161" s="1242">
        <f t="shared" si="58"/>
        <v>1</v>
      </c>
      <c r="L161" s="1243">
        <f t="shared" si="59"/>
        <v>650</v>
      </c>
    </row>
    <row r="162" spans="2:12" ht="19.5" customHeight="1" x14ac:dyDescent="0.25">
      <c r="B162" s="1220" t="s">
        <v>614</v>
      </c>
      <c r="C162" s="1220">
        <v>1</v>
      </c>
      <c r="D162" s="1244">
        <f>'Prec Materia Prima y Empaq'!$H$144</f>
        <v>70</v>
      </c>
      <c r="E162" s="1240">
        <v>0</v>
      </c>
      <c r="F162" s="1241">
        <f t="shared" si="56"/>
        <v>70</v>
      </c>
      <c r="G162" s="1253">
        <f t="shared" si="60"/>
        <v>29400</v>
      </c>
      <c r="H162" s="1245">
        <f>H161</f>
        <v>420</v>
      </c>
      <c r="I162" s="1245" t="s">
        <v>453</v>
      </c>
      <c r="K162" s="1242">
        <f t="shared" si="58"/>
        <v>1</v>
      </c>
      <c r="L162" s="1243">
        <f t="shared" si="59"/>
        <v>70</v>
      </c>
    </row>
    <row r="163" spans="2:12" ht="51" customHeight="1" x14ac:dyDescent="0.25">
      <c r="B163" s="1220" t="s">
        <v>695</v>
      </c>
      <c r="C163" s="1245">
        <v>1</v>
      </c>
      <c r="D163" s="1272">
        <f>'Prec Materia Prima y Empaq'!$H$161</f>
        <v>300</v>
      </c>
      <c r="E163" s="1240">
        <v>0</v>
      </c>
      <c r="F163" s="1241">
        <f t="shared" si="56"/>
        <v>300</v>
      </c>
      <c r="G163" s="1253">
        <f t="shared" si="60"/>
        <v>126000</v>
      </c>
      <c r="H163" s="1245">
        <f t="shared" ref="H163:H164" si="61">H162</f>
        <v>420</v>
      </c>
      <c r="I163" s="1245" t="s">
        <v>453</v>
      </c>
      <c r="K163" s="1242">
        <f t="shared" si="58"/>
        <v>1</v>
      </c>
      <c r="L163" s="1243">
        <f t="shared" si="59"/>
        <v>300</v>
      </c>
    </row>
    <row r="164" spans="2:12" ht="31.5" customHeight="1" x14ac:dyDescent="0.25">
      <c r="B164" s="1279" t="s">
        <v>675</v>
      </c>
      <c r="C164" s="1245">
        <v>1</v>
      </c>
      <c r="D164" s="1272">
        <f>'Prec Materia Prima y Empaq'!$H$162</f>
        <v>100</v>
      </c>
      <c r="E164" s="1240"/>
      <c r="F164" s="1241">
        <f t="shared" si="56"/>
        <v>100</v>
      </c>
      <c r="G164" s="1253">
        <f t="shared" si="60"/>
        <v>42000</v>
      </c>
      <c r="H164" s="1245">
        <f t="shared" si="61"/>
        <v>420</v>
      </c>
      <c r="I164" s="1245" t="s">
        <v>453</v>
      </c>
      <c r="K164" s="1242">
        <f t="shared" si="58"/>
        <v>1</v>
      </c>
      <c r="L164" s="1243">
        <f t="shared" si="59"/>
        <v>100</v>
      </c>
    </row>
    <row r="165" spans="2:12" ht="15.75" customHeight="1" x14ac:dyDescent="0.25">
      <c r="B165" s="1220" t="s">
        <v>310</v>
      </c>
      <c r="C165" s="1245">
        <v>1</v>
      </c>
      <c r="D165" s="1272">
        <f>'Prec Materia Prima y Empaq'!$H$130</f>
        <v>100</v>
      </c>
      <c r="E165" s="1240">
        <v>0</v>
      </c>
      <c r="F165" s="1241">
        <f t="shared" ref="F165:F166" si="62">+E165+D165</f>
        <v>100</v>
      </c>
      <c r="G165" s="1253">
        <f t="shared" si="60"/>
        <v>42000</v>
      </c>
      <c r="H165" s="1245">
        <f>H162</f>
        <v>420</v>
      </c>
      <c r="I165" s="1245" t="s">
        <v>453</v>
      </c>
      <c r="K165" s="1242">
        <f t="shared" si="58"/>
        <v>1</v>
      </c>
      <c r="L165" s="1243">
        <f t="shared" si="59"/>
        <v>100</v>
      </c>
    </row>
    <row r="166" spans="2:12" ht="19.5" customHeight="1" x14ac:dyDescent="0.25">
      <c r="B166" s="1245" t="s">
        <v>309</v>
      </c>
      <c r="C166" s="1245">
        <v>1</v>
      </c>
      <c r="D166" s="1272">
        <f>'Prec Materia Prima y Empaq'!$H$129</f>
        <v>800</v>
      </c>
      <c r="E166" s="1240">
        <v>0</v>
      </c>
      <c r="F166" s="1241">
        <f t="shared" si="62"/>
        <v>800</v>
      </c>
      <c r="G166" s="1253">
        <f t="shared" si="60"/>
        <v>336000</v>
      </c>
      <c r="H166" s="1245">
        <f>H162</f>
        <v>420</v>
      </c>
      <c r="I166" s="1245" t="s">
        <v>453</v>
      </c>
      <c r="K166" s="1242">
        <f t="shared" si="58"/>
        <v>1</v>
      </c>
      <c r="L166" s="1243">
        <f t="shared" si="59"/>
        <v>800</v>
      </c>
    </row>
    <row r="167" spans="2:12" ht="19.5" customHeight="1" thickBot="1" x14ac:dyDescent="0.3">
      <c r="B167" s="1255"/>
      <c r="C167" s="857"/>
      <c r="D167" s="1256"/>
      <c r="E167" s="1248"/>
      <c r="F167" s="1257"/>
      <c r="G167" s="1280">
        <f>SUM(G152:G166)/C146</f>
        <v>2134.0638814985091</v>
      </c>
      <c r="H167" s="1259" t="s">
        <v>454</v>
      </c>
      <c r="I167" s="857"/>
      <c r="L167" s="1260">
        <f>SUM(L152:L166)</f>
        <v>2134.0697464201044</v>
      </c>
    </row>
    <row r="168" spans="2:12" ht="15" customHeight="1" thickTop="1" x14ac:dyDescent="0.25">
      <c r="B168" s="1261" t="s">
        <v>409</v>
      </c>
      <c r="C168" s="1262"/>
      <c r="D168" s="1263">
        <f>+'Gtos Varios'!I14</f>
        <v>3672.93</v>
      </c>
      <c r="E168" s="1262"/>
      <c r="F168" s="1264">
        <f t="shared" ref="F168" si="63">+E168+D168</f>
        <v>3672.93</v>
      </c>
      <c r="G168" s="1265">
        <f>F168</f>
        <v>3672.93</v>
      </c>
      <c r="H168" s="1262" t="str">
        <f>B168</f>
        <v xml:space="preserve">GASTOS VARIOS </v>
      </c>
      <c r="I168" s="857"/>
    </row>
    <row r="169" spans="2:12" ht="15" customHeight="1" x14ac:dyDescent="0.25">
      <c r="B169" s="1255"/>
      <c r="C169" s="857"/>
      <c r="D169" s="1256"/>
      <c r="E169" s="1248"/>
      <c r="F169" s="1257"/>
      <c r="G169" s="1266"/>
      <c r="H169" s="857"/>
      <c r="I169" s="857"/>
    </row>
    <row r="170" spans="2:12" ht="15" customHeight="1" x14ac:dyDescent="0.25">
      <c r="B170" s="1255"/>
      <c r="C170" s="857"/>
      <c r="D170" s="1256"/>
      <c r="E170" s="1248"/>
      <c r="F170" s="1257"/>
      <c r="G170" s="1266"/>
      <c r="H170" s="857"/>
      <c r="I170" s="857"/>
    </row>
    <row r="171" spans="2:12" ht="15" customHeight="1" thickBot="1" x14ac:dyDescent="0.3">
      <c r="F171" s="1267">
        <f>SUM(F152:F165)</f>
        <v>277820.65999999997</v>
      </c>
      <c r="G171" s="1268">
        <f>SUM(G167:G168)</f>
        <v>5806.9938814985089</v>
      </c>
      <c r="H171" s="733" t="s">
        <v>412</v>
      </c>
    </row>
    <row r="172" spans="2:12" ht="15" customHeight="1" thickTop="1" x14ac:dyDescent="0.25">
      <c r="G172" s="1257">
        <f>G171*58%</f>
        <v>3368.0564512691349</v>
      </c>
      <c r="H172" s="1274">
        <v>0.57999999999999996</v>
      </c>
      <c r="I172" s="733" t="s">
        <v>539</v>
      </c>
    </row>
    <row r="173" spans="2:12" ht="23.25" customHeight="1" thickBot="1" x14ac:dyDescent="0.3">
      <c r="G173" s="1270">
        <f>G171+G172</f>
        <v>9175.0503327676433</v>
      </c>
      <c r="H173" s="733" t="s">
        <v>414</v>
      </c>
    </row>
    <row r="174" spans="2:12" ht="15" customHeight="1" thickTop="1" x14ac:dyDescent="0.25"/>
    <row r="179" spans="1:12" ht="15" customHeight="1" x14ac:dyDescent="0.25">
      <c r="B179" s="1222" t="s">
        <v>61</v>
      </c>
      <c r="C179" s="1219" t="s">
        <v>85</v>
      </c>
      <c r="D179" s="733"/>
    </row>
    <row r="180" spans="1:12" ht="15" customHeight="1" x14ac:dyDescent="0.25">
      <c r="B180" s="1222" t="s">
        <v>62</v>
      </c>
      <c r="C180" s="1219" t="str">
        <f>VLOOKUP(C179,LISTPROD[],2,FALSE)</f>
        <v>BIL  PRO</v>
      </c>
      <c r="D180" s="1219" t="s">
        <v>486</v>
      </c>
      <c r="E180" s="733" t="s">
        <v>691</v>
      </c>
    </row>
    <row r="181" spans="1:12" ht="15" customHeight="1" x14ac:dyDescent="0.25">
      <c r="B181" s="1222" t="s">
        <v>234</v>
      </c>
      <c r="C181" s="1219" t="str">
        <f>VLOOKUP(C179,LISTPROD[],9,FALSE)</f>
        <v>500 ML</v>
      </c>
      <c r="D181" s="733"/>
    </row>
    <row r="182" spans="1:12" ht="15" customHeight="1" x14ac:dyDescent="0.25">
      <c r="A182" s="1223" t="s">
        <v>707</v>
      </c>
      <c r="B182" s="1222" t="s">
        <v>239</v>
      </c>
      <c r="C182" s="1224">
        <v>390</v>
      </c>
      <c r="D182" s="1218"/>
    </row>
    <row r="183" spans="1:12" ht="15" customHeight="1" x14ac:dyDescent="0.25">
      <c r="B183" s="1222" t="s">
        <v>240</v>
      </c>
      <c r="C183" s="1219"/>
      <c r="D183" s="733"/>
    </row>
    <row r="184" spans="1:12" ht="15" customHeight="1" x14ac:dyDescent="0.25">
      <c r="B184" s="1222" t="s">
        <v>238</v>
      </c>
      <c r="C184" s="733" t="s">
        <v>56</v>
      </c>
      <c r="D184" s="1218" t="s">
        <v>449</v>
      </c>
    </row>
    <row r="185" spans="1:12" ht="15" customHeight="1" x14ac:dyDescent="0.25">
      <c r="B185" s="1225" t="s">
        <v>410</v>
      </c>
      <c r="C185" s="753">
        <v>500</v>
      </c>
      <c r="D185" s="1226"/>
    </row>
    <row r="186" spans="1:12" ht="15" customHeight="1" x14ac:dyDescent="0.25">
      <c r="A186" s="1227"/>
      <c r="B186" s="1436" t="s">
        <v>404</v>
      </c>
      <c r="C186" s="1436"/>
      <c r="D186" s="1436"/>
      <c r="E186" s="1436"/>
      <c r="F186" s="1436"/>
      <c r="G186" s="1228"/>
      <c r="H186" s="1437" t="s">
        <v>416</v>
      </c>
      <c r="I186" s="1438"/>
    </row>
    <row r="187" spans="1:12" ht="34.5" customHeight="1" x14ac:dyDescent="0.25">
      <c r="A187" s="1229"/>
      <c r="B187" s="1230" t="s">
        <v>398</v>
      </c>
      <c r="C187" s="1231" t="s">
        <v>441</v>
      </c>
      <c r="D187" s="1232" t="s">
        <v>399</v>
      </c>
      <c r="E187" s="1233" t="s">
        <v>402</v>
      </c>
      <c r="F187" s="1232" t="s">
        <v>399</v>
      </c>
      <c r="G187" s="1232" t="s">
        <v>411</v>
      </c>
      <c r="H187" s="1234" t="s">
        <v>408</v>
      </c>
      <c r="I187" s="1235" t="s">
        <v>415</v>
      </c>
      <c r="K187" s="1236" t="s">
        <v>603</v>
      </c>
      <c r="L187" s="1237" t="s">
        <v>604</v>
      </c>
    </row>
    <row r="188" spans="1:12" ht="15" customHeight="1" x14ac:dyDescent="0.25">
      <c r="A188" s="1238"/>
      <c r="B188" s="1228" t="s">
        <v>248</v>
      </c>
      <c r="C188" s="1228">
        <v>1000</v>
      </c>
      <c r="D188" s="1239">
        <f>'Prec Materia Prima y Empaq'!$H$21</f>
        <v>15400</v>
      </c>
      <c r="E188" s="1240">
        <f>D188*19%</f>
        <v>2926</v>
      </c>
      <c r="F188" s="1241">
        <f>+E188+D188</f>
        <v>18326</v>
      </c>
      <c r="G188" s="1240">
        <f>F188/C188*H188</f>
        <v>12828.2</v>
      </c>
      <c r="H188" s="1242">
        <v>700</v>
      </c>
      <c r="I188" s="1228" t="s">
        <v>450</v>
      </c>
      <c r="K188" s="1242">
        <f>H188/$C$182</f>
        <v>1.7948717948717949</v>
      </c>
      <c r="L188" s="1243">
        <f>F188/C188*K188</f>
        <v>32.892820512820514</v>
      </c>
    </row>
    <row r="189" spans="1:12" ht="15" customHeight="1" x14ac:dyDescent="0.25">
      <c r="A189" s="1238"/>
      <c r="B189" s="1228" t="s">
        <v>443</v>
      </c>
      <c r="C189" s="1228">
        <v>1000</v>
      </c>
      <c r="D189" s="1239">
        <f>'Prec Materia Prima y Empaq'!$H$11</f>
        <v>8000</v>
      </c>
      <c r="E189" s="1240">
        <f t="shared" ref="E189:E194" si="64">D189*19%</f>
        <v>1520</v>
      </c>
      <c r="F189" s="1241">
        <f t="shared" ref="F189:F198" si="65">+E189+D189</f>
        <v>9520</v>
      </c>
      <c r="G189" s="1240">
        <f t="shared" ref="G189:G190" si="66">F189/C189*H189</f>
        <v>5712</v>
      </c>
      <c r="H189" s="1242">
        <v>600</v>
      </c>
      <c r="I189" s="1228" t="s">
        <v>450</v>
      </c>
      <c r="K189" s="1242">
        <f t="shared" ref="K189:K199" si="67">H189/$C$182</f>
        <v>1.5384615384615385</v>
      </c>
      <c r="L189" s="1243">
        <f t="shared" ref="L189:L198" si="68">F189/C189*K189</f>
        <v>14.646153846153846</v>
      </c>
    </row>
    <row r="190" spans="1:12" ht="15" customHeight="1" x14ac:dyDescent="0.25">
      <c r="A190" s="1238"/>
      <c r="B190" s="1228" t="s">
        <v>253</v>
      </c>
      <c r="C190" s="1228">
        <v>1000</v>
      </c>
      <c r="D190" s="1239">
        <f>'Prec Materia Prima y Empaq'!$H$9</f>
        <v>5400</v>
      </c>
      <c r="E190" s="1240">
        <f t="shared" si="64"/>
        <v>1026</v>
      </c>
      <c r="F190" s="1241">
        <f t="shared" si="65"/>
        <v>6426</v>
      </c>
      <c r="G190" s="1240">
        <f t="shared" si="66"/>
        <v>6426</v>
      </c>
      <c r="H190" s="1242">
        <v>1000</v>
      </c>
      <c r="I190" s="1228" t="s">
        <v>450</v>
      </c>
      <c r="K190" s="1242">
        <f t="shared" si="67"/>
        <v>2.5641025641025643</v>
      </c>
      <c r="L190" s="1243">
        <f t="shared" si="68"/>
        <v>16.476923076923079</v>
      </c>
    </row>
    <row r="191" spans="1:12" ht="15" customHeight="1" x14ac:dyDescent="0.25">
      <c r="A191" s="1238"/>
      <c r="B191" s="1228" t="s">
        <v>261</v>
      </c>
      <c r="C191" s="1228">
        <v>1000</v>
      </c>
      <c r="D191" s="1239">
        <f>'Prec Materia Prima y Empaq'!$H$16</f>
        <v>14000</v>
      </c>
      <c r="E191" s="1240">
        <f t="shared" si="64"/>
        <v>2660</v>
      </c>
      <c r="F191" s="1241">
        <f t="shared" si="65"/>
        <v>16660</v>
      </c>
      <c r="G191" s="1240">
        <f>F191/C191*H191</f>
        <v>3332</v>
      </c>
      <c r="H191" s="1242">
        <v>200</v>
      </c>
      <c r="I191" s="1228" t="s">
        <v>450</v>
      </c>
      <c r="K191" s="1242">
        <f t="shared" si="67"/>
        <v>0.51282051282051277</v>
      </c>
      <c r="L191" s="1243">
        <f t="shared" si="68"/>
        <v>8.5435897435897434</v>
      </c>
    </row>
    <row r="192" spans="1:12" ht="15" customHeight="1" x14ac:dyDescent="0.25">
      <c r="A192" s="1238"/>
      <c r="B192" s="1228" t="s">
        <v>245</v>
      </c>
      <c r="C192" s="1228">
        <v>1000</v>
      </c>
      <c r="D192" s="1239">
        <f>'Prec Materia Prima y Empaq'!$H$44</f>
        <v>52325</v>
      </c>
      <c r="E192" s="1240">
        <f t="shared" si="64"/>
        <v>9941.75</v>
      </c>
      <c r="F192" s="1241">
        <f t="shared" si="65"/>
        <v>62266.75</v>
      </c>
      <c r="G192" s="1240">
        <f t="shared" ref="G192:G193" si="69">F192/C192*H192</f>
        <v>12453.35</v>
      </c>
      <c r="H192" s="1242">
        <v>200</v>
      </c>
      <c r="I192" s="1228" t="s">
        <v>450</v>
      </c>
      <c r="K192" s="1242">
        <f t="shared" si="67"/>
        <v>0.51282051282051277</v>
      </c>
      <c r="L192" s="1243">
        <f t="shared" si="68"/>
        <v>31.931666666666665</v>
      </c>
    </row>
    <row r="193" spans="1:29" ht="15" customHeight="1" x14ac:dyDescent="0.25">
      <c r="A193" s="1238"/>
      <c r="B193" s="1228" t="s">
        <v>246</v>
      </c>
      <c r="C193" s="1228">
        <v>1000</v>
      </c>
      <c r="D193" s="1239">
        <f>'Prec Materia Prima y Empaq'!$H$41</f>
        <v>80268</v>
      </c>
      <c r="E193" s="1240">
        <f t="shared" si="64"/>
        <v>15250.92</v>
      </c>
      <c r="F193" s="1241">
        <f t="shared" si="65"/>
        <v>95518.92</v>
      </c>
      <c r="G193" s="1240">
        <f t="shared" si="69"/>
        <v>1910.3783999999998</v>
      </c>
      <c r="H193" s="1242">
        <v>20</v>
      </c>
      <c r="I193" s="1228" t="s">
        <v>450</v>
      </c>
      <c r="K193" s="1242">
        <f t="shared" si="67"/>
        <v>5.128205128205128E-2</v>
      </c>
      <c r="L193" s="1243">
        <f t="shared" si="68"/>
        <v>4.8984061538461532</v>
      </c>
    </row>
    <row r="194" spans="1:29" ht="15" customHeight="1" x14ac:dyDescent="0.25">
      <c r="A194" s="1238"/>
      <c r="B194" s="1228" t="s">
        <v>382</v>
      </c>
      <c r="C194" s="1228">
        <v>3785</v>
      </c>
      <c r="D194" s="1239">
        <f>'Prec Materia Prima y Empaq'!$H$18</f>
        <v>24</v>
      </c>
      <c r="E194" s="1240">
        <f t="shared" si="64"/>
        <v>4.5600000000000005</v>
      </c>
      <c r="F194" s="1241">
        <f t="shared" si="65"/>
        <v>28.560000000000002</v>
      </c>
      <c r="G194" s="1240">
        <f>F194/C194*H194</f>
        <v>0.75455746367239107</v>
      </c>
      <c r="H194" s="1242">
        <f>50*2</f>
        <v>100</v>
      </c>
      <c r="I194" s="1228" t="s">
        <v>450</v>
      </c>
      <c r="K194" s="1242">
        <f t="shared" ref="K194" si="70">H194/$C$146</f>
        <v>0.23809523809523808</v>
      </c>
      <c r="L194" s="1243">
        <f t="shared" si="68"/>
        <v>1.7965653896961692E-3</v>
      </c>
    </row>
    <row r="195" spans="1:29" ht="31.5" customHeight="1" x14ac:dyDescent="0.25">
      <c r="B195" s="1220" t="s">
        <v>247</v>
      </c>
      <c r="C195" s="1228">
        <v>1000</v>
      </c>
      <c r="D195" s="1244">
        <f>'Prec Materia Prima y Empaq'!$H$7</f>
        <v>50000</v>
      </c>
      <c r="E195" s="1240">
        <v>0</v>
      </c>
      <c r="F195" s="1241">
        <f t="shared" si="65"/>
        <v>50000</v>
      </c>
      <c r="G195" s="1240">
        <f>F195/C195*H195</f>
        <v>32.022471910112351</v>
      </c>
      <c r="H195" s="1245">
        <v>0.64044943820224698</v>
      </c>
      <c r="I195" s="1245" t="s">
        <v>453</v>
      </c>
      <c r="K195" s="1246">
        <f>H195/$C$378</f>
        <v>1.6421780466724281E-3</v>
      </c>
      <c r="L195" s="1243">
        <f>F195/C195*K195</f>
        <v>8.2108902333621406E-2</v>
      </c>
      <c r="N195" s="1220" t="s">
        <v>247</v>
      </c>
      <c r="O195" s="1247">
        <v>1</v>
      </c>
      <c r="P195" s="1240">
        <f>$F$391/$C$391*$O$391</f>
        <v>50</v>
      </c>
      <c r="Q195" s="1248"/>
      <c r="R195" s="1249" t="e">
        <f>P195/O184</f>
        <v>#DIV/0!</v>
      </c>
      <c r="S195" s="1248" t="e">
        <f>R195*1000</f>
        <v>#DIV/0!</v>
      </c>
      <c r="T195" s="1250">
        <f>O195/$O$380*1000</f>
        <v>2.5641025641025641E-3</v>
      </c>
      <c r="U195" s="1238">
        <f>T195*$M$380</f>
        <v>1</v>
      </c>
      <c r="Y195" s="1238"/>
      <c r="Z195" s="1238"/>
      <c r="AA195" s="1251"/>
      <c r="AC195" s="1252"/>
    </row>
    <row r="196" spans="1:29" ht="30.75" customHeight="1" x14ac:dyDescent="0.25">
      <c r="B196" s="1220" t="s">
        <v>493</v>
      </c>
      <c r="C196" s="1220">
        <v>1</v>
      </c>
      <c r="D196" s="1244">
        <f>'Prec Materia Prima y Empaq'!$H$138</f>
        <v>650</v>
      </c>
      <c r="E196" s="1240">
        <v>0</v>
      </c>
      <c r="F196" s="1241">
        <f t="shared" si="65"/>
        <v>650</v>
      </c>
      <c r="G196" s="1253">
        <f t="shared" ref="G196:G199" si="71">F196*H196</f>
        <v>253500</v>
      </c>
      <c r="H196" s="1245">
        <f>$C$182</f>
        <v>390</v>
      </c>
      <c r="I196" s="1245" t="s">
        <v>453</v>
      </c>
      <c r="K196" s="1242">
        <f t="shared" si="67"/>
        <v>1</v>
      </c>
      <c r="L196" s="1243">
        <f t="shared" si="68"/>
        <v>650</v>
      </c>
    </row>
    <row r="197" spans="1:29" ht="15" customHeight="1" x14ac:dyDescent="0.25">
      <c r="B197" s="1220" t="s">
        <v>614</v>
      </c>
      <c r="C197" s="1220">
        <v>1</v>
      </c>
      <c r="D197" s="1244">
        <f>'Prec Materia Prima y Empaq'!$H$144</f>
        <v>70</v>
      </c>
      <c r="E197" s="1240">
        <v>0</v>
      </c>
      <c r="F197" s="1241">
        <f t="shared" si="65"/>
        <v>70</v>
      </c>
      <c r="G197" s="1253">
        <f t="shared" si="71"/>
        <v>27300</v>
      </c>
      <c r="H197" s="1245">
        <f t="shared" ref="H197:H199" si="72">$C$182</f>
        <v>390</v>
      </c>
      <c r="I197" s="1245" t="s">
        <v>453</v>
      </c>
      <c r="K197" s="1242">
        <f>H197/$C$182</f>
        <v>1</v>
      </c>
      <c r="L197" s="1243">
        <f t="shared" si="68"/>
        <v>70</v>
      </c>
    </row>
    <row r="198" spans="1:29" ht="27" customHeight="1" x14ac:dyDescent="0.25">
      <c r="B198" s="1245" t="s">
        <v>452</v>
      </c>
      <c r="C198" s="1245">
        <v>1</v>
      </c>
      <c r="D198" s="1244">
        <f>'Prec Materia Prima y Empaq'!$H$140</f>
        <v>120</v>
      </c>
      <c r="E198" s="1240">
        <v>0</v>
      </c>
      <c r="F198" s="1241">
        <f t="shared" si="65"/>
        <v>120</v>
      </c>
      <c r="G198" s="1253">
        <f t="shared" si="71"/>
        <v>46800</v>
      </c>
      <c r="H198" s="1245">
        <f t="shared" si="72"/>
        <v>390</v>
      </c>
      <c r="I198" s="1245" t="s">
        <v>453</v>
      </c>
      <c r="K198" s="1242">
        <f t="shared" si="67"/>
        <v>1</v>
      </c>
      <c r="L198" s="1243">
        <f t="shared" si="68"/>
        <v>120</v>
      </c>
    </row>
    <row r="199" spans="1:29" ht="51" customHeight="1" x14ac:dyDescent="0.25">
      <c r="A199" s="1048" t="s">
        <v>754</v>
      </c>
      <c r="B199" s="1281" t="s">
        <v>694</v>
      </c>
      <c r="C199" s="1282">
        <v>1</v>
      </c>
      <c r="D199" s="1283">
        <f>'Prec Materia Prima y Empaq'!$H$190</f>
        <v>0</v>
      </c>
      <c r="E199" s="1240">
        <v>0</v>
      </c>
      <c r="F199" s="1241">
        <f t="shared" ref="F199" si="73">+E199+D199</f>
        <v>0</v>
      </c>
      <c r="G199" s="1253">
        <f t="shared" si="71"/>
        <v>0</v>
      </c>
      <c r="H199" s="1245">
        <f t="shared" si="72"/>
        <v>390</v>
      </c>
      <c r="I199" s="1245" t="s">
        <v>453</v>
      </c>
      <c r="K199" s="1242">
        <f t="shared" si="67"/>
        <v>1</v>
      </c>
      <c r="L199" s="1243">
        <f t="shared" ref="L199" si="74">F199/C199*K199</f>
        <v>0</v>
      </c>
    </row>
    <row r="200" spans="1:29" ht="19.5" customHeight="1" thickBot="1" x14ac:dyDescent="0.3">
      <c r="B200" s="1255"/>
      <c r="C200" s="857"/>
      <c r="D200" s="1256"/>
      <c r="E200" s="1248"/>
      <c r="F200" s="1257"/>
      <c r="G200" s="1258">
        <f>SUM(G188:G199)/$C$182</f>
        <v>949.47360366506098</v>
      </c>
      <c r="H200" s="1259" t="s">
        <v>454</v>
      </c>
      <c r="I200" s="857"/>
      <c r="L200" s="1260">
        <f>SUM(L188:L199)</f>
        <v>949.47346546772337</v>
      </c>
    </row>
    <row r="201" spans="1:29" ht="15" customHeight="1" thickTop="1" x14ac:dyDescent="0.25">
      <c r="B201" s="1261" t="s">
        <v>409</v>
      </c>
      <c r="C201" s="1262"/>
      <c r="D201" s="1263">
        <f>+'Gtos Varios'!I14</f>
        <v>3672.93</v>
      </c>
      <c r="E201" s="1262"/>
      <c r="F201" s="1264">
        <f t="shared" ref="F201" si="75">+E201+D201</f>
        <v>3672.93</v>
      </c>
      <c r="G201" s="1265">
        <f>F201</f>
        <v>3672.93</v>
      </c>
      <c r="H201" s="1262" t="str">
        <f>B201</f>
        <v xml:space="preserve">GASTOS VARIOS </v>
      </c>
      <c r="I201" s="1262"/>
    </row>
    <row r="202" spans="1:29" ht="15" customHeight="1" x14ac:dyDescent="0.25">
      <c r="B202" s="1255"/>
      <c r="C202" s="857"/>
      <c r="D202" s="1256"/>
      <c r="E202" s="1248"/>
      <c r="F202" s="1257"/>
      <c r="G202" s="1266"/>
      <c r="H202" s="857"/>
      <c r="I202" s="857"/>
    </row>
    <row r="203" spans="1:29" ht="15" customHeight="1" x14ac:dyDescent="0.25">
      <c r="B203" s="1255"/>
      <c r="C203" s="857"/>
      <c r="D203" s="1256"/>
      <c r="E203" s="1248"/>
      <c r="F203" s="1257"/>
      <c r="G203" s="1266"/>
      <c r="H203" s="857"/>
      <c r="I203" s="857"/>
    </row>
    <row r="204" spans="1:29" ht="15" customHeight="1" thickBot="1" x14ac:dyDescent="0.3">
      <c r="F204" s="1267">
        <f>SUM(F188:F199)</f>
        <v>259586.22999999998</v>
      </c>
      <c r="G204" s="1268">
        <f>SUM(G200:G201)</f>
        <v>4622.4036036650605</v>
      </c>
      <c r="H204" s="733" t="s">
        <v>412</v>
      </c>
    </row>
    <row r="205" spans="1:29" ht="15" customHeight="1" thickTop="1" x14ac:dyDescent="0.25">
      <c r="G205" s="1257">
        <f>G204*73%</f>
        <v>3374.3546306754943</v>
      </c>
      <c r="H205" s="1274">
        <v>0.73</v>
      </c>
      <c r="I205" s="733" t="s">
        <v>539</v>
      </c>
    </row>
    <row r="206" spans="1:29" ht="15" customHeight="1" thickBot="1" x14ac:dyDescent="0.3">
      <c r="G206" s="1270">
        <f>G204+G205</f>
        <v>7996.7582343405547</v>
      </c>
      <c r="H206" s="733" t="s">
        <v>414</v>
      </c>
    </row>
    <row r="207" spans="1:29" ht="15" customHeight="1" thickTop="1" x14ac:dyDescent="0.25"/>
    <row r="210" spans="1:12" ht="15" customHeight="1" x14ac:dyDescent="0.25">
      <c r="B210" s="1222" t="s">
        <v>61</v>
      </c>
      <c r="C210" s="1219" t="s">
        <v>87</v>
      </c>
      <c r="D210" s="733"/>
      <c r="I210" s="847"/>
      <c r="J210" s="847"/>
      <c r="K210" s="847"/>
      <c r="L210" s="848"/>
    </row>
    <row r="211" spans="1:12" ht="15" customHeight="1" x14ac:dyDescent="0.25">
      <c r="B211" s="1222" t="s">
        <v>62</v>
      </c>
      <c r="C211" s="1219" t="str">
        <f>VLOOKUP(C210,LISTPROD[],2,FALSE)</f>
        <v>BIO 44</v>
      </c>
      <c r="D211" s="733" t="s">
        <v>690</v>
      </c>
      <c r="E211" s="733" t="s">
        <v>487</v>
      </c>
      <c r="I211" s="847"/>
      <c r="J211" s="847"/>
      <c r="K211" s="847"/>
      <c r="L211" s="848"/>
    </row>
    <row r="212" spans="1:12" ht="15" customHeight="1" x14ac:dyDescent="0.25">
      <c r="B212" s="1222" t="s">
        <v>234</v>
      </c>
      <c r="C212" s="1219" t="str">
        <f>VLOOKUP(C210,LISTPROD[],9,FALSE)</f>
        <v>500 ML</v>
      </c>
      <c r="D212" s="733"/>
      <c r="I212" s="847"/>
      <c r="J212" s="847"/>
      <c r="K212" s="847"/>
      <c r="L212" s="848"/>
    </row>
    <row r="213" spans="1:12" ht="15" customHeight="1" x14ac:dyDescent="0.25">
      <c r="A213" s="1223" t="s">
        <v>707</v>
      </c>
      <c r="B213" s="1222" t="s">
        <v>239</v>
      </c>
      <c r="C213" s="1224">
        <v>420</v>
      </c>
      <c r="D213" s="1218"/>
      <c r="I213" s="847"/>
      <c r="J213" s="847"/>
      <c r="K213" s="847"/>
      <c r="L213" s="848"/>
    </row>
    <row r="214" spans="1:12" ht="15" customHeight="1" x14ac:dyDescent="0.25">
      <c r="B214" s="1222" t="s">
        <v>240</v>
      </c>
      <c r="C214" s="1219"/>
      <c r="D214" s="733"/>
    </row>
    <row r="215" spans="1:12" ht="15" customHeight="1" x14ac:dyDescent="0.25">
      <c r="B215" s="1222" t="s">
        <v>238</v>
      </c>
      <c r="C215" s="733" t="s">
        <v>56</v>
      </c>
      <c r="D215" s="1218" t="s">
        <v>449</v>
      </c>
    </row>
    <row r="216" spans="1:12" ht="15" customHeight="1" x14ac:dyDescent="0.25">
      <c r="B216" s="1225" t="s">
        <v>410</v>
      </c>
      <c r="C216" s="753">
        <v>500</v>
      </c>
      <c r="D216" s="1226"/>
    </row>
    <row r="217" spans="1:12" ht="15" customHeight="1" x14ac:dyDescent="0.25">
      <c r="A217" s="1227"/>
      <c r="B217" s="1436" t="s">
        <v>404</v>
      </c>
      <c r="C217" s="1436"/>
      <c r="D217" s="1436"/>
      <c r="E217" s="1436"/>
      <c r="F217" s="1436"/>
      <c r="G217" s="1228"/>
      <c r="H217" s="1437" t="s">
        <v>416</v>
      </c>
      <c r="I217" s="1438"/>
    </row>
    <row r="218" spans="1:12" ht="34.5" customHeight="1" x14ac:dyDescent="0.25">
      <c r="A218" s="1229"/>
      <c r="B218" s="1230" t="s">
        <v>398</v>
      </c>
      <c r="C218" s="1231" t="s">
        <v>441</v>
      </c>
      <c r="D218" s="1232" t="s">
        <v>399</v>
      </c>
      <c r="E218" s="1233" t="s">
        <v>402</v>
      </c>
      <c r="F218" s="1232" t="s">
        <v>399</v>
      </c>
      <c r="G218" s="1232" t="s">
        <v>411</v>
      </c>
      <c r="H218" s="1234" t="s">
        <v>408</v>
      </c>
      <c r="I218" s="1235" t="s">
        <v>415</v>
      </c>
      <c r="K218" s="1236" t="s">
        <v>603</v>
      </c>
      <c r="L218" s="1237" t="s">
        <v>604</v>
      </c>
    </row>
    <row r="219" spans="1:12" ht="15" customHeight="1" x14ac:dyDescent="0.25">
      <c r="A219" s="1238"/>
      <c r="B219" s="1228" t="s">
        <v>248</v>
      </c>
      <c r="C219" s="1228">
        <v>1000</v>
      </c>
      <c r="D219" s="1239">
        <f>'Prec Materia Prima y Empaq'!$H$21</f>
        <v>15400</v>
      </c>
      <c r="E219" s="1240">
        <f>D219*19%</f>
        <v>2926</v>
      </c>
      <c r="F219" s="1241">
        <f>+E219+D219</f>
        <v>18326</v>
      </c>
      <c r="G219" s="1240">
        <f>F219/C219*H219</f>
        <v>12828.2</v>
      </c>
      <c r="H219" s="1242">
        <v>700</v>
      </c>
      <c r="I219" s="1228" t="s">
        <v>450</v>
      </c>
      <c r="K219" s="1242">
        <f>H219/$C$213</f>
        <v>1.6666666666666667</v>
      </c>
      <c r="L219" s="1243">
        <f>F219/C219*K219</f>
        <v>30.543333333333337</v>
      </c>
    </row>
    <row r="220" spans="1:12" ht="15" customHeight="1" x14ac:dyDescent="0.25">
      <c r="A220" s="1238"/>
      <c r="B220" s="1228" t="s">
        <v>443</v>
      </c>
      <c r="C220" s="1228">
        <v>1000</v>
      </c>
      <c r="D220" s="1239">
        <f>'Prec Materia Prima y Empaq'!$H$11</f>
        <v>8000</v>
      </c>
      <c r="E220" s="1240">
        <f t="shared" ref="E220:E225" si="76">D220*19%</f>
        <v>1520</v>
      </c>
      <c r="F220" s="1241">
        <f t="shared" ref="F220:F231" si="77">+E220+D220</f>
        <v>9520</v>
      </c>
      <c r="G220" s="1240">
        <f t="shared" ref="G220:G221" si="78">F220/C220*H220</f>
        <v>3884.16</v>
      </c>
      <c r="H220" s="1242">
        <v>408</v>
      </c>
      <c r="I220" s="1228" t="s">
        <v>450</v>
      </c>
      <c r="K220" s="1242">
        <f t="shared" ref="K220:K231" si="79">H220/$C$213</f>
        <v>0.97142857142857142</v>
      </c>
      <c r="L220" s="1243">
        <f t="shared" ref="L220:L231" si="80">F220/C220*K220</f>
        <v>9.2479999999999993</v>
      </c>
    </row>
    <row r="221" spans="1:12" ht="15" customHeight="1" x14ac:dyDescent="0.25">
      <c r="A221" s="1238"/>
      <c r="B221" s="1228" t="s">
        <v>272</v>
      </c>
      <c r="C221" s="1228">
        <v>1000</v>
      </c>
      <c r="D221" s="1273">
        <f>'Prec Materia Prima y Empaq'!$H$15</f>
        <v>18000</v>
      </c>
      <c r="E221" s="1240">
        <f t="shared" si="76"/>
        <v>3420</v>
      </c>
      <c r="F221" s="1241">
        <f t="shared" si="77"/>
        <v>21420</v>
      </c>
      <c r="G221" s="1240">
        <f t="shared" si="78"/>
        <v>149940</v>
      </c>
      <c r="H221" s="1242">
        <v>7000</v>
      </c>
      <c r="I221" s="1228" t="s">
        <v>450</v>
      </c>
      <c r="K221" s="1242">
        <f t="shared" si="79"/>
        <v>16.666666666666668</v>
      </c>
      <c r="L221" s="1243">
        <f t="shared" si="80"/>
        <v>357.00000000000006</v>
      </c>
    </row>
    <row r="222" spans="1:12" ht="15" customHeight="1" x14ac:dyDescent="0.25">
      <c r="A222" s="1238"/>
      <c r="B222" s="1228" t="s">
        <v>261</v>
      </c>
      <c r="C222" s="1228">
        <v>1000</v>
      </c>
      <c r="D222" s="1239">
        <f>'Prec Materia Prima y Empaq'!$H$16</f>
        <v>14000</v>
      </c>
      <c r="E222" s="1240">
        <f t="shared" si="76"/>
        <v>2660</v>
      </c>
      <c r="F222" s="1241">
        <f t="shared" si="77"/>
        <v>16660</v>
      </c>
      <c r="G222" s="1240">
        <f>F222/C222*H222</f>
        <v>4264.96</v>
      </c>
      <c r="H222" s="1242">
        <v>256</v>
      </c>
      <c r="I222" s="1228" t="s">
        <v>450</v>
      </c>
      <c r="K222" s="1242">
        <f t="shared" si="79"/>
        <v>0.60952380952380958</v>
      </c>
      <c r="L222" s="1243">
        <f t="shared" si="80"/>
        <v>10.154666666666667</v>
      </c>
    </row>
    <row r="223" spans="1:12" ht="15" customHeight="1" x14ac:dyDescent="0.25">
      <c r="A223" s="1238"/>
      <c r="B223" s="1228" t="s">
        <v>296</v>
      </c>
      <c r="C223" s="1228">
        <v>1000</v>
      </c>
      <c r="D223" s="1273">
        <f>'Prec Materia Prima y Empaq'!$H$48</f>
        <v>65000</v>
      </c>
      <c r="E223" s="1240">
        <f t="shared" si="76"/>
        <v>12350</v>
      </c>
      <c r="F223" s="1241">
        <f t="shared" si="77"/>
        <v>77350</v>
      </c>
      <c r="G223" s="1240">
        <f t="shared" ref="G223:G224" si="81">F223/C223*H223</f>
        <v>8972.5999999999985</v>
      </c>
      <c r="H223" s="1242">
        <v>116</v>
      </c>
      <c r="I223" s="1228" t="s">
        <v>450</v>
      </c>
      <c r="K223" s="1242">
        <f t="shared" si="79"/>
        <v>0.27619047619047621</v>
      </c>
      <c r="L223" s="1243">
        <f t="shared" si="80"/>
        <v>21.363333333333333</v>
      </c>
    </row>
    <row r="224" spans="1:12" ht="15" customHeight="1" x14ac:dyDescent="0.25">
      <c r="A224" s="1238"/>
      <c r="B224" s="1228" t="s">
        <v>297</v>
      </c>
      <c r="C224" s="1228">
        <v>1000</v>
      </c>
      <c r="D224" s="1273">
        <f>'Prec Materia Prima y Empaq'!$H$39</f>
        <v>210084.03</v>
      </c>
      <c r="E224" s="1240">
        <f t="shared" si="76"/>
        <v>39915.965700000001</v>
      </c>
      <c r="F224" s="1241">
        <f t="shared" si="77"/>
        <v>249999.9957</v>
      </c>
      <c r="G224" s="1240">
        <f t="shared" si="81"/>
        <v>16999.9997076</v>
      </c>
      <c r="H224" s="1242">
        <v>68</v>
      </c>
      <c r="I224" s="1228" t="s">
        <v>450</v>
      </c>
      <c r="K224" s="1242">
        <f t="shared" si="79"/>
        <v>0.16190476190476191</v>
      </c>
      <c r="L224" s="1243">
        <f t="shared" si="80"/>
        <v>40.476189779999999</v>
      </c>
    </row>
    <row r="225" spans="1:29" ht="15" customHeight="1" x14ac:dyDescent="0.25">
      <c r="A225" s="1238"/>
      <c r="B225" s="1228" t="s">
        <v>382</v>
      </c>
      <c r="C225" s="1228">
        <v>3785</v>
      </c>
      <c r="D225" s="1239">
        <f>'Prec Materia Prima y Empaq'!$H$18</f>
        <v>24</v>
      </c>
      <c r="E225" s="1240">
        <f t="shared" si="76"/>
        <v>4.5600000000000005</v>
      </c>
      <c r="F225" s="1241">
        <f t="shared" si="77"/>
        <v>28.560000000000002</v>
      </c>
      <c r="G225" s="1240">
        <f>F225/C225*H225</f>
        <v>0.75455746367239107</v>
      </c>
      <c r="H225" s="1242">
        <f>50*2</f>
        <v>100</v>
      </c>
      <c r="I225" s="1228" t="s">
        <v>450</v>
      </c>
      <c r="K225" s="1242">
        <f t="shared" ref="K225" si="82">H225/$C$146</f>
        <v>0.23809523809523808</v>
      </c>
      <c r="L225" s="1243">
        <f t="shared" si="80"/>
        <v>1.7965653896961692E-3</v>
      </c>
    </row>
    <row r="226" spans="1:29" ht="31.5" customHeight="1" x14ac:dyDescent="0.25">
      <c r="B226" s="1220" t="s">
        <v>247</v>
      </c>
      <c r="C226" s="1228">
        <v>1000</v>
      </c>
      <c r="D226" s="1244">
        <f>'Prec Materia Prima y Empaq'!$H$7</f>
        <v>50000</v>
      </c>
      <c r="E226" s="1240">
        <v>0</v>
      </c>
      <c r="F226" s="1241">
        <f t="shared" si="77"/>
        <v>50000</v>
      </c>
      <c r="G226" s="1240">
        <f>F226/C226*H226</f>
        <v>32.022471910112351</v>
      </c>
      <c r="H226" s="1245">
        <v>0.64044943820224698</v>
      </c>
      <c r="I226" s="1245" t="s">
        <v>453</v>
      </c>
      <c r="K226" s="1246">
        <f>H226/$C$378</f>
        <v>1.6421780466724281E-3</v>
      </c>
      <c r="L226" s="1243">
        <f>F226/C226*K226</f>
        <v>8.2108902333621406E-2</v>
      </c>
      <c r="N226" s="1220" t="s">
        <v>247</v>
      </c>
      <c r="O226" s="1247">
        <v>1</v>
      </c>
      <c r="P226" s="1240">
        <f>$F$391/$C$391*$O$391</f>
        <v>50</v>
      </c>
      <c r="Q226" s="1248"/>
      <c r="R226" s="1249" t="e">
        <f>P226/O215</f>
        <v>#DIV/0!</v>
      </c>
      <c r="S226" s="1248" t="e">
        <f>R226*1000</f>
        <v>#DIV/0!</v>
      </c>
      <c r="T226" s="1250">
        <f>O226/$O$380*1000</f>
        <v>2.5641025641025641E-3</v>
      </c>
      <c r="U226" s="1238">
        <f>T226*$M$380</f>
        <v>1</v>
      </c>
      <c r="Y226" s="1238"/>
      <c r="Z226" s="1238"/>
      <c r="AA226" s="1251"/>
      <c r="AC226" s="1252"/>
    </row>
    <row r="227" spans="1:29" ht="30.75" customHeight="1" x14ac:dyDescent="0.25">
      <c r="B227" s="1220" t="s">
        <v>485</v>
      </c>
      <c r="C227" s="1220">
        <v>1</v>
      </c>
      <c r="D227" s="1244">
        <f>'Prec Materia Prima y Empaq'!$H$138</f>
        <v>650</v>
      </c>
      <c r="E227" s="1240">
        <v>0</v>
      </c>
      <c r="F227" s="1241">
        <f t="shared" si="77"/>
        <v>650</v>
      </c>
      <c r="G227" s="1253">
        <f>F227*H227</f>
        <v>273000</v>
      </c>
      <c r="H227" s="1245">
        <f>C213</f>
        <v>420</v>
      </c>
      <c r="I227" s="1245" t="s">
        <v>453</v>
      </c>
      <c r="K227" s="1242">
        <f t="shared" si="79"/>
        <v>1</v>
      </c>
      <c r="L227" s="1243">
        <f t="shared" si="80"/>
        <v>650</v>
      </c>
    </row>
    <row r="228" spans="1:29" ht="23.25" customHeight="1" x14ac:dyDescent="0.25">
      <c r="B228" s="1220" t="s">
        <v>614</v>
      </c>
      <c r="C228" s="1220">
        <v>1</v>
      </c>
      <c r="D228" s="1244">
        <f>'Prec Materia Prima y Empaq'!$H$144</f>
        <v>70</v>
      </c>
      <c r="E228" s="1240">
        <v>0</v>
      </c>
      <c r="F228" s="1241">
        <f t="shared" si="77"/>
        <v>70</v>
      </c>
      <c r="G228" s="1253">
        <f t="shared" ref="G228:G231" si="83">F228*H228</f>
        <v>29400</v>
      </c>
      <c r="H228" s="1245">
        <f>H227</f>
        <v>420</v>
      </c>
      <c r="I228" s="1245" t="s">
        <v>453</v>
      </c>
      <c r="K228" s="1242">
        <f t="shared" si="79"/>
        <v>1</v>
      </c>
      <c r="L228" s="1243">
        <f t="shared" si="80"/>
        <v>70</v>
      </c>
    </row>
    <row r="229" spans="1:29" ht="48.75" customHeight="1" x14ac:dyDescent="0.25">
      <c r="A229" s="1271"/>
      <c r="B229" s="1220" t="s">
        <v>695</v>
      </c>
      <c r="C229" s="1245">
        <v>1</v>
      </c>
      <c r="D229" s="1272">
        <f>'Prec Materia Prima y Empaq'!$H$161</f>
        <v>300</v>
      </c>
      <c r="E229" s="1240">
        <v>0</v>
      </c>
      <c r="F229" s="1241">
        <f t="shared" si="77"/>
        <v>300</v>
      </c>
      <c r="G229" s="1253">
        <f>F229*H229</f>
        <v>126000</v>
      </c>
      <c r="H229" s="1245">
        <f>H228</f>
        <v>420</v>
      </c>
      <c r="I229" s="1245"/>
      <c r="K229" s="1242">
        <f t="shared" si="79"/>
        <v>1</v>
      </c>
      <c r="L229" s="1243">
        <f t="shared" si="80"/>
        <v>300</v>
      </c>
    </row>
    <row r="230" spans="1:29" ht="15" customHeight="1" x14ac:dyDescent="0.25">
      <c r="B230" s="1220" t="s">
        <v>310</v>
      </c>
      <c r="C230" s="1245">
        <v>1</v>
      </c>
      <c r="D230" s="1244">
        <f>'Prec Materia Prima y Empaq'!$H$130</f>
        <v>100</v>
      </c>
      <c r="E230" s="1240">
        <v>0</v>
      </c>
      <c r="F230" s="1241">
        <f t="shared" si="77"/>
        <v>100</v>
      </c>
      <c r="G230" s="1253">
        <f t="shared" si="83"/>
        <v>42000</v>
      </c>
      <c r="H230" s="1245">
        <f>H228</f>
        <v>420</v>
      </c>
      <c r="I230" s="1245" t="s">
        <v>453</v>
      </c>
      <c r="K230" s="1242">
        <f t="shared" si="79"/>
        <v>1</v>
      </c>
      <c r="L230" s="1243">
        <f t="shared" si="80"/>
        <v>100</v>
      </c>
    </row>
    <row r="231" spans="1:29" ht="15" customHeight="1" x14ac:dyDescent="0.25">
      <c r="B231" s="1245" t="s">
        <v>309</v>
      </c>
      <c r="C231" s="1245">
        <v>1</v>
      </c>
      <c r="D231" s="1272">
        <f>'Prec Materia Prima y Empaq'!$H$129</f>
        <v>800</v>
      </c>
      <c r="E231" s="1240">
        <v>0</v>
      </c>
      <c r="F231" s="1241">
        <f t="shared" si="77"/>
        <v>800</v>
      </c>
      <c r="G231" s="1253">
        <f t="shared" si="83"/>
        <v>336000</v>
      </c>
      <c r="H231" s="1245">
        <f>H228</f>
        <v>420</v>
      </c>
      <c r="I231" s="1245" t="s">
        <v>453</v>
      </c>
      <c r="K231" s="1242">
        <f t="shared" si="79"/>
        <v>1</v>
      </c>
      <c r="L231" s="1243">
        <f t="shared" si="80"/>
        <v>800</v>
      </c>
    </row>
    <row r="232" spans="1:29" ht="19.5" customHeight="1" thickBot="1" x14ac:dyDescent="0.3">
      <c r="B232" s="1255"/>
      <c r="C232" s="857"/>
      <c r="D232" s="1256"/>
      <c r="E232" s="1248"/>
      <c r="F232" s="1257"/>
      <c r="G232" s="1258">
        <f>SUM(G219:G231)/$C$213</f>
        <v>2388.8635636594613</v>
      </c>
      <c r="H232" s="1259" t="s">
        <v>454</v>
      </c>
      <c r="I232" s="857"/>
      <c r="L232" s="1260">
        <f>SUM(L219:L231)</f>
        <v>2388.8694285810566</v>
      </c>
    </row>
    <row r="233" spans="1:29" ht="15" customHeight="1" thickTop="1" x14ac:dyDescent="0.25">
      <c r="B233" s="1261" t="s">
        <v>409</v>
      </c>
      <c r="C233" s="1262"/>
      <c r="D233" s="1263">
        <f>+'Gtos Varios'!I14</f>
        <v>3672.93</v>
      </c>
      <c r="E233" s="1262"/>
      <c r="F233" s="1264">
        <f t="shared" ref="F233" si="84">+E233+D233</f>
        <v>3672.93</v>
      </c>
      <c r="G233" s="1265">
        <f>F233</f>
        <v>3672.93</v>
      </c>
      <c r="H233" s="1262" t="str">
        <f>B233</f>
        <v xml:space="preserve">GASTOS VARIOS </v>
      </c>
      <c r="I233" s="1262"/>
    </row>
    <row r="234" spans="1:29" ht="15" customHeight="1" x14ac:dyDescent="0.25">
      <c r="B234" s="1255"/>
      <c r="C234" s="857"/>
      <c r="D234" s="1256"/>
      <c r="E234" s="1248"/>
      <c r="F234" s="1257"/>
      <c r="G234" s="1266"/>
      <c r="H234" s="857"/>
      <c r="I234" s="857"/>
    </row>
    <row r="235" spans="1:29" ht="15" customHeight="1" x14ac:dyDescent="0.25">
      <c r="B235" s="1255"/>
      <c r="C235" s="857"/>
      <c r="D235" s="1256"/>
      <c r="E235" s="1248"/>
      <c r="F235" s="1257"/>
      <c r="G235" s="1266"/>
      <c r="H235" s="857"/>
      <c r="I235" s="857"/>
    </row>
    <row r="236" spans="1:29" ht="15" customHeight="1" thickBot="1" x14ac:dyDescent="0.3">
      <c r="F236" s="1267">
        <f>SUM(F219:F231)</f>
        <v>445224.55569999997</v>
      </c>
      <c r="G236" s="1268">
        <f>SUM(G232:G233)</f>
        <v>6061.7935636594611</v>
      </c>
      <c r="H236" s="733" t="s">
        <v>412</v>
      </c>
    </row>
    <row r="237" spans="1:29" ht="15" customHeight="1" thickTop="1" x14ac:dyDescent="0.25">
      <c r="G237" s="1257">
        <f>G236*55%</f>
        <v>3333.9864600127039</v>
      </c>
      <c r="H237" s="1274">
        <v>0.55000000000000004</v>
      </c>
      <c r="I237" s="733" t="s">
        <v>539</v>
      </c>
    </row>
    <row r="238" spans="1:29" ht="15" customHeight="1" thickBot="1" x14ac:dyDescent="0.3">
      <c r="G238" s="1270">
        <f>G236+G237</f>
        <v>9395.780023672165</v>
      </c>
      <c r="H238" s="733" t="s">
        <v>414</v>
      </c>
    </row>
    <row r="239" spans="1:29" ht="15" customHeight="1" thickTop="1" x14ac:dyDescent="0.25"/>
    <row r="243" spans="1:12" ht="15" customHeight="1" x14ac:dyDescent="0.25">
      <c r="B243" s="1222" t="s">
        <v>61</v>
      </c>
      <c r="C243" s="1219" t="s">
        <v>89</v>
      </c>
      <c r="D243" s="733"/>
      <c r="E243" s="847"/>
      <c r="F243" s="847"/>
      <c r="G243" s="847"/>
      <c r="H243" s="847"/>
    </row>
    <row r="244" spans="1:12" ht="15" customHeight="1" x14ac:dyDescent="0.25">
      <c r="B244" s="1222" t="s">
        <v>62</v>
      </c>
      <c r="C244" s="1219" t="str">
        <f>VLOOKUP(C243,LISTPROD[],2,FALSE)</f>
        <v>BOTANPROS</v>
      </c>
      <c r="D244" s="1219" t="s">
        <v>486</v>
      </c>
      <c r="E244" s="847" t="s">
        <v>703</v>
      </c>
      <c r="F244" s="847"/>
      <c r="G244" s="847"/>
      <c r="H244" s="847"/>
    </row>
    <row r="245" spans="1:12" ht="15" customHeight="1" x14ac:dyDescent="0.25">
      <c r="B245" s="1222" t="s">
        <v>234</v>
      </c>
      <c r="C245" s="1219" t="str">
        <f>VLOOKUP(C243,LISTPROD[],9,FALSE)</f>
        <v>500 ML</v>
      </c>
      <c r="D245" s="733"/>
      <c r="E245" s="847"/>
      <c r="F245" s="847"/>
      <c r="G245" s="847"/>
      <c r="H245" s="847"/>
    </row>
    <row r="246" spans="1:12" ht="15" customHeight="1" x14ac:dyDescent="0.25">
      <c r="A246" s="1223" t="s">
        <v>697</v>
      </c>
      <c r="B246" s="1222" t="s">
        <v>239</v>
      </c>
      <c r="C246" s="1224">
        <v>390</v>
      </c>
      <c r="D246" s="1218"/>
      <c r="E246" s="847"/>
      <c r="F246" s="847"/>
      <c r="G246" s="847"/>
      <c r="H246" s="847"/>
    </row>
    <row r="247" spans="1:12" ht="15" customHeight="1" x14ac:dyDescent="0.25">
      <c r="B247" s="1222" t="s">
        <v>240</v>
      </c>
      <c r="C247" s="1219"/>
      <c r="D247" s="733"/>
    </row>
    <row r="248" spans="1:12" ht="15" customHeight="1" x14ac:dyDescent="0.25">
      <c r="B248" s="1222" t="s">
        <v>238</v>
      </c>
      <c r="C248" s="733" t="s">
        <v>56</v>
      </c>
      <c r="D248" s="1218" t="s">
        <v>449</v>
      </c>
    </row>
    <row r="249" spans="1:12" ht="15" customHeight="1" x14ac:dyDescent="0.25">
      <c r="B249" s="1225" t="s">
        <v>410</v>
      </c>
      <c r="C249" s="753">
        <v>500</v>
      </c>
      <c r="D249" s="1226"/>
    </row>
    <row r="250" spans="1:12" ht="20.25" customHeight="1" x14ac:dyDescent="0.25">
      <c r="A250" s="1227"/>
      <c r="B250" s="1436" t="s">
        <v>404</v>
      </c>
      <c r="C250" s="1436"/>
      <c r="D250" s="1436"/>
      <c r="E250" s="1436"/>
      <c r="F250" s="1436"/>
      <c r="G250" s="1228"/>
      <c r="H250" s="1437" t="s">
        <v>416</v>
      </c>
      <c r="I250" s="1438"/>
    </row>
    <row r="251" spans="1:12" ht="34.5" customHeight="1" x14ac:dyDescent="0.25">
      <c r="A251" s="1229"/>
      <c r="B251" s="1230" t="s">
        <v>398</v>
      </c>
      <c r="C251" s="1231" t="s">
        <v>441</v>
      </c>
      <c r="D251" s="1232" t="s">
        <v>399</v>
      </c>
      <c r="E251" s="1233" t="s">
        <v>402</v>
      </c>
      <c r="F251" s="1232" t="s">
        <v>399</v>
      </c>
      <c r="G251" s="1232" t="s">
        <v>411</v>
      </c>
      <c r="H251" s="1234" t="s">
        <v>408</v>
      </c>
      <c r="I251" s="1235" t="s">
        <v>415</v>
      </c>
      <c r="K251" s="1236" t="s">
        <v>603</v>
      </c>
      <c r="L251" s="1237" t="s">
        <v>604</v>
      </c>
    </row>
    <row r="252" spans="1:12" ht="15" customHeight="1" x14ac:dyDescent="0.25">
      <c r="A252" s="1238"/>
      <c r="B252" s="1228" t="s">
        <v>248</v>
      </c>
      <c r="C252" s="1228">
        <v>1000</v>
      </c>
      <c r="D252" s="1239">
        <f>'Prec Materia Prima y Empaq'!$H$21</f>
        <v>15400</v>
      </c>
      <c r="E252" s="1240">
        <f>D252*19%</f>
        <v>2926</v>
      </c>
      <c r="F252" s="1241">
        <f>+E252+D252</f>
        <v>18326</v>
      </c>
      <c r="G252" s="1240">
        <f>F252/C252*H252</f>
        <v>16493.400000000001</v>
      </c>
      <c r="H252" s="1242">
        <v>900</v>
      </c>
      <c r="I252" s="1228" t="s">
        <v>450</v>
      </c>
      <c r="K252" s="1242">
        <f>H252/$C$246</f>
        <v>2.3076923076923075</v>
      </c>
      <c r="L252" s="1243">
        <f>F252/C252*K252</f>
        <v>42.290769230769229</v>
      </c>
    </row>
    <row r="253" spans="1:12" ht="15" customHeight="1" x14ac:dyDescent="0.25">
      <c r="A253" s="1238"/>
      <c r="B253" s="1228" t="s">
        <v>443</v>
      </c>
      <c r="C253" s="1228">
        <v>1000</v>
      </c>
      <c r="D253" s="1239">
        <f>'Prec Materia Prima y Empaq'!$H$11</f>
        <v>8000</v>
      </c>
      <c r="E253" s="1240">
        <f t="shared" ref="E253:E258" si="85">D253*19%</f>
        <v>1520</v>
      </c>
      <c r="F253" s="1241">
        <f t="shared" ref="F253:F263" si="86">+E253+D253</f>
        <v>9520</v>
      </c>
      <c r="G253" s="1240">
        <f t="shared" ref="G253:G254" si="87">F253/C253*H253</f>
        <v>5712</v>
      </c>
      <c r="H253" s="1242">
        <v>600</v>
      </c>
      <c r="I253" s="1228" t="s">
        <v>450</v>
      </c>
      <c r="K253" s="1242">
        <f t="shared" ref="K253:K263" si="88">H253/$C$246</f>
        <v>1.5384615384615385</v>
      </c>
      <c r="L253" s="1243">
        <f t="shared" ref="L253:L263" si="89">F253/C253*K253</f>
        <v>14.646153846153846</v>
      </c>
    </row>
    <row r="254" spans="1:12" ht="15" customHeight="1" x14ac:dyDescent="0.25">
      <c r="A254" s="1238"/>
      <c r="B254" s="1228" t="s">
        <v>253</v>
      </c>
      <c r="C254" s="1228">
        <v>1000</v>
      </c>
      <c r="D254" s="1239">
        <f>'Prec Materia Prima y Empaq'!$H$9</f>
        <v>5400</v>
      </c>
      <c r="E254" s="1240">
        <f t="shared" si="85"/>
        <v>1026</v>
      </c>
      <c r="F254" s="1241">
        <f t="shared" si="86"/>
        <v>6426</v>
      </c>
      <c r="G254" s="1240">
        <f t="shared" si="87"/>
        <v>3213</v>
      </c>
      <c r="H254" s="1242">
        <v>500</v>
      </c>
      <c r="I254" s="1228" t="s">
        <v>450</v>
      </c>
      <c r="K254" s="1242">
        <f t="shared" si="88"/>
        <v>1.2820512820512822</v>
      </c>
      <c r="L254" s="1243">
        <f t="shared" si="89"/>
        <v>8.2384615384615394</v>
      </c>
    </row>
    <row r="255" spans="1:12" ht="15" customHeight="1" x14ac:dyDescent="0.25">
      <c r="A255" s="1238"/>
      <c r="B255" s="1228" t="s">
        <v>261</v>
      </c>
      <c r="C255" s="1228">
        <v>1000</v>
      </c>
      <c r="D255" s="1239">
        <f>'Prec Materia Prima y Empaq'!$H$16</f>
        <v>14000</v>
      </c>
      <c r="E255" s="1240">
        <f t="shared" si="85"/>
        <v>2660</v>
      </c>
      <c r="F255" s="1241">
        <f t="shared" si="86"/>
        <v>16660</v>
      </c>
      <c r="G255" s="1240">
        <f>F255/C255*H255</f>
        <v>3332</v>
      </c>
      <c r="H255" s="1242">
        <v>200</v>
      </c>
      <c r="I255" s="1228" t="s">
        <v>450</v>
      </c>
      <c r="K255" s="1242">
        <f>H255/$C$246</f>
        <v>0.51282051282051277</v>
      </c>
      <c r="L255" s="1243">
        <f t="shared" si="89"/>
        <v>8.5435897435897434</v>
      </c>
    </row>
    <row r="256" spans="1:12" ht="15" customHeight="1" x14ac:dyDescent="0.25">
      <c r="A256" s="1238"/>
      <c r="B256" s="1228" t="s">
        <v>245</v>
      </c>
      <c r="C256" s="1228">
        <v>1000</v>
      </c>
      <c r="D256" s="1239">
        <f>'Prec Materia Prima y Empaq'!$H$44</f>
        <v>52325</v>
      </c>
      <c r="E256" s="1240">
        <f t="shared" si="85"/>
        <v>9941.75</v>
      </c>
      <c r="F256" s="1241">
        <f t="shared" si="86"/>
        <v>62266.75</v>
      </c>
      <c r="G256" s="1240">
        <f t="shared" ref="G256:G257" si="90">F256/C256*H256</f>
        <v>6226.6750000000002</v>
      </c>
      <c r="H256" s="1242">
        <v>100</v>
      </c>
      <c r="I256" s="1228" t="s">
        <v>450</v>
      </c>
      <c r="K256" s="1242">
        <f t="shared" si="88"/>
        <v>0.25641025641025639</v>
      </c>
      <c r="L256" s="1243">
        <f t="shared" si="89"/>
        <v>15.965833333333332</v>
      </c>
    </row>
    <row r="257" spans="1:29" ht="15" customHeight="1" x14ac:dyDescent="0.25">
      <c r="A257" s="1238"/>
      <c r="B257" s="1228" t="s">
        <v>246</v>
      </c>
      <c r="C257" s="1228">
        <v>1000</v>
      </c>
      <c r="D257" s="1239">
        <f>'Prec Materia Prima y Empaq'!$H$41</f>
        <v>80268</v>
      </c>
      <c r="E257" s="1240">
        <f t="shared" si="85"/>
        <v>15250.92</v>
      </c>
      <c r="F257" s="1241">
        <f t="shared" si="86"/>
        <v>95518.92</v>
      </c>
      <c r="G257" s="1240">
        <f t="shared" si="90"/>
        <v>1910.3783999999998</v>
      </c>
      <c r="H257" s="1242">
        <v>20</v>
      </c>
      <c r="I257" s="1228" t="s">
        <v>450</v>
      </c>
      <c r="K257" s="1242">
        <f t="shared" si="88"/>
        <v>5.128205128205128E-2</v>
      </c>
      <c r="L257" s="1243">
        <f t="shared" si="89"/>
        <v>4.8984061538461532</v>
      </c>
    </row>
    <row r="258" spans="1:29" ht="15" customHeight="1" x14ac:dyDescent="0.25">
      <c r="A258" s="1238"/>
      <c r="B258" s="1228" t="s">
        <v>382</v>
      </c>
      <c r="C258" s="1228">
        <v>3785</v>
      </c>
      <c r="D258" s="1239">
        <f>'Prec Materia Prima y Empaq'!$H$18</f>
        <v>24</v>
      </c>
      <c r="E258" s="1240">
        <f t="shared" si="85"/>
        <v>4.5600000000000005</v>
      </c>
      <c r="F258" s="1241">
        <f t="shared" si="86"/>
        <v>28.560000000000002</v>
      </c>
      <c r="G258" s="1240">
        <f>F258/C258*H258</f>
        <v>0.75455746367239107</v>
      </c>
      <c r="H258" s="1242">
        <f>50*2</f>
        <v>100</v>
      </c>
      <c r="I258" s="1228" t="s">
        <v>450</v>
      </c>
      <c r="K258" s="1242">
        <f t="shared" ref="K258" si="91">H258/$C$146</f>
        <v>0.23809523809523808</v>
      </c>
      <c r="L258" s="1243">
        <f t="shared" si="89"/>
        <v>1.7965653896961692E-3</v>
      </c>
    </row>
    <row r="259" spans="1:29" ht="31.5" customHeight="1" x14ac:dyDescent="0.25">
      <c r="B259" s="1220" t="s">
        <v>247</v>
      </c>
      <c r="C259" s="1228">
        <v>1000</v>
      </c>
      <c r="D259" s="1244">
        <f>'Prec Materia Prima y Empaq'!$H$7</f>
        <v>50000</v>
      </c>
      <c r="E259" s="1240">
        <v>0</v>
      </c>
      <c r="F259" s="1241">
        <f t="shared" si="86"/>
        <v>50000</v>
      </c>
      <c r="G259" s="1240">
        <f>F259/C259*H259</f>
        <v>32.022471910112351</v>
      </c>
      <c r="H259" s="1245">
        <v>0.64044943820224698</v>
      </c>
      <c r="I259" s="1245" t="s">
        <v>453</v>
      </c>
      <c r="K259" s="1246">
        <f>H259/$C$378</f>
        <v>1.6421780466724281E-3</v>
      </c>
      <c r="L259" s="1243">
        <f>F259/C259*K259</f>
        <v>8.2108902333621406E-2</v>
      </c>
      <c r="N259" s="1220" t="s">
        <v>247</v>
      </c>
      <c r="O259" s="1247">
        <v>1</v>
      </c>
      <c r="P259" s="1240">
        <f>$F$391/$C$391*$O$391</f>
        <v>50</v>
      </c>
      <c r="Q259" s="1248"/>
      <c r="R259" s="1249" t="e">
        <f>P259/O248</f>
        <v>#DIV/0!</v>
      </c>
      <c r="S259" s="1248" t="e">
        <f>R259*1000</f>
        <v>#DIV/0!</v>
      </c>
      <c r="T259" s="1250">
        <f>O259/$O$380*1000</f>
        <v>2.5641025641025641E-3</v>
      </c>
      <c r="U259" s="1238">
        <f>T259*$M$380</f>
        <v>1</v>
      </c>
      <c r="Y259" s="1238"/>
      <c r="Z259" s="1238"/>
      <c r="AA259" s="1251"/>
      <c r="AC259" s="1252"/>
    </row>
    <row r="260" spans="1:29" ht="35.25" customHeight="1" x14ac:dyDescent="0.25">
      <c r="B260" s="1220" t="s">
        <v>704</v>
      </c>
      <c r="C260" s="1220">
        <v>1</v>
      </c>
      <c r="D260" s="1244">
        <f>'Prec Materia Prima y Empaq'!$H$126</f>
        <v>700</v>
      </c>
      <c r="E260" s="1240">
        <v>0</v>
      </c>
      <c r="F260" s="1241">
        <f t="shared" si="86"/>
        <v>700</v>
      </c>
      <c r="G260" s="1253">
        <f t="shared" ref="G260:G263" si="92">F260*H260</f>
        <v>273000</v>
      </c>
      <c r="H260" s="1245">
        <v>390</v>
      </c>
      <c r="I260" s="1245" t="s">
        <v>453</v>
      </c>
      <c r="K260" s="1242">
        <f t="shared" si="88"/>
        <v>1</v>
      </c>
      <c r="L260" s="1243">
        <f t="shared" si="89"/>
        <v>700</v>
      </c>
    </row>
    <row r="261" spans="1:29" ht="21" customHeight="1" x14ac:dyDescent="0.25">
      <c r="B261" s="1220" t="s">
        <v>614</v>
      </c>
      <c r="C261" s="1220">
        <v>1</v>
      </c>
      <c r="D261" s="1244">
        <f>'Prec Materia Prima y Empaq'!$H$144</f>
        <v>70</v>
      </c>
      <c r="E261" s="1240">
        <v>0</v>
      </c>
      <c r="F261" s="1241">
        <f t="shared" si="86"/>
        <v>70</v>
      </c>
      <c r="G261" s="1253">
        <f t="shared" si="92"/>
        <v>27300</v>
      </c>
      <c r="H261" s="1245">
        <f>H260</f>
        <v>390</v>
      </c>
      <c r="I261" s="1245" t="s">
        <v>453</v>
      </c>
      <c r="K261" s="1242">
        <f t="shared" si="88"/>
        <v>1</v>
      </c>
      <c r="L261" s="1243">
        <f t="shared" si="89"/>
        <v>70</v>
      </c>
    </row>
    <row r="262" spans="1:29" s="857" customFormat="1" ht="28.5" customHeight="1" x14ac:dyDescent="0.25">
      <c r="B262" s="1245" t="s">
        <v>452</v>
      </c>
      <c r="C262" s="1245">
        <v>1</v>
      </c>
      <c r="D262" s="1244">
        <f>'Prec Materia Prima y Empaq'!$H$140</f>
        <v>120</v>
      </c>
      <c r="E262" s="1253">
        <v>0</v>
      </c>
      <c r="F262" s="1284">
        <f t="shared" si="86"/>
        <v>120</v>
      </c>
      <c r="G262" s="1253">
        <f t="shared" si="92"/>
        <v>46800</v>
      </c>
      <c r="H262" s="1245">
        <f>H261</f>
        <v>390</v>
      </c>
      <c r="I262" s="1245" t="s">
        <v>453</v>
      </c>
      <c r="K262" s="1285">
        <f t="shared" si="88"/>
        <v>1</v>
      </c>
      <c r="L262" s="1286">
        <f t="shared" si="89"/>
        <v>120</v>
      </c>
    </row>
    <row r="263" spans="1:29" ht="47.25" customHeight="1" x14ac:dyDescent="0.25">
      <c r="A263" s="1048" t="s">
        <v>754</v>
      </c>
      <c r="B263" s="1287" t="s">
        <v>705</v>
      </c>
      <c r="C263" s="1277">
        <v>1</v>
      </c>
      <c r="D263" s="1244">
        <f>'Prec Materia Prima y Empaq'!$H$193</f>
        <v>0</v>
      </c>
      <c r="E263" s="1240">
        <v>0</v>
      </c>
      <c r="F263" s="1241">
        <f t="shared" si="86"/>
        <v>0</v>
      </c>
      <c r="G263" s="1253">
        <f t="shared" si="92"/>
        <v>0</v>
      </c>
      <c r="H263" s="1245">
        <f>H262</f>
        <v>390</v>
      </c>
      <c r="I263" s="1245" t="s">
        <v>453</v>
      </c>
      <c r="K263" s="1242">
        <f t="shared" si="88"/>
        <v>1</v>
      </c>
      <c r="L263" s="1243">
        <f t="shared" si="89"/>
        <v>0</v>
      </c>
    </row>
    <row r="264" spans="1:29" ht="19.5" customHeight="1" thickBot="1" x14ac:dyDescent="0.3">
      <c r="B264" s="1255"/>
      <c r="C264" s="857"/>
      <c r="D264" s="1256"/>
      <c r="E264" s="1248"/>
      <c r="F264" s="1257"/>
      <c r="G264" s="1258">
        <f>SUM(G252:G263)/$C$246</f>
        <v>984.66725751121487</v>
      </c>
      <c r="H264" s="1259" t="s">
        <v>454</v>
      </c>
      <c r="I264" s="857"/>
      <c r="L264" s="1260">
        <f>SUM(L252:L263)</f>
        <v>984.66711931387715</v>
      </c>
    </row>
    <row r="265" spans="1:29" ht="15" customHeight="1" thickTop="1" x14ac:dyDescent="0.25">
      <c r="B265" s="1261" t="s">
        <v>409</v>
      </c>
      <c r="C265" s="1262"/>
      <c r="D265" s="1263">
        <f>+'Gtos Varios'!I14</f>
        <v>3672.93</v>
      </c>
      <c r="E265" s="1262"/>
      <c r="F265" s="1264">
        <f t="shared" ref="F265" si="93">+E265+D265</f>
        <v>3672.93</v>
      </c>
      <c r="G265" s="1265">
        <f>F265</f>
        <v>3672.93</v>
      </c>
      <c r="H265" s="1262" t="str">
        <f>B265</f>
        <v xml:space="preserve">GASTOS VARIOS </v>
      </c>
      <c r="I265" s="857"/>
    </row>
    <row r="266" spans="1:29" ht="15" customHeight="1" x14ac:dyDescent="0.25">
      <c r="B266" s="1255"/>
      <c r="C266" s="857"/>
      <c r="D266" s="1256"/>
      <c r="E266" s="1248"/>
      <c r="F266" s="1257"/>
      <c r="G266" s="1266"/>
      <c r="H266" s="857"/>
      <c r="I266" s="857"/>
    </row>
    <row r="267" spans="1:29" ht="15" customHeight="1" x14ac:dyDescent="0.25">
      <c r="B267" s="1255"/>
      <c r="C267" s="857"/>
      <c r="D267" s="1256"/>
      <c r="E267" s="1248"/>
      <c r="F267" s="1257"/>
      <c r="G267" s="1266"/>
      <c r="H267" s="857"/>
      <c r="I267" s="857"/>
    </row>
    <row r="268" spans="1:29" ht="15" customHeight="1" thickBot="1" x14ac:dyDescent="0.3">
      <c r="F268" s="1267">
        <f>SUM(F252:F263)</f>
        <v>259636.22999999998</v>
      </c>
      <c r="G268" s="1268">
        <f>SUM(G264:G265)</f>
        <v>4657.5972575112146</v>
      </c>
      <c r="H268" s="733" t="s">
        <v>412</v>
      </c>
    </row>
    <row r="269" spans="1:29" ht="15" customHeight="1" thickTop="1" x14ac:dyDescent="0.25">
      <c r="G269" s="1257">
        <f>G268*72%</f>
        <v>3353.4700254080744</v>
      </c>
      <c r="H269" s="1274">
        <v>0.72</v>
      </c>
      <c r="I269" s="733" t="s">
        <v>539</v>
      </c>
    </row>
    <row r="270" spans="1:29" ht="15" customHeight="1" thickBot="1" x14ac:dyDescent="0.3">
      <c r="G270" s="1270">
        <f>G268+G269</f>
        <v>8011.067282919289</v>
      </c>
      <c r="H270" s="733" t="s">
        <v>414</v>
      </c>
    </row>
    <row r="271" spans="1:29" ht="15" customHeight="1" thickTop="1" x14ac:dyDescent="0.25"/>
    <row r="275" spans="1:12" ht="15" customHeight="1" x14ac:dyDescent="0.25">
      <c r="B275" s="1222" t="s">
        <v>61</v>
      </c>
      <c r="C275" s="1219" t="s">
        <v>91</v>
      </c>
      <c r="D275" s="733"/>
    </row>
    <row r="276" spans="1:12" ht="15" customHeight="1" x14ac:dyDescent="0.25">
      <c r="B276" s="1222" t="s">
        <v>62</v>
      </c>
      <c r="C276" s="1219" t="str">
        <f>VLOOKUP(C275,LISTPROD[],2,FALSE)</f>
        <v>CALCUBANO LT</v>
      </c>
      <c r="D276" s="1219" t="s">
        <v>486</v>
      </c>
      <c r="E276" s="733" t="s">
        <v>491</v>
      </c>
    </row>
    <row r="277" spans="1:12" ht="15" customHeight="1" x14ac:dyDescent="0.25">
      <c r="B277" s="1222" t="s">
        <v>234</v>
      </c>
      <c r="C277" s="1219" t="str">
        <f>VLOOKUP(C275,LISTPROD[],9,FALSE)</f>
        <v>1000 ML</v>
      </c>
      <c r="D277" s="733"/>
    </row>
    <row r="278" spans="1:12" ht="15" customHeight="1" x14ac:dyDescent="0.25">
      <c r="A278" s="1223" t="s">
        <v>697</v>
      </c>
      <c r="B278" s="1222" t="s">
        <v>239</v>
      </c>
      <c r="C278" s="1224">
        <v>220</v>
      </c>
      <c r="D278" s="1218"/>
    </row>
    <row r="279" spans="1:12" ht="15" customHeight="1" x14ac:dyDescent="0.25">
      <c r="B279" s="1222" t="s">
        <v>240</v>
      </c>
      <c r="C279" s="1219"/>
      <c r="D279" s="733"/>
    </row>
    <row r="280" spans="1:12" ht="15" customHeight="1" x14ac:dyDescent="0.25">
      <c r="B280" s="1222" t="s">
        <v>238</v>
      </c>
      <c r="C280" s="733" t="s">
        <v>56</v>
      </c>
      <c r="D280" s="1218" t="s">
        <v>449</v>
      </c>
    </row>
    <row r="281" spans="1:12" ht="15" customHeight="1" x14ac:dyDescent="0.25">
      <c r="B281" s="1225" t="s">
        <v>410</v>
      </c>
      <c r="C281" s="753">
        <v>1000</v>
      </c>
      <c r="D281" s="1226"/>
    </row>
    <row r="282" spans="1:12" ht="19.5" customHeight="1" x14ac:dyDescent="0.25">
      <c r="A282" s="1227"/>
      <c r="B282" s="1436" t="s">
        <v>404</v>
      </c>
      <c r="C282" s="1436"/>
      <c r="D282" s="1436"/>
      <c r="E282" s="1436"/>
      <c r="F282" s="1436"/>
      <c r="G282" s="1228"/>
      <c r="H282" s="1437" t="s">
        <v>416</v>
      </c>
      <c r="I282" s="1438"/>
    </row>
    <row r="283" spans="1:12" ht="46.5" customHeight="1" x14ac:dyDescent="0.25">
      <c r="A283" s="1229"/>
      <c r="B283" s="1230" t="s">
        <v>398</v>
      </c>
      <c r="C283" s="1231" t="s">
        <v>441</v>
      </c>
      <c r="D283" s="1232" t="s">
        <v>399</v>
      </c>
      <c r="E283" s="1233" t="s">
        <v>402</v>
      </c>
      <c r="F283" s="1232" t="s">
        <v>399</v>
      </c>
      <c r="G283" s="1232" t="s">
        <v>411</v>
      </c>
      <c r="H283" s="1234" t="s">
        <v>408</v>
      </c>
      <c r="I283" s="1235" t="s">
        <v>415</v>
      </c>
      <c r="K283" s="1236" t="s">
        <v>603</v>
      </c>
      <c r="L283" s="1237" t="s">
        <v>604</v>
      </c>
    </row>
    <row r="284" spans="1:12" ht="15" customHeight="1" x14ac:dyDescent="0.25">
      <c r="A284" s="1238"/>
      <c r="B284" s="1228" t="s">
        <v>248</v>
      </c>
      <c r="C284" s="1228">
        <v>1000</v>
      </c>
      <c r="D284" s="1239">
        <f>'Prec Materia Prima y Empaq'!$H$21</f>
        <v>15400</v>
      </c>
      <c r="E284" s="1240">
        <f>D284*19%</f>
        <v>2926</v>
      </c>
      <c r="F284" s="1241">
        <f>+E284+D284</f>
        <v>18326</v>
      </c>
      <c r="G284" s="1240">
        <f>F284/C284*H284</f>
        <v>12828.2</v>
      </c>
      <c r="H284" s="1242">
        <v>700</v>
      </c>
      <c r="I284" s="1228" t="s">
        <v>450</v>
      </c>
      <c r="K284" s="1242">
        <f>H284/$C$278</f>
        <v>3.1818181818181817</v>
      </c>
      <c r="L284" s="1243">
        <f>F284/C284*K284</f>
        <v>58.309999999999995</v>
      </c>
    </row>
    <row r="285" spans="1:12" ht="15" customHeight="1" x14ac:dyDescent="0.25">
      <c r="A285" s="1238"/>
      <c r="B285" s="1228" t="s">
        <v>443</v>
      </c>
      <c r="C285" s="1228">
        <v>1000</v>
      </c>
      <c r="D285" s="1239">
        <f>'Prec Materia Prima y Empaq'!$H$11</f>
        <v>8000</v>
      </c>
      <c r="E285" s="1240">
        <f t="shared" ref="E285:E290" si="94">D285*19%</f>
        <v>1520</v>
      </c>
      <c r="F285" s="1241">
        <f t="shared" ref="F285:F294" si="95">+E285+D285</f>
        <v>9520</v>
      </c>
      <c r="G285" s="1240">
        <f t="shared" ref="G285:G287" si="96">F285/C285*H285</f>
        <v>5712</v>
      </c>
      <c r="H285" s="1242">
        <v>600</v>
      </c>
      <c r="I285" s="1228" t="s">
        <v>450</v>
      </c>
      <c r="K285" s="1242">
        <f t="shared" ref="K285:K294" si="97">H285/$C$278</f>
        <v>2.7272727272727271</v>
      </c>
      <c r="L285" s="1243">
        <f t="shared" ref="L285:L294" si="98">F285/C285*K285</f>
        <v>25.963636363636361</v>
      </c>
    </row>
    <row r="286" spans="1:12" ht="15" customHeight="1" x14ac:dyDescent="0.25">
      <c r="A286" s="1238"/>
      <c r="B286" s="1228" t="s">
        <v>272</v>
      </c>
      <c r="C286" s="1228">
        <v>1000</v>
      </c>
      <c r="D286" s="1239">
        <f>'Prec Materia Prima y Empaq'!$H$15</f>
        <v>18000</v>
      </c>
      <c r="E286" s="1240">
        <f t="shared" si="94"/>
        <v>3420</v>
      </c>
      <c r="F286" s="1241">
        <f t="shared" si="95"/>
        <v>21420</v>
      </c>
      <c r="G286" s="1240">
        <f t="shared" si="96"/>
        <v>149940</v>
      </c>
      <c r="H286" s="1242">
        <v>7000</v>
      </c>
      <c r="I286" s="1228" t="s">
        <v>450</v>
      </c>
      <c r="K286" s="1242">
        <f t="shared" si="97"/>
        <v>31.818181818181817</v>
      </c>
      <c r="L286" s="1243">
        <f t="shared" si="98"/>
        <v>681.54545454545462</v>
      </c>
    </row>
    <row r="287" spans="1:12" ht="15" customHeight="1" x14ac:dyDescent="0.25">
      <c r="A287" s="1238"/>
      <c r="B287" s="1228" t="s">
        <v>261</v>
      </c>
      <c r="C287" s="1228">
        <v>1000</v>
      </c>
      <c r="D287" s="1239">
        <f>'Prec Materia Prima y Empaq'!$H$12</f>
        <v>4700</v>
      </c>
      <c r="E287" s="1240">
        <f t="shared" si="94"/>
        <v>893</v>
      </c>
      <c r="F287" s="1241">
        <f t="shared" si="95"/>
        <v>5593</v>
      </c>
      <c r="G287" s="1240">
        <f t="shared" si="96"/>
        <v>1677.9</v>
      </c>
      <c r="H287" s="1242">
        <v>300</v>
      </c>
      <c r="I287" s="1228" t="s">
        <v>450</v>
      </c>
      <c r="K287" s="1242">
        <f t="shared" si="97"/>
        <v>1.3636363636363635</v>
      </c>
      <c r="L287" s="1243">
        <f t="shared" si="98"/>
        <v>7.6268181818181811</v>
      </c>
    </row>
    <row r="288" spans="1:12" ht="15" customHeight="1" x14ac:dyDescent="0.25">
      <c r="A288" s="1238"/>
      <c r="B288" s="1228" t="s">
        <v>382</v>
      </c>
      <c r="C288" s="1228">
        <v>3785</v>
      </c>
      <c r="D288" s="1239">
        <f>'Prec Materia Prima y Empaq'!$H$18</f>
        <v>24</v>
      </c>
      <c r="E288" s="1240">
        <f t="shared" si="94"/>
        <v>4.5600000000000005</v>
      </c>
      <c r="F288" s="1241">
        <f t="shared" si="95"/>
        <v>28.560000000000002</v>
      </c>
      <c r="G288" s="1240">
        <f>F288/C288*H288</f>
        <v>0.37727873183619554</v>
      </c>
      <c r="H288" s="1242">
        <v>50</v>
      </c>
      <c r="I288" s="1228" t="s">
        <v>450</v>
      </c>
      <c r="K288" s="1242">
        <f t="shared" si="97"/>
        <v>0.22727272727272727</v>
      </c>
      <c r="L288" s="1243">
        <f t="shared" si="98"/>
        <v>1.7149033265281615E-3</v>
      </c>
    </row>
    <row r="289" spans="1:29" ht="15" customHeight="1" x14ac:dyDescent="0.25">
      <c r="A289" s="1238"/>
      <c r="B289" s="1228" t="s">
        <v>262</v>
      </c>
      <c r="C289" s="1228">
        <v>1000</v>
      </c>
      <c r="D289" s="1273">
        <f>'Prec Materia Prima y Empaq'!$H$55</f>
        <v>50522</v>
      </c>
      <c r="E289" s="1240">
        <f t="shared" si="94"/>
        <v>9599.18</v>
      </c>
      <c r="F289" s="1241">
        <f t="shared" si="95"/>
        <v>60121.18</v>
      </c>
      <c r="G289" s="1240">
        <f t="shared" ref="G289:G290" si="99">F289/C289*H289</f>
        <v>12024.236000000001</v>
      </c>
      <c r="H289" s="1242">
        <v>200</v>
      </c>
      <c r="I289" s="1228" t="s">
        <v>450</v>
      </c>
      <c r="K289" s="1242">
        <f t="shared" si="97"/>
        <v>0.90909090909090906</v>
      </c>
      <c r="L289" s="1243">
        <f t="shared" si="98"/>
        <v>54.655618181818184</v>
      </c>
    </row>
    <row r="290" spans="1:29" ht="15" customHeight="1" x14ac:dyDescent="0.25">
      <c r="A290" s="1238"/>
      <c r="B290" s="1228" t="s">
        <v>246</v>
      </c>
      <c r="C290" s="1228">
        <v>1000</v>
      </c>
      <c r="D290" s="1239">
        <f>'Prec Materia Prima y Empaq'!$H$41</f>
        <v>80268</v>
      </c>
      <c r="E290" s="1240">
        <f t="shared" si="94"/>
        <v>15250.92</v>
      </c>
      <c r="F290" s="1241">
        <f t="shared" si="95"/>
        <v>95518.92</v>
      </c>
      <c r="G290" s="1240">
        <f t="shared" si="99"/>
        <v>3820.7567999999997</v>
      </c>
      <c r="H290" s="1242">
        <v>40</v>
      </c>
      <c r="I290" s="1228" t="s">
        <v>450</v>
      </c>
      <c r="K290" s="1242">
        <f t="shared" si="97"/>
        <v>0.18181818181818182</v>
      </c>
      <c r="L290" s="1243">
        <f t="shared" si="98"/>
        <v>17.367076363636365</v>
      </c>
    </row>
    <row r="291" spans="1:29" ht="31.5" customHeight="1" x14ac:dyDescent="0.25">
      <c r="B291" s="1220" t="s">
        <v>247</v>
      </c>
      <c r="C291" s="1228">
        <v>1000</v>
      </c>
      <c r="D291" s="1244">
        <f>'Prec Materia Prima y Empaq'!$H$7</f>
        <v>50000</v>
      </c>
      <c r="E291" s="1240">
        <v>0</v>
      </c>
      <c r="F291" s="1241">
        <f t="shared" si="95"/>
        <v>50000</v>
      </c>
      <c r="G291" s="1240">
        <f>F291/C291*H291</f>
        <v>32.022471910112351</v>
      </c>
      <c r="H291" s="1245">
        <v>0.64044943820224698</v>
      </c>
      <c r="I291" s="1245" t="s">
        <v>453</v>
      </c>
      <c r="K291" s="1246">
        <f>H291/$C$378</f>
        <v>1.6421780466724281E-3</v>
      </c>
      <c r="L291" s="1243">
        <f>F291/C291*K291</f>
        <v>8.2108902333621406E-2</v>
      </c>
      <c r="N291" s="1220" t="s">
        <v>247</v>
      </c>
      <c r="O291" s="1247">
        <v>1</v>
      </c>
      <c r="P291" s="1240">
        <f>$F$391/$C$391*$O$391</f>
        <v>50</v>
      </c>
      <c r="Q291" s="1248"/>
      <c r="R291" s="1249" t="e">
        <f>P291/O280</f>
        <v>#DIV/0!</v>
      </c>
      <c r="S291" s="1248" t="e">
        <f>R291*1000</f>
        <v>#DIV/0!</v>
      </c>
      <c r="T291" s="1250">
        <f>O291/$O$380*1000</f>
        <v>2.5641025641025641E-3</v>
      </c>
      <c r="U291" s="1238">
        <f>T291*$M$380</f>
        <v>1</v>
      </c>
      <c r="Y291" s="1238"/>
      <c r="Z291" s="1238"/>
      <c r="AA291" s="1251"/>
      <c r="AC291" s="1252"/>
    </row>
    <row r="292" spans="1:29" ht="30.75" customHeight="1" x14ac:dyDescent="0.25">
      <c r="B292" s="1220" t="s">
        <v>494</v>
      </c>
      <c r="C292" s="1220">
        <v>1</v>
      </c>
      <c r="D292" s="1244">
        <f>'Prec Materia Prima y Empaq'!$H$141</f>
        <v>1500</v>
      </c>
      <c r="E292" s="1240">
        <v>0</v>
      </c>
      <c r="F292" s="1241">
        <f t="shared" si="95"/>
        <v>1500</v>
      </c>
      <c r="G292" s="1253">
        <f>F292*H292</f>
        <v>330000</v>
      </c>
      <c r="H292" s="1245">
        <f>$C$278</f>
        <v>220</v>
      </c>
      <c r="I292" s="1245" t="s">
        <v>453</v>
      </c>
      <c r="K292" s="1242">
        <f t="shared" si="97"/>
        <v>1</v>
      </c>
      <c r="L292" s="1243">
        <f t="shared" si="98"/>
        <v>1500</v>
      </c>
    </row>
    <row r="293" spans="1:29" ht="45" customHeight="1" x14ac:dyDescent="0.25">
      <c r="B293" s="1220" t="s">
        <v>695</v>
      </c>
      <c r="C293" s="1220">
        <v>1</v>
      </c>
      <c r="D293" s="1244">
        <f>'Prec Materia Prima y Empaq'!$H$161</f>
        <v>300</v>
      </c>
      <c r="E293" s="1240"/>
      <c r="F293" s="1241">
        <f t="shared" si="95"/>
        <v>300</v>
      </c>
      <c r="G293" s="1253">
        <f>F293*H293</f>
        <v>66000</v>
      </c>
      <c r="H293" s="1245">
        <f>$C$278</f>
        <v>220</v>
      </c>
      <c r="I293" s="1245" t="s">
        <v>453</v>
      </c>
      <c r="K293" s="1242">
        <f t="shared" si="97"/>
        <v>1</v>
      </c>
      <c r="L293" s="1243">
        <f t="shared" si="98"/>
        <v>300</v>
      </c>
    </row>
    <row r="294" spans="1:29" ht="24" customHeight="1" x14ac:dyDescent="0.25">
      <c r="B294" s="1220" t="s">
        <v>310</v>
      </c>
      <c r="C294" s="1245">
        <v>1</v>
      </c>
      <c r="D294" s="1244">
        <f>'Prec Materia Prima y Empaq'!$H$130</f>
        <v>100</v>
      </c>
      <c r="E294" s="1240">
        <v>0</v>
      </c>
      <c r="F294" s="1241">
        <f t="shared" si="95"/>
        <v>100</v>
      </c>
      <c r="G294" s="1253">
        <f t="shared" ref="G294" si="100">F294*H294</f>
        <v>22000</v>
      </c>
      <c r="H294" s="1245">
        <f>$C$278</f>
        <v>220</v>
      </c>
      <c r="I294" s="1245" t="s">
        <v>453</v>
      </c>
      <c r="K294" s="1242">
        <f t="shared" si="97"/>
        <v>1</v>
      </c>
      <c r="L294" s="1243">
        <f t="shared" si="98"/>
        <v>100</v>
      </c>
    </row>
    <row r="295" spans="1:29" ht="19.5" customHeight="1" thickBot="1" x14ac:dyDescent="0.3">
      <c r="B295" s="1255"/>
      <c r="C295" s="857"/>
      <c r="D295" s="1256"/>
      <c r="E295" s="1248"/>
      <c r="F295" s="1257"/>
      <c r="G295" s="1258">
        <f>SUM(G284:G294)/$C$278</f>
        <v>2745.6158752301908</v>
      </c>
      <c r="H295" s="1259" t="s">
        <v>454</v>
      </c>
      <c r="I295" s="857"/>
      <c r="L295" s="1260">
        <f>SUM(L284:L294)</f>
        <v>2745.5524274420241</v>
      </c>
    </row>
    <row r="296" spans="1:29" ht="15" customHeight="1" thickTop="1" x14ac:dyDescent="0.25">
      <c r="B296" s="1261" t="s">
        <v>409</v>
      </c>
      <c r="C296" s="1262"/>
      <c r="D296" s="1263">
        <f>+'Gtos Varios'!I14</f>
        <v>3672.93</v>
      </c>
      <c r="E296" s="1262"/>
      <c r="F296" s="1264">
        <f t="shared" ref="F296" si="101">+E296+D296</f>
        <v>3672.93</v>
      </c>
      <c r="G296" s="1265">
        <f>F296</f>
        <v>3672.93</v>
      </c>
      <c r="H296" s="1262" t="str">
        <f>B296</f>
        <v xml:space="preserve">GASTOS VARIOS </v>
      </c>
      <c r="I296" s="1262"/>
    </row>
    <row r="297" spans="1:29" ht="15" customHeight="1" x14ac:dyDescent="0.25">
      <c r="B297" s="1255"/>
      <c r="C297" s="857"/>
      <c r="D297" s="1256"/>
      <c r="E297" s="1248"/>
      <c r="F297" s="1257"/>
      <c r="G297" s="1266"/>
      <c r="H297" s="857"/>
      <c r="I297" s="857"/>
    </row>
    <row r="298" spans="1:29" ht="15" customHeight="1" x14ac:dyDescent="0.25">
      <c r="B298" s="1255"/>
      <c r="C298" s="857"/>
      <c r="D298" s="1256"/>
      <c r="E298" s="1248"/>
      <c r="F298" s="1257"/>
      <c r="G298" s="1266"/>
      <c r="H298" s="857"/>
      <c r="I298" s="857"/>
    </row>
    <row r="299" spans="1:29" ht="15" customHeight="1" thickBot="1" x14ac:dyDescent="0.3">
      <c r="F299" s="1267">
        <f>SUM(F284:F294)</f>
        <v>262427.65999999997</v>
      </c>
      <c r="G299" s="1268">
        <f>SUM(G295:G296)</f>
        <v>6418.5458752301911</v>
      </c>
      <c r="H299" s="733" t="s">
        <v>412</v>
      </c>
    </row>
    <row r="300" spans="1:29" ht="15" customHeight="1" thickTop="1" x14ac:dyDescent="0.25">
      <c r="G300" s="1257">
        <f>G299*52%</f>
        <v>3337.6438551196993</v>
      </c>
      <c r="H300" s="1274">
        <v>0.52</v>
      </c>
      <c r="I300" s="733" t="s">
        <v>539</v>
      </c>
    </row>
    <row r="301" spans="1:29" ht="15" customHeight="1" thickBot="1" x14ac:dyDescent="0.3">
      <c r="G301" s="1270">
        <f>G299+G300</f>
        <v>9756.1897303498899</v>
      </c>
      <c r="H301" s="733" t="s">
        <v>414</v>
      </c>
    </row>
    <row r="302" spans="1:29" ht="15" customHeight="1" thickTop="1" x14ac:dyDescent="0.25"/>
    <row r="304" spans="1:29" ht="15" customHeight="1" x14ac:dyDescent="0.25">
      <c r="B304" s="1222" t="s">
        <v>61</v>
      </c>
      <c r="C304" s="1219" t="s">
        <v>94</v>
      </c>
      <c r="D304" s="733"/>
      <c r="E304" s="847"/>
      <c r="F304" s="847"/>
      <c r="G304" s="847"/>
      <c r="H304" s="847"/>
    </row>
    <row r="305" spans="1:29" ht="15" customHeight="1" x14ac:dyDescent="0.25">
      <c r="B305" s="1222" t="s">
        <v>62</v>
      </c>
      <c r="C305" s="1219" t="str">
        <f>VLOOKUP(C304,LISTPROD[],2,FALSE)</f>
        <v>CARTILAGO DE TIBURON</v>
      </c>
      <c r="D305" s="733" t="s">
        <v>690</v>
      </c>
      <c r="E305" s="733" t="s">
        <v>487</v>
      </c>
      <c r="F305" s="847"/>
      <c r="G305" s="847"/>
      <c r="H305" s="847"/>
    </row>
    <row r="306" spans="1:29" ht="15" customHeight="1" x14ac:dyDescent="0.25">
      <c r="B306" s="1222" t="s">
        <v>234</v>
      </c>
      <c r="C306" s="1219" t="str">
        <f>VLOOKUP(C304,LISTPROD[],9,FALSE)</f>
        <v>500 ML</v>
      </c>
      <c r="D306" s="733"/>
      <c r="E306" s="847"/>
      <c r="F306" s="847"/>
      <c r="G306" s="847"/>
      <c r="H306" s="847"/>
    </row>
    <row r="307" spans="1:29" ht="15" customHeight="1" x14ac:dyDescent="0.25">
      <c r="A307" s="1223" t="s">
        <v>697</v>
      </c>
      <c r="B307" s="1222" t="s">
        <v>239</v>
      </c>
      <c r="C307" s="1224">
        <v>420</v>
      </c>
      <c r="D307" s="1218"/>
      <c r="E307" s="847"/>
      <c r="F307" s="847"/>
      <c r="G307" s="847"/>
      <c r="H307" s="847"/>
    </row>
    <row r="308" spans="1:29" ht="15" customHeight="1" x14ac:dyDescent="0.25">
      <c r="B308" s="1222" t="s">
        <v>240</v>
      </c>
      <c r="C308" s="1219"/>
      <c r="D308" s="733"/>
    </row>
    <row r="309" spans="1:29" ht="15" customHeight="1" x14ac:dyDescent="0.25">
      <c r="B309" s="1222" t="s">
        <v>238</v>
      </c>
      <c r="C309" s="733" t="s">
        <v>56</v>
      </c>
      <c r="D309" s="1218" t="s">
        <v>449</v>
      </c>
    </row>
    <row r="310" spans="1:29" ht="15" customHeight="1" x14ac:dyDescent="0.25">
      <c r="B310" s="1225" t="s">
        <v>410</v>
      </c>
      <c r="C310" s="753">
        <v>500</v>
      </c>
      <c r="D310" s="1226"/>
    </row>
    <row r="311" spans="1:29" ht="15" customHeight="1" x14ac:dyDescent="0.25">
      <c r="A311" s="1227"/>
      <c r="B311" s="1436" t="s">
        <v>404</v>
      </c>
      <c r="C311" s="1436"/>
      <c r="D311" s="1436"/>
      <c r="E311" s="1436"/>
      <c r="F311" s="1436"/>
      <c r="G311" s="1228"/>
      <c r="H311" s="1437" t="s">
        <v>416</v>
      </c>
      <c r="I311" s="1438"/>
    </row>
    <row r="312" spans="1:29" ht="34.5" customHeight="1" x14ac:dyDescent="0.25">
      <c r="A312" s="1229"/>
      <c r="B312" s="1230" t="s">
        <v>398</v>
      </c>
      <c r="C312" s="1231" t="s">
        <v>441</v>
      </c>
      <c r="D312" s="1232" t="s">
        <v>399</v>
      </c>
      <c r="E312" s="1233" t="s">
        <v>402</v>
      </c>
      <c r="F312" s="1232" t="s">
        <v>399</v>
      </c>
      <c r="G312" s="1232" t="s">
        <v>411</v>
      </c>
      <c r="H312" s="1234" t="s">
        <v>408</v>
      </c>
      <c r="I312" s="1235" t="s">
        <v>415</v>
      </c>
      <c r="K312" s="1236" t="s">
        <v>603</v>
      </c>
      <c r="L312" s="1237" t="s">
        <v>604</v>
      </c>
    </row>
    <row r="313" spans="1:29" ht="15" customHeight="1" x14ac:dyDescent="0.25">
      <c r="A313" s="1238"/>
      <c r="B313" s="1228" t="s">
        <v>248</v>
      </c>
      <c r="C313" s="1228">
        <v>1000</v>
      </c>
      <c r="D313" s="1239">
        <f>'Prec Materia Prima y Empaq'!$H$21</f>
        <v>15400</v>
      </c>
      <c r="E313" s="1240">
        <f>D313*19%</f>
        <v>2926</v>
      </c>
      <c r="F313" s="1241">
        <f>+E313+D313</f>
        <v>18326</v>
      </c>
      <c r="G313" s="1240">
        <f>F313/C313*H313</f>
        <v>12828.2</v>
      </c>
      <c r="H313" s="1242">
        <v>700</v>
      </c>
      <c r="I313" s="1228" t="s">
        <v>450</v>
      </c>
      <c r="K313" s="1242">
        <f>H313/$C$213</f>
        <v>1.6666666666666667</v>
      </c>
      <c r="L313" s="1243">
        <f>F313/C313*K313</f>
        <v>30.543333333333337</v>
      </c>
    </row>
    <row r="314" spans="1:29" ht="15" customHeight="1" x14ac:dyDescent="0.25">
      <c r="A314" s="1238"/>
      <c r="B314" s="1228" t="s">
        <v>443</v>
      </c>
      <c r="C314" s="1228">
        <v>1000</v>
      </c>
      <c r="D314" s="1239">
        <f>'Prec Materia Prima y Empaq'!$H$11</f>
        <v>8000</v>
      </c>
      <c r="E314" s="1240">
        <f t="shared" ref="E314:E319" si="102">D314*19%</f>
        <v>1520</v>
      </c>
      <c r="F314" s="1241">
        <f t="shared" ref="F314:F326" si="103">+E314+D314</f>
        <v>9520</v>
      </c>
      <c r="G314" s="1240">
        <f t="shared" ref="G314:G315" si="104">F314/C314*H314</f>
        <v>3884.16</v>
      </c>
      <c r="H314" s="1242">
        <v>408</v>
      </c>
      <c r="I314" s="1228" t="s">
        <v>450</v>
      </c>
      <c r="K314" s="1242">
        <f t="shared" ref="K314:K326" si="105">H314/$C$213</f>
        <v>0.97142857142857142</v>
      </c>
      <c r="L314" s="1243">
        <f t="shared" ref="L314:L326" si="106">F314/C314*K314</f>
        <v>9.2479999999999993</v>
      </c>
    </row>
    <row r="315" spans="1:29" ht="15" customHeight="1" x14ac:dyDescent="0.25">
      <c r="A315" s="1238"/>
      <c r="B315" s="1228" t="s">
        <v>272</v>
      </c>
      <c r="C315" s="1228">
        <v>1000</v>
      </c>
      <c r="D315" s="1239">
        <f>'Prec Materia Prima y Empaq'!$H$15</f>
        <v>18000</v>
      </c>
      <c r="E315" s="1240">
        <f t="shared" si="102"/>
        <v>3420</v>
      </c>
      <c r="F315" s="1241">
        <f t="shared" si="103"/>
        <v>21420</v>
      </c>
      <c r="G315" s="1240">
        <f t="shared" si="104"/>
        <v>149940</v>
      </c>
      <c r="H315" s="1242">
        <v>7000</v>
      </c>
      <c r="I315" s="1228" t="s">
        <v>450</v>
      </c>
      <c r="K315" s="1242">
        <f t="shared" si="105"/>
        <v>16.666666666666668</v>
      </c>
      <c r="L315" s="1243">
        <f t="shared" si="106"/>
        <v>357.00000000000006</v>
      </c>
    </row>
    <row r="316" spans="1:29" ht="15" customHeight="1" x14ac:dyDescent="0.25">
      <c r="A316" s="1238"/>
      <c r="B316" s="1228" t="s">
        <v>261</v>
      </c>
      <c r="C316" s="1228">
        <v>1000</v>
      </c>
      <c r="D316" s="1239">
        <f>'Prec Materia Prima y Empaq'!$H$12</f>
        <v>4700</v>
      </c>
      <c r="E316" s="1240">
        <f t="shared" si="102"/>
        <v>893</v>
      </c>
      <c r="F316" s="1241">
        <f t="shared" si="103"/>
        <v>5593</v>
      </c>
      <c r="G316" s="1240">
        <f>F316/C316*H316</f>
        <v>1431.808</v>
      </c>
      <c r="H316" s="1242">
        <v>256</v>
      </c>
      <c r="I316" s="1228" t="s">
        <v>450</v>
      </c>
      <c r="K316" s="1242">
        <f t="shared" si="105"/>
        <v>0.60952380952380958</v>
      </c>
      <c r="L316" s="1243">
        <f t="shared" si="106"/>
        <v>3.4090666666666669</v>
      </c>
    </row>
    <row r="317" spans="1:29" ht="15" customHeight="1" x14ac:dyDescent="0.25">
      <c r="A317" s="1238"/>
      <c r="B317" s="1228" t="s">
        <v>296</v>
      </c>
      <c r="C317" s="1228">
        <v>1000</v>
      </c>
      <c r="D317" s="1273">
        <f>'Prec Materia Prima y Empaq'!$H$48</f>
        <v>65000</v>
      </c>
      <c r="E317" s="1240">
        <f t="shared" si="102"/>
        <v>12350</v>
      </c>
      <c r="F317" s="1241">
        <f t="shared" si="103"/>
        <v>77350</v>
      </c>
      <c r="G317" s="1240">
        <f t="shared" ref="G317:G318" si="107">F317/C317*H317</f>
        <v>8972.5999999999985</v>
      </c>
      <c r="H317" s="1242">
        <v>116</v>
      </c>
      <c r="I317" s="1228" t="s">
        <v>450</v>
      </c>
      <c r="K317" s="1242">
        <f t="shared" si="105"/>
        <v>0.27619047619047621</v>
      </c>
      <c r="L317" s="1243">
        <f t="shared" si="106"/>
        <v>21.363333333333333</v>
      </c>
    </row>
    <row r="318" spans="1:29" ht="15" customHeight="1" x14ac:dyDescent="0.25">
      <c r="A318" s="1238"/>
      <c r="B318" s="1228" t="s">
        <v>297</v>
      </c>
      <c r="C318" s="1228">
        <v>1000</v>
      </c>
      <c r="D318" s="1273">
        <f>'Prec Materia Prima y Empaq'!$H$39</f>
        <v>210084.03</v>
      </c>
      <c r="E318" s="1240">
        <f t="shared" si="102"/>
        <v>39915.965700000001</v>
      </c>
      <c r="F318" s="1241">
        <f t="shared" si="103"/>
        <v>249999.9957</v>
      </c>
      <c r="G318" s="1240">
        <f t="shared" si="107"/>
        <v>16999.9997076</v>
      </c>
      <c r="H318" s="1242">
        <v>68</v>
      </c>
      <c r="I318" s="1228" t="s">
        <v>450</v>
      </c>
      <c r="K318" s="1242">
        <f t="shared" si="105"/>
        <v>0.16190476190476191</v>
      </c>
      <c r="L318" s="1243">
        <f t="shared" si="106"/>
        <v>40.476189779999999</v>
      </c>
    </row>
    <row r="319" spans="1:29" ht="15" customHeight="1" x14ac:dyDescent="0.25">
      <c r="A319" s="1238"/>
      <c r="B319" s="1228" t="s">
        <v>382</v>
      </c>
      <c r="C319" s="1228">
        <v>3785</v>
      </c>
      <c r="D319" s="1239">
        <f>'Prec Materia Prima y Empaq'!$H$18</f>
        <v>24</v>
      </c>
      <c r="E319" s="1240">
        <f t="shared" si="102"/>
        <v>4.5600000000000005</v>
      </c>
      <c r="F319" s="1241">
        <f t="shared" si="103"/>
        <v>28.560000000000002</v>
      </c>
      <c r="G319" s="1240">
        <f>F319/C319*H319</f>
        <v>0.37727873183619554</v>
      </c>
      <c r="H319" s="1242">
        <v>50</v>
      </c>
      <c r="I319" s="1228" t="s">
        <v>450</v>
      </c>
      <c r="K319" s="1242">
        <f t="shared" ref="K319" si="108">H319/$C$278</f>
        <v>0.22727272727272727</v>
      </c>
      <c r="L319" s="1243">
        <f t="shared" si="106"/>
        <v>1.7149033265281615E-3</v>
      </c>
    </row>
    <row r="320" spans="1:29" ht="31.5" customHeight="1" x14ac:dyDescent="0.25">
      <c r="B320" s="1220" t="s">
        <v>247</v>
      </c>
      <c r="C320" s="1228">
        <v>1000</v>
      </c>
      <c r="D320" s="1244">
        <f>'Prec Materia Prima y Empaq'!$H$7</f>
        <v>50000</v>
      </c>
      <c r="E320" s="1240">
        <v>0</v>
      </c>
      <c r="F320" s="1241">
        <f t="shared" si="103"/>
        <v>50000</v>
      </c>
      <c r="G320" s="1240">
        <f>F320/C320*H320</f>
        <v>32.022471910112351</v>
      </c>
      <c r="H320" s="1245">
        <v>0.64044943820224698</v>
      </c>
      <c r="I320" s="1245" t="s">
        <v>453</v>
      </c>
      <c r="K320" s="1246">
        <f>H320/$C$378</f>
        <v>1.6421780466724281E-3</v>
      </c>
      <c r="L320" s="1243">
        <f>F320/C320*K320</f>
        <v>8.2108902333621406E-2</v>
      </c>
      <c r="N320" s="1220" t="s">
        <v>247</v>
      </c>
      <c r="O320" s="1247">
        <v>1</v>
      </c>
      <c r="P320" s="1240">
        <f>$F$391/$C$391*$O$391</f>
        <v>50</v>
      </c>
      <c r="Q320" s="1248"/>
      <c r="R320" s="1249" t="e">
        <f>P320/O309</f>
        <v>#DIV/0!</v>
      </c>
      <c r="S320" s="1248" t="e">
        <f>R320*1000</f>
        <v>#DIV/0!</v>
      </c>
      <c r="T320" s="1250">
        <f>O320/$O$380*1000</f>
        <v>2.5641025641025641E-3</v>
      </c>
      <c r="U320" s="1238">
        <f>T320*$M$380</f>
        <v>1</v>
      </c>
      <c r="Y320" s="1238"/>
      <c r="Z320" s="1238"/>
      <c r="AA320" s="1251"/>
      <c r="AC320" s="1252"/>
    </row>
    <row r="321" spans="1:12" ht="30.75" customHeight="1" x14ac:dyDescent="0.25">
      <c r="B321" s="1220" t="s">
        <v>485</v>
      </c>
      <c r="C321" s="1220">
        <v>1</v>
      </c>
      <c r="D321" s="1244">
        <f>'Prec Materia Prima y Empaq'!$H$138</f>
        <v>650</v>
      </c>
      <c r="E321" s="1240">
        <v>0</v>
      </c>
      <c r="F321" s="1241">
        <f t="shared" si="103"/>
        <v>650</v>
      </c>
      <c r="G321" s="1253">
        <f t="shared" ref="G321:G326" si="109">F321*H321</f>
        <v>273000</v>
      </c>
      <c r="H321" s="1245">
        <f>C307</f>
        <v>420</v>
      </c>
      <c r="I321" s="1245" t="s">
        <v>453</v>
      </c>
      <c r="K321" s="1242">
        <f t="shared" si="105"/>
        <v>1</v>
      </c>
      <c r="L321" s="1243">
        <f t="shared" si="106"/>
        <v>650</v>
      </c>
    </row>
    <row r="322" spans="1:12" ht="23.25" customHeight="1" x14ac:dyDescent="0.25">
      <c r="B322" s="1220" t="s">
        <v>614</v>
      </c>
      <c r="C322" s="1220">
        <v>1</v>
      </c>
      <c r="D322" s="1244">
        <f>'Prec Materia Prima y Empaq'!$H$144</f>
        <v>70</v>
      </c>
      <c r="E322" s="1240">
        <v>0</v>
      </c>
      <c r="F322" s="1241">
        <f t="shared" si="103"/>
        <v>70</v>
      </c>
      <c r="G322" s="1253">
        <f t="shared" si="109"/>
        <v>29400</v>
      </c>
      <c r="H322" s="1245">
        <f>H321</f>
        <v>420</v>
      </c>
      <c r="I322" s="1245" t="s">
        <v>453</v>
      </c>
      <c r="K322" s="1242">
        <f t="shared" si="105"/>
        <v>1</v>
      </c>
      <c r="L322" s="1243">
        <f t="shared" si="106"/>
        <v>70</v>
      </c>
    </row>
    <row r="323" spans="1:12" ht="48.75" customHeight="1" x14ac:dyDescent="0.25">
      <c r="A323" s="1271"/>
      <c r="B323" s="1220" t="s">
        <v>695</v>
      </c>
      <c r="C323" s="1245">
        <v>1</v>
      </c>
      <c r="D323" s="1272">
        <f>'Prec Materia Prima y Empaq'!$H$161</f>
        <v>300</v>
      </c>
      <c r="E323" s="1240">
        <v>0</v>
      </c>
      <c r="F323" s="1241">
        <f t="shared" si="103"/>
        <v>300</v>
      </c>
      <c r="G323" s="1253">
        <f t="shared" si="109"/>
        <v>126000</v>
      </c>
      <c r="H323" s="1245">
        <f>H322</f>
        <v>420</v>
      </c>
      <c r="I323" s="1245" t="s">
        <v>453</v>
      </c>
      <c r="K323" s="1242">
        <f t="shared" si="105"/>
        <v>1</v>
      </c>
      <c r="L323" s="1243">
        <f t="shared" si="106"/>
        <v>300</v>
      </c>
    </row>
    <row r="324" spans="1:12" ht="48.75" customHeight="1" x14ac:dyDescent="0.25">
      <c r="A324" s="1271"/>
      <c r="B324" s="1279" t="s">
        <v>675</v>
      </c>
      <c r="C324" s="1245">
        <v>1</v>
      </c>
      <c r="D324" s="1272">
        <f>'Prec Materia Prima y Empaq'!$H$162</f>
        <v>100</v>
      </c>
      <c r="E324" s="1240"/>
      <c r="F324" s="1241">
        <f t="shared" si="103"/>
        <v>100</v>
      </c>
      <c r="G324" s="1253">
        <f t="shared" si="109"/>
        <v>42000</v>
      </c>
      <c r="H324" s="1245">
        <f>H323</f>
        <v>420</v>
      </c>
      <c r="I324" s="1245" t="s">
        <v>453</v>
      </c>
      <c r="K324" s="1242">
        <f t="shared" ref="K324:K325" si="110">H324/$C$213</f>
        <v>1</v>
      </c>
      <c r="L324" s="1243">
        <f t="shared" ref="L324:L325" si="111">F324/C324*K324</f>
        <v>100</v>
      </c>
    </row>
    <row r="325" spans="1:12" ht="27" customHeight="1" x14ac:dyDescent="0.25">
      <c r="B325" s="1220" t="s">
        <v>310</v>
      </c>
      <c r="C325" s="1245">
        <v>1</v>
      </c>
      <c r="D325" s="1272">
        <f>'Prec Materia Prima y Empaq'!$H$130</f>
        <v>100</v>
      </c>
      <c r="E325" s="1240">
        <v>0</v>
      </c>
      <c r="F325" s="1241">
        <f t="shared" si="103"/>
        <v>100</v>
      </c>
      <c r="G325" s="1253">
        <f t="shared" si="109"/>
        <v>42000</v>
      </c>
      <c r="H325" s="1245">
        <f>H322</f>
        <v>420</v>
      </c>
      <c r="I325" s="1245" t="s">
        <v>453</v>
      </c>
      <c r="K325" s="1242">
        <f t="shared" si="110"/>
        <v>1</v>
      </c>
      <c r="L325" s="1243">
        <f t="shared" si="111"/>
        <v>100</v>
      </c>
    </row>
    <row r="326" spans="1:12" ht="28.5" customHeight="1" x14ac:dyDescent="0.25">
      <c r="B326" s="1245" t="s">
        <v>309</v>
      </c>
      <c r="C326" s="1245">
        <v>1</v>
      </c>
      <c r="D326" s="1272">
        <f>'Prec Materia Prima y Empaq'!$H$129</f>
        <v>800</v>
      </c>
      <c r="E326" s="1240">
        <v>0</v>
      </c>
      <c r="F326" s="1241">
        <f t="shared" si="103"/>
        <v>800</v>
      </c>
      <c r="G326" s="1253">
        <f t="shared" si="109"/>
        <v>336000</v>
      </c>
      <c r="H326" s="1245">
        <f>H322</f>
        <v>420</v>
      </c>
      <c r="I326" s="1245" t="s">
        <v>453</v>
      </c>
      <c r="K326" s="1242">
        <f t="shared" si="105"/>
        <v>1</v>
      </c>
      <c r="L326" s="1243">
        <f t="shared" si="106"/>
        <v>800</v>
      </c>
    </row>
    <row r="327" spans="1:12" ht="19.5" customHeight="1" thickBot="1" x14ac:dyDescent="0.3">
      <c r="B327" s="1255"/>
      <c r="C327" s="857"/>
      <c r="D327" s="1256"/>
      <c r="E327" s="1248"/>
      <c r="F327" s="1257"/>
      <c r="G327" s="1258">
        <f>SUM(G313:G326)/$C$307</f>
        <v>2482.1170653767663</v>
      </c>
      <c r="H327" s="1259" t="s">
        <v>454</v>
      </c>
      <c r="I327" s="857"/>
      <c r="L327" s="1260">
        <f>SUM(L313:L326)</f>
        <v>2482.1237469189937</v>
      </c>
    </row>
    <row r="328" spans="1:12" ht="15" customHeight="1" thickTop="1" x14ac:dyDescent="0.25">
      <c r="B328" s="1261" t="s">
        <v>409</v>
      </c>
      <c r="C328" s="1262"/>
      <c r="D328" s="1263">
        <f>+'Gtos Varios'!I14</f>
        <v>3672.93</v>
      </c>
      <c r="E328" s="1262"/>
      <c r="F328" s="1264">
        <f t="shared" ref="F328" si="112">+E328+D328</f>
        <v>3672.93</v>
      </c>
      <c r="G328" s="1265">
        <f>F328</f>
        <v>3672.93</v>
      </c>
      <c r="H328" s="1262" t="str">
        <f>B328</f>
        <v xml:space="preserve">GASTOS VARIOS </v>
      </c>
      <c r="I328" s="1262"/>
    </row>
    <row r="329" spans="1:12" ht="15" customHeight="1" x14ac:dyDescent="0.25">
      <c r="B329" s="1255"/>
      <c r="C329" s="857"/>
      <c r="D329" s="1256"/>
      <c r="E329" s="1248"/>
      <c r="F329" s="1257"/>
      <c r="G329" s="1266"/>
      <c r="H329" s="857"/>
      <c r="I329" s="857"/>
    </row>
    <row r="330" spans="1:12" ht="15" customHeight="1" x14ac:dyDescent="0.25">
      <c r="B330" s="1255"/>
      <c r="C330" s="857"/>
      <c r="D330" s="1256"/>
      <c r="E330" s="1248"/>
      <c r="F330" s="1257"/>
      <c r="G330" s="1266"/>
      <c r="H330" s="857"/>
      <c r="I330" s="857"/>
    </row>
    <row r="331" spans="1:12" ht="15" customHeight="1" thickBot="1" x14ac:dyDescent="0.3">
      <c r="F331" s="1267">
        <f>SUM(F313:F326)</f>
        <v>434257.55569999997</v>
      </c>
      <c r="G331" s="1268">
        <f>SUM(G327:G328)</f>
        <v>6155.0470653767661</v>
      </c>
      <c r="H331" s="733" t="s">
        <v>412</v>
      </c>
    </row>
    <row r="332" spans="1:12" ht="15" customHeight="1" thickTop="1" x14ac:dyDescent="0.25">
      <c r="G332" s="1257">
        <f>G331*54%</f>
        <v>3323.7254153034537</v>
      </c>
      <c r="H332" s="1274">
        <v>0.54</v>
      </c>
      <c r="I332" s="733" t="s">
        <v>539</v>
      </c>
    </row>
    <row r="333" spans="1:12" ht="15" customHeight="1" thickBot="1" x14ac:dyDescent="0.3">
      <c r="G333" s="1270">
        <f>G331+G332</f>
        <v>9478.7724806802198</v>
      </c>
      <c r="H333" s="733" t="s">
        <v>414</v>
      </c>
    </row>
    <row r="334" spans="1:12" ht="15" customHeight="1" thickTop="1" x14ac:dyDescent="0.25">
      <c r="G334" s="1258"/>
    </row>
    <row r="335" spans="1:12" ht="15" customHeight="1" x14ac:dyDescent="0.25">
      <c r="G335" s="1258"/>
    </row>
    <row r="336" spans="1:12" ht="15" customHeight="1" x14ac:dyDescent="0.25">
      <c r="G336" s="1258"/>
    </row>
    <row r="337" spans="1:12" ht="15" customHeight="1" x14ac:dyDescent="0.25">
      <c r="G337" s="1258"/>
    </row>
    <row r="338" spans="1:12" ht="15" customHeight="1" x14ac:dyDescent="0.25">
      <c r="G338" s="1258"/>
    </row>
    <row r="341" spans="1:12" ht="15" customHeight="1" x14ac:dyDescent="0.25">
      <c r="B341" s="1222" t="s">
        <v>61</v>
      </c>
      <c r="C341" s="1219" t="s">
        <v>97</v>
      </c>
      <c r="D341" s="733"/>
      <c r="E341" s="847"/>
      <c r="F341" s="847"/>
      <c r="G341" s="847"/>
      <c r="H341" s="847"/>
    </row>
    <row r="342" spans="1:12" ht="15" customHeight="1" x14ac:dyDescent="0.25">
      <c r="B342" s="1222" t="s">
        <v>62</v>
      </c>
      <c r="C342" s="1219" t="str">
        <f>VLOOKUP(C341,LISTPROD[],2,FALSE)</f>
        <v>CHANCA PIEDRA JARABE</v>
      </c>
      <c r="D342" s="1219" t="s">
        <v>486</v>
      </c>
      <c r="E342" s="849" t="s">
        <v>487</v>
      </c>
      <c r="F342" s="847"/>
      <c r="G342" s="847"/>
      <c r="H342" s="847"/>
    </row>
    <row r="343" spans="1:12" ht="15" customHeight="1" x14ac:dyDescent="0.25">
      <c r="B343" s="1222" t="s">
        <v>234</v>
      </c>
      <c r="C343" s="1219" t="str">
        <f>VLOOKUP(C341,LISTPROD[],9,FALSE)</f>
        <v>500 ML</v>
      </c>
      <c r="D343" s="733"/>
      <c r="E343" s="847"/>
      <c r="F343" s="847"/>
      <c r="G343" s="847"/>
      <c r="H343" s="847"/>
    </row>
    <row r="344" spans="1:12" ht="15" customHeight="1" x14ac:dyDescent="0.25">
      <c r="A344" s="1288" t="s">
        <v>697</v>
      </c>
      <c r="B344" s="1222" t="s">
        <v>239</v>
      </c>
      <c r="C344" s="1224">
        <v>420</v>
      </c>
      <c r="D344" s="1218"/>
      <c r="E344" s="847"/>
      <c r="F344" s="847"/>
      <c r="G344" s="847"/>
      <c r="H344" s="847"/>
    </row>
    <row r="345" spans="1:12" ht="15" customHeight="1" x14ac:dyDescent="0.25">
      <c r="B345" s="1222" t="s">
        <v>240</v>
      </c>
      <c r="C345" s="1219"/>
      <c r="D345" s="733"/>
    </row>
    <row r="346" spans="1:12" ht="15" customHeight="1" x14ac:dyDescent="0.25">
      <c r="B346" s="1222" t="s">
        <v>238</v>
      </c>
      <c r="C346" s="733" t="s">
        <v>56</v>
      </c>
      <c r="D346" s="1218" t="s">
        <v>449</v>
      </c>
    </row>
    <row r="347" spans="1:12" ht="15" customHeight="1" x14ac:dyDescent="0.25">
      <c r="B347" s="1225" t="s">
        <v>410</v>
      </c>
      <c r="C347" s="753">
        <v>500</v>
      </c>
      <c r="D347" s="1226"/>
    </row>
    <row r="348" spans="1:12" ht="30" customHeight="1" x14ac:dyDescent="0.25">
      <c r="A348" s="1227"/>
      <c r="B348" s="1436" t="s">
        <v>404</v>
      </c>
      <c r="C348" s="1436"/>
      <c r="D348" s="1436"/>
      <c r="E348" s="1436"/>
      <c r="F348" s="1436"/>
      <c r="G348" s="1228"/>
      <c r="H348" s="1437" t="s">
        <v>416</v>
      </c>
      <c r="I348" s="1438"/>
    </row>
    <row r="349" spans="1:12" ht="56.25" customHeight="1" x14ac:dyDescent="0.25">
      <c r="A349" s="1229"/>
      <c r="B349" s="1230" t="s">
        <v>398</v>
      </c>
      <c r="C349" s="1231" t="s">
        <v>441</v>
      </c>
      <c r="D349" s="1232" t="s">
        <v>399</v>
      </c>
      <c r="E349" s="1233" t="s">
        <v>402</v>
      </c>
      <c r="F349" s="1232" t="s">
        <v>399</v>
      </c>
      <c r="G349" s="1232" t="s">
        <v>411</v>
      </c>
      <c r="H349" s="1234" t="s">
        <v>408</v>
      </c>
      <c r="I349" s="1235" t="s">
        <v>415</v>
      </c>
      <c r="K349" s="1236" t="s">
        <v>603</v>
      </c>
      <c r="L349" s="1237" t="s">
        <v>604</v>
      </c>
    </row>
    <row r="350" spans="1:12" ht="15" customHeight="1" x14ac:dyDescent="0.25">
      <c r="A350" s="1238"/>
      <c r="B350" s="1228" t="s">
        <v>248</v>
      </c>
      <c r="C350" s="1228">
        <v>1000</v>
      </c>
      <c r="D350" s="1239">
        <f>'Prec Materia Prima y Empaq'!$H$21</f>
        <v>15400</v>
      </c>
      <c r="E350" s="1240">
        <f>D350*19%</f>
        <v>2926</v>
      </c>
      <c r="F350" s="1241">
        <f>+E350+D350</f>
        <v>18326</v>
      </c>
      <c r="G350" s="1240">
        <f>F350/C350*H350</f>
        <v>16493.400000000001</v>
      </c>
      <c r="H350" s="1242">
        <v>900</v>
      </c>
      <c r="I350" s="1228" t="s">
        <v>450</v>
      </c>
      <c r="K350" s="1242">
        <f t="shared" ref="K350:K355" si="113">H350/$C$344</f>
        <v>2.1428571428571428</v>
      </c>
      <c r="L350" s="1243">
        <f>F350/C350*K350</f>
        <v>39.270000000000003</v>
      </c>
    </row>
    <row r="351" spans="1:12" ht="15" customHeight="1" x14ac:dyDescent="0.25">
      <c r="A351" s="1238"/>
      <c r="B351" s="1228" t="s">
        <v>443</v>
      </c>
      <c r="C351" s="1228">
        <v>1000</v>
      </c>
      <c r="D351" s="1239">
        <f>'Prec Materia Prima y Empaq'!$H$11</f>
        <v>8000</v>
      </c>
      <c r="E351" s="1240">
        <f t="shared" ref="E351:E356" si="114">D351*19%</f>
        <v>1520</v>
      </c>
      <c r="F351" s="1241">
        <f t="shared" ref="F351:F363" si="115">+E351+D351</f>
        <v>9520</v>
      </c>
      <c r="G351" s="1240">
        <f t="shared" ref="G351:G352" si="116">F351/C351*H351</f>
        <v>5712</v>
      </c>
      <c r="H351" s="1242">
        <v>600</v>
      </c>
      <c r="I351" s="1228" t="s">
        <v>450</v>
      </c>
      <c r="K351" s="1242">
        <f t="shared" si="113"/>
        <v>1.4285714285714286</v>
      </c>
      <c r="L351" s="1243">
        <f t="shared" ref="L351:L360" si="117">F351/C351*K351</f>
        <v>13.6</v>
      </c>
    </row>
    <row r="352" spans="1:12" ht="15" customHeight="1" x14ac:dyDescent="0.25">
      <c r="A352" s="1238"/>
      <c r="B352" s="1228" t="s">
        <v>253</v>
      </c>
      <c r="C352" s="1228">
        <v>1000</v>
      </c>
      <c r="D352" s="1239">
        <f>'Prec Materia Prima y Empaq'!$H$9</f>
        <v>5400</v>
      </c>
      <c r="E352" s="1240">
        <f t="shared" si="114"/>
        <v>1026</v>
      </c>
      <c r="F352" s="1241">
        <f t="shared" si="115"/>
        <v>6426</v>
      </c>
      <c r="G352" s="1240">
        <f t="shared" si="116"/>
        <v>6426</v>
      </c>
      <c r="H352" s="1242">
        <v>1000</v>
      </c>
      <c r="I352" s="1228" t="s">
        <v>450</v>
      </c>
      <c r="K352" s="1242">
        <f t="shared" si="113"/>
        <v>2.3809523809523809</v>
      </c>
      <c r="L352" s="1243">
        <f t="shared" si="117"/>
        <v>15.3</v>
      </c>
    </row>
    <row r="353" spans="1:29" ht="15" customHeight="1" x14ac:dyDescent="0.25">
      <c r="A353" s="1238"/>
      <c r="B353" s="1228" t="s">
        <v>261</v>
      </c>
      <c r="C353" s="1228">
        <v>1000</v>
      </c>
      <c r="D353" s="1273">
        <f>'Prec Materia Prima y Empaq'!$H$12</f>
        <v>4700</v>
      </c>
      <c r="E353" s="1240">
        <f t="shared" si="114"/>
        <v>893</v>
      </c>
      <c r="F353" s="1241">
        <f t="shared" si="115"/>
        <v>5593</v>
      </c>
      <c r="G353" s="1240">
        <f>F353/C353*H353</f>
        <v>1118.5999999999999</v>
      </c>
      <c r="H353" s="1242">
        <v>200</v>
      </c>
      <c r="I353" s="1228" t="s">
        <v>450</v>
      </c>
      <c r="K353" s="1242">
        <f t="shared" si="113"/>
        <v>0.47619047619047616</v>
      </c>
      <c r="L353" s="1243">
        <f t="shared" si="117"/>
        <v>2.6633333333333331</v>
      </c>
    </row>
    <row r="354" spans="1:29" ht="15" customHeight="1" x14ac:dyDescent="0.25">
      <c r="A354" s="1238"/>
      <c r="B354" s="1228" t="s">
        <v>289</v>
      </c>
      <c r="C354" s="1228">
        <v>1000</v>
      </c>
      <c r="D354" s="1273">
        <f>'Prec Materia Prima y Empaq'!$H$55</f>
        <v>50522</v>
      </c>
      <c r="E354" s="1240">
        <f t="shared" si="114"/>
        <v>9599.18</v>
      </c>
      <c r="F354" s="1241">
        <f t="shared" si="115"/>
        <v>60121.18</v>
      </c>
      <c r="G354" s="1240">
        <f t="shared" ref="G354:G355" si="118">F354/C354*H354</f>
        <v>6012.1180000000004</v>
      </c>
      <c r="H354" s="1242">
        <v>100</v>
      </c>
      <c r="I354" s="1228" t="s">
        <v>450</v>
      </c>
      <c r="K354" s="1242">
        <f t="shared" si="113"/>
        <v>0.23809523809523808</v>
      </c>
      <c r="L354" s="1243">
        <f t="shared" si="117"/>
        <v>14.314566666666666</v>
      </c>
    </row>
    <row r="355" spans="1:29" ht="15" customHeight="1" x14ac:dyDescent="0.25">
      <c r="A355" s="1238"/>
      <c r="B355" s="1228" t="s">
        <v>246</v>
      </c>
      <c r="C355" s="1228">
        <v>1000</v>
      </c>
      <c r="D355" s="1273">
        <f>'Prec Materia Prima y Empaq'!$H$41</f>
        <v>80268</v>
      </c>
      <c r="E355" s="1240">
        <f t="shared" si="114"/>
        <v>15250.92</v>
      </c>
      <c r="F355" s="1241">
        <f t="shared" si="115"/>
        <v>95518.92</v>
      </c>
      <c r="G355" s="1240">
        <f t="shared" si="118"/>
        <v>2865.5675999999999</v>
      </c>
      <c r="H355" s="1242">
        <v>30</v>
      </c>
      <c r="I355" s="1228" t="s">
        <v>450</v>
      </c>
      <c r="K355" s="1242">
        <f t="shared" si="113"/>
        <v>7.1428571428571425E-2</v>
      </c>
      <c r="L355" s="1243">
        <f t="shared" si="117"/>
        <v>6.822779999999999</v>
      </c>
    </row>
    <row r="356" spans="1:29" ht="15" customHeight="1" x14ac:dyDescent="0.25">
      <c r="A356" s="1238"/>
      <c r="B356" s="1228" t="s">
        <v>382</v>
      </c>
      <c r="C356" s="1228">
        <v>3785</v>
      </c>
      <c r="D356" s="1239">
        <f>'Prec Materia Prima y Empaq'!$H$18</f>
        <v>24</v>
      </c>
      <c r="E356" s="1240">
        <f t="shared" si="114"/>
        <v>4.5600000000000005</v>
      </c>
      <c r="F356" s="1241">
        <f t="shared" si="115"/>
        <v>28.560000000000002</v>
      </c>
      <c r="G356" s="1240">
        <f>F356/C356*H356</f>
        <v>0.37727873183619554</v>
      </c>
      <c r="H356" s="1242">
        <v>50</v>
      </c>
      <c r="I356" s="1228" t="s">
        <v>450</v>
      </c>
      <c r="K356" s="1242">
        <f t="shared" ref="K356" si="119">H356/$C$278</f>
        <v>0.22727272727272727</v>
      </c>
      <c r="L356" s="1243">
        <f t="shared" si="117"/>
        <v>1.7149033265281615E-3</v>
      </c>
    </row>
    <row r="357" spans="1:29" ht="31.5" customHeight="1" x14ac:dyDescent="0.25">
      <c r="B357" s="1220" t="s">
        <v>247</v>
      </c>
      <c r="C357" s="1228">
        <v>1000</v>
      </c>
      <c r="D357" s="1244">
        <f>'Prec Materia Prima y Empaq'!$H$7</f>
        <v>50000</v>
      </c>
      <c r="E357" s="1240">
        <v>0</v>
      </c>
      <c r="F357" s="1241">
        <f t="shared" si="115"/>
        <v>50000</v>
      </c>
      <c r="G357" s="1240">
        <f>F357/C357*H357</f>
        <v>32.022471910112351</v>
      </c>
      <c r="H357" s="1245">
        <v>0.64044943820224698</v>
      </c>
      <c r="I357" s="1245" t="s">
        <v>453</v>
      </c>
      <c r="K357" s="1246">
        <f>H357/$C$378</f>
        <v>1.6421780466724281E-3</v>
      </c>
      <c r="L357" s="1243">
        <f>F357/C357*K357</f>
        <v>8.2108902333621406E-2</v>
      </c>
      <c r="N357" s="1220" t="s">
        <v>247</v>
      </c>
      <c r="O357" s="1247">
        <v>1</v>
      </c>
      <c r="P357" s="1240">
        <f>$F$391/$C$391*$O$391</f>
        <v>50</v>
      </c>
      <c r="Q357" s="1248"/>
      <c r="R357" s="1249" t="e">
        <f>P357/O346</f>
        <v>#DIV/0!</v>
      </c>
      <c r="S357" s="1248" t="e">
        <f>R357*1000</f>
        <v>#DIV/0!</v>
      </c>
      <c r="T357" s="1250">
        <f>O357/$O$380*1000</f>
        <v>2.5641025641025641E-3</v>
      </c>
      <c r="U357" s="1238">
        <f>T357*$M$380</f>
        <v>1</v>
      </c>
      <c r="Y357" s="1238"/>
      <c r="Z357" s="1238"/>
      <c r="AA357" s="1251"/>
      <c r="AC357" s="1252"/>
    </row>
    <row r="358" spans="1:29" ht="30.75" customHeight="1" x14ac:dyDescent="0.25">
      <c r="B358" s="1220" t="s">
        <v>485</v>
      </c>
      <c r="C358" s="1220">
        <v>1</v>
      </c>
      <c r="D358" s="1244">
        <f>'Prec Materia Prima y Empaq'!$H$138</f>
        <v>650</v>
      </c>
      <c r="E358" s="1240">
        <v>0</v>
      </c>
      <c r="F358" s="1241">
        <f t="shared" si="115"/>
        <v>650</v>
      </c>
      <c r="G358" s="1253">
        <f t="shared" ref="G358:G363" si="120">F358*H358</f>
        <v>273000</v>
      </c>
      <c r="H358" s="1245">
        <f>C344</f>
        <v>420</v>
      </c>
      <c r="I358" s="1245" t="s">
        <v>453</v>
      </c>
      <c r="K358" s="1242">
        <f t="shared" ref="K358:K360" si="121">H358/$C$213</f>
        <v>1</v>
      </c>
      <c r="L358" s="1243">
        <f t="shared" si="117"/>
        <v>650</v>
      </c>
    </row>
    <row r="359" spans="1:29" ht="23.25" customHeight="1" x14ac:dyDescent="0.25">
      <c r="B359" s="1220" t="s">
        <v>614</v>
      </c>
      <c r="C359" s="1220">
        <v>1</v>
      </c>
      <c r="D359" s="1244">
        <f>'Prec Materia Prima y Empaq'!$H$144</f>
        <v>70</v>
      </c>
      <c r="E359" s="1240">
        <v>0</v>
      </c>
      <c r="F359" s="1241">
        <f t="shared" si="115"/>
        <v>70</v>
      </c>
      <c r="G359" s="1253">
        <f t="shared" si="120"/>
        <v>29400</v>
      </c>
      <c r="H359" s="1245">
        <f>H358</f>
        <v>420</v>
      </c>
      <c r="I359" s="1245" t="s">
        <v>453</v>
      </c>
      <c r="K359" s="1242">
        <f t="shared" si="121"/>
        <v>1</v>
      </c>
      <c r="L359" s="1243">
        <f t="shared" si="117"/>
        <v>70</v>
      </c>
    </row>
    <row r="360" spans="1:29" ht="48.75" customHeight="1" x14ac:dyDescent="0.25">
      <c r="A360" s="1271"/>
      <c r="B360" s="1220" t="s">
        <v>695</v>
      </c>
      <c r="C360" s="1245">
        <v>1</v>
      </c>
      <c r="D360" s="1272">
        <f>'Prec Materia Prima y Empaq'!$H$161</f>
        <v>300</v>
      </c>
      <c r="E360" s="1240">
        <v>0</v>
      </c>
      <c r="F360" s="1241">
        <f t="shared" si="115"/>
        <v>300</v>
      </c>
      <c r="G360" s="1253">
        <f t="shared" si="120"/>
        <v>126000</v>
      </c>
      <c r="H360" s="1245">
        <f t="shared" ref="H360:H361" si="122">H359</f>
        <v>420</v>
      </c>
      <c r="I360" s="1245" t="s">
        <v>453</v>
      </c>
      <c r="K360" s="1242">
        <f t="shared" si="121"/>
        <v>1</v>
      </c>
      <c r="L360" s="1243">
        <f t="shared" si="117"/>
        <v>300</v>
      </c>
    </row>
    <row r="361" spans="1:29" ht="48.75" customHeight="1" x14ac:dyDescent="0.25">
      <c r="A361" s="1271"/>
      <c r="B361" s="1279" t="s">
        <v>675</v>
      </c>
      <c r="C361" s="1245">
        <v>1</v>
      </c>
      <c r="D361" s="1272">
        <f>'Prec Materia Prima y Empaq'!$H$162</f>
        <v>100</v>
      </c>
      <c r="E361" s="1240"/>
      <c r="F361" s="1241">
        <f t="shared" si="115"/>
        <v>100</v>
      </c>
      <c r="G361" s="1253">
        <f t="shared" si="120"/>
        <v>42000</v>
      </c>
      <c r="H361" s="1245">
        <f t="shared" si="122"/>
        <v>420</v>
      </c>
      <c r="I361" s="1245" t="s">
        <v>453</v>
      </c>
      <c r="K361" s="1242">
        <f t="shared" ref="K361:K363" si="123">H361/$C$213</f>
        <v>1</v>
      </c>
      <c r="L361" s="1243">
        <f t="shared" ref="L361:L363" si="124">F361/C361*K361</f>
        <v>100</v>
      </c>
    </row>
    <row r="362" spans="1:29" ht="15" customHeight="1" x14ac:dyDescent="0.25">
      <c r="B362" s="1220" t="s">
        <v>310</v>
      </c>
      <c r="C362" s="1245">
        <v>1</v>
      </c>
      <c r="D362" s="1272">
        <f>'Prec Materia Prima y Empaq'!$H$130</f>
        <v>100</v>
      </c>
      <c r="E362" s="1240">
        <v>0</v>
      </c>
      <c r="F362" s="1241">
        <f t="shared" si="115"/>
        <v>100</v>
      </c>
      <c r="G362" s="1253">
        <f t="shared" si="120"/>
        <v>42000</v>
      </c>
      <c r="H362" s="1245">
        <f>H359</f>
        <v>420</v>
      </c>
      <c r="I362" s="1245" t="s">
        <v>453</v>
      </c>
      <c r="K362" s="1242">
        <f t="shared" si="123"/>
        <v>1</v>
      </c>
      <c r="L362" s="1243">
        <f t="shared" si="124"/>
        <v>100</v>
      </c>
    </row>
    <row r="363" spans="1:29" ht="15" customHeight="1" x14ac:dyDescent="0.25">
      <c r="B363" s="1245" t="s">
        <v>309</v>
      </c>
      <c r="C363" s="1245">
        <v>1</v>
      </c>
      <c r="D363" s="1272">
        <f>'Prec Materia Prima y Empaq'!$H$129</f>
        <v>800</v>
      </c>
      <c r="E363" s="1240">
        <v>0</v>
      </c>
      <c r="F363" s="1241">
        <f t="shared" si="115"/>
        <v>800</v>
      </c>
      <c r="G363" s="1253">
        <f t="shared" si="120"/>
        <v>336000</v>
      </c>
      <c r="H363" s="1245">
        <f>H359</f>
        <v>420</v>
      </c>
      <c r="I363" s="1245" t="s">
        <v>453</v>
      </c>
      <c r="K363" s="1242">
        <f t="shared" si="123"/>
        <v>1</v>
      </c>
      <c r="L363" s="1243">
        <f t="shared" si="124"/>
        <v>800</v>
      </c>
    </row>
    <row r="364" spans="1:29" ht="19.5" customHeight="1" thickBot="1" x14ac:dyDescent="0.3">
      <c r="B364" s="1255"/>
      <c r="C364" s="857"/>
      <c r="D364" s="1256"/>
      <c r="E364" s="1248"/>
      <c r="F364" s="1257"/>
      <c r="G364" s="1258">
        <f>SUM(G350:G363)/$C$344</f>
        <v>2112.0478222634333</v>
      </c>
      <c r="H364" s="1259" t="s">
        <v>454</v>
      </c>
      <c r="I364" s="857"/>
      <c r="L364" s="1260">
        <f>SUM(L350:L363)</f>
        <v>2112.0545038056603</v>
      </c>
    </row>
    <row r="365" spans="1:29" ht="15" customHeight="1" thickTop="1" x14ac:dyDescent="0.25">
      <c r="B365" s="1261" t="s">
        <v>409</v>
      </c>
      <c r="C365" s="1262"/>
      <c r="D365" s="1263">
        <f>+'Gtos Varios'!I14</f>
        <v>3672.93</v>
      </c>
      <c r="E365" s="1262"/>
      <c r="F365" s="1264">
        <f t="shared" ref="F365" si="125">+E365+D365</f>
        <v>3672.93</v>
      </c>
      <c r="G365" s="1265">
        <f>F365</f>
        <v>3672.93</v>
      </c>
      <c r="H365" s="1262" t="str">
        <f>B365</f>
        <v xml:space="preserve">GASTOS VARIOS </v>
      </c>
      <c r="I365" s="857"/>
    </row>
    <row r="366" spans="1:29" ht="15" customHeight="1" x14ac:dyDescent="0.25">
      <c r="B366" s="1255"/>
      <c r="C366" s="857"/>
      <c r="D366" s="1256"/>
      <c r="E366" s="1248"/>
      <c r="F366" s="1257"/>
      <c r="G366" s="1266"/>
      <c r="H366" s="857"/>
      <c r="I366" s="857"/>
    </row>
    <row r="367" spans="1:29" ht="15" customHeight="1" x14ac:dyDescent="0.25">
      <c r="B367" s="1255"/>
      <c r="C367" s="857"/>
      <c r="D367" s="1256"/>
      <c r="E367" s="1248"/>
      <c r="F367" s="1257"/>
      <c r="G367" s="1266"/>
      <c r="H367" s="857"/>
      <c r="I367" s="857"/>
    </row>
    <row r="368" spans="1:29" ht="15" customHeight="1" thickBot="1" x14ac:dyDescent="0.3">
      <c r="F368" s="1267">
        <f>SUM(F350:F363)</f>
        <v>247553.65999999997</v>
      </c>
      <c r="G368" s="1268">
        <f>SUM(G364:G365)</f>
        <v>5784.9778222634332</v>
      </c>
      <c r="H368" s="733" t="s">
        <v>412</v>
      </c>
    </row>
    <row r="369" spans="1:21" ht="15" customHeight="1" thickTop="1" x14ac:dyDescent="0.25">
      <c r="G369" s="1257">
        <f>G368*58%</f>
        <v>3355.2871369127911</v>
      </c>
      <c r="H369" s="1274">
        <v>0.57999999999999996</v>
      </c>
      <c r="I369" s="733" t="s">
        <v>539</v>
      </c>
    </row>
    <row r="370" spans="1:21" ht="15" customHeight="1" thickBot="1" x14ac:dyDescent="0.3">
      <c r="G370" s="1270">
        <f>G368+G369</f>
        <v>9140.2649591762238</v>
      </c>
      <c r="H370" s="733" t="s">
        <v>414</v>
      </c>
    </row>
    <row r="371" spans="1:21" ht="15" customHeight="1" thickTop="1" x14ac:dyDescent="0.25"/>
    <row r="375" spans="1:21" ht="15" customHeight="1" x14ac:dyDescent="0.25">
      <c r="B375" s="1222" t="s">
        <v>61</v>
      </c>
      <c r="C375" s="1219" t="s">
        <v>99</v>
      </c>
      <c r="D375" s="733"/>
    </row>
    <row r="376" spans="1:21" ht="15" customHeight="1" x14ac:dyDescent="0.25">
      <c r="A376" s="1223" t="s">
        <v>711</v>
      </c>
      <c r="B376" s="1222" t="s">
        <v>62</v>
      </c>
      <c r="C376" s="1219" t="str">
        <f>VLOOKUP(C375,LISTPROD[],2,FALSE)</f>
        <v>CIR LAN (500ml)</v>
      </c>
      <c r="D376" s="1219" t="s">
        <v>486</v>
      </c>
      <c r="E376" s="857" t="s">
        <v>691</v>
      </c>
    </row>
    <row r="377" spans="1:21" ht="15" customHeight="1" x14ac:dyDescent="0.25">
      <c r="B377" s="1222" t="s">
        <v>234</v>
      </c>
      <c r="C377" s="1219" t="str">
        <f>VLOOKUP(C375,LISTPROD[],6,FALSE)</f>
        <v>01</v>
      </c>
      <c r="D377" s="733"/>
    </row>
    <row r="378" spans="1:21" ht="15" customHeight="1" x14ac:dyDescent="0.25">
      <c r="B378" s="1222" t="s">
        <v>239</v>
      </c>
      <c r="C378" s="1224">
        <v>390</v>
      </c>
      <c r="D378" s="1218"/>
    </row>
    <row r="379" spans="1:21" ht="15" customHeight="1" x14ac:dyDescent="0.25">
      <c r="B379" s="1222" t="s">
        <v>240</v>
      </c>
      <c r="C379" s="1219"/>
      <c r="D379" s="733"/>
      <c r="M379" s="1219" t="s">
        <v>632</v>
      </c>
    </row>
    <row r="380" spans="1:21" ht="15" customHeight="1" x14ac:dyDescent="0.25">
      <c r="B380" s="1222" t="s">
        <v>238</v>
      </c>
      <c r="C380" s="733" t="s">
        <v>56</v>
      </c>
      <c r="D380" s="1218" t="s">
        <v>449</v>
      </c>
      <c r="M380" s="733">
        <f>C378</f>
        <v>390</v>
      </c>
      <c r="O380" s="1289">
        <f>+M380*1000</f>
        <v>390000</v>
      </c>
      <c r="P380" s="733" t="s">
        <v>619</v>
      </c>
    </row>
    <row r="381" spans="1:21" ht="24.75" customHeight="1" x14ac:dyDescent="0.25">
      <c r="B381" s="1225" t="s">
        <v>410</v>
      </c>
      <c r="C381" s="1290">
        <v>500</v>
      </c>
      <c r="D381" s="1226"/>
    </row>
    <row r="382" spans="1:21" ht="15" customHeight="1" x14ac:dyDescent="0.25">
      <c r="A382" s="1227"/>
      <c r="B382" s="1436" t="s">
        <v>404</v>
      </c>
      <c r="C382" s="1436"/>
      <c r="D382" s="1436"/>
      <c r="E382" s="1436"/>
      <c r="F382" s="1436"/>
      <c r="G382" s="1228"/>
      <c r="H382" s="1437" t="s">
        <v>416</v>
      </c>
      <c r="I382" s="1438"/>
    </row>
    <row r="383" spans="1:21" ht="51.75" customHeight="1" x14ac:dyDescent="0.25">
      <c r="A383" s="1229"/>
      <c r="B383" s="1230" t="s">
        <v>398</v>
      </c>
      <c r="C383" s="1231" t="s">
        <v>441</v>
      </c>
      <c r="D383" s="1232" t="s">
        <v>399</v>
      </c>
      <c r="E383" s="1233" t="s">
        <v>402</v>
      </c>
      <c r="F383" s="1232" t="s">
        <v>399</v>
      </c>
      <c r="G383" s="1232" t="s">
        <v>411</v>
      </c>
      <c r="H383" s="1234" t="s">
        <v>408</v>
      </c>
      <c r="I383" s="1235" t="s">
        <v>415</v>
      </c>
      <c r="K383" s="1236" t="s">
        <v>603</v>
      </c>
      <c r="L383" s="1237" t="s">
        <v>604</v>
      </c>
      <c r="N383" s="1445" t="s">
        <v>633</v>
      </c>
      <c r="O383" s="1445"/>
      <c r="P383" s="1445"/>
      <c r="Q383" s="1219"/>
      <c r="R383" s="1219" t="s">
        <v>622</v>
      </c>
      <c r="S383" s="1219" t="s">
        <v>634</v>
      </c>
      <c r="T383" s="1219" t="s">
        <v>623</v>
      </c>
      <c r="U383" s="1222" t="s">
        <v>625</v>
      </c>
    </row>
    <row r="384" spans="1:21" ht="15" customHeight="1" x14ac:dyDescent="0.25">
      <c r="A384" s="1238"/>
      <c r="B384" s="1228" t="s">
        <v>248</v>
      </c>
      <c r="C384" s="1228">
        <v>1000</v>
      </c>
      <c r="D384" s="1239">
        <f>'Prec Materia Prima y Empaq'!$H$21</f>
        <v>15400</v>
      </c>
      <c r="E384" s="1240">
        <f>D384*19%</f>
        <v>2926</v>
      </c>
      <c r="F384" s="1241">
        <f>+E384+D384</f>
        <v>18326</v>
      </c>
      <c r="G384" s="1240">
        <f t="shared" ref="G384:G386" si="126">F384/C384*H384</f>
        <v>16493.400000000001</v>
      </c>
      <c r="H384" s="1242">
        <v>900</v>
      </c>
      <c r="I384" s="1228" t="s">
        <v>450</v>
      </c>
      <c r="K384" s="1242">
        <f>H384/$C$378</f>
        <v>2.3076923076923075</v>
      </c>
      <c r="L384" s="1239">
        <f>F384/C384*K384</f>
        <v>42.290769230769229</v>
      </c>
    </row>
    <row r="385" spans="1:29" ht="15" customHeight="1" x14ac:dyDescent="0.25">
      <c r="A385" s="1238"/>
      <c r="B385" s="1228" t="s">
        <v>443</v>
      </c>
      <c r="C385" s="1228">
        <v>1000</v>
      </c>
      <c r="D385" s="1239">
        <f>'Prec Materia Prima y Empaq'!$H$11</f>
        <v>8000</v>
      </c>
      <c r="E385" s="1240">
        <f t="shared" ref="E385:E390" si="127">D385*19%</f>
        <v>1520</v>
      </c>
      <c r="F385" s="1241">
        <f t="shared" ref="F385:F395" si="128">+E385+D385</f>
        <v>9520</v>
      </c>
      <c r="G385" s="1240">
        <f t="shared" si="126"/>
        <v>5712</v>
      </c>
      <c r="H385" s="1242">
        <v>600</v>
      </c>
      <c r="I385" s="1228" t="s">
        <v>450</v>
      </c>
      <c r="K385" s="1242">
        <f t="shared" ref="K385:K395" si="129">H385/$C$378</f>
        <v>1.5384615384615385</v>
      </c>
      <c r="L385" s="1239">
        <f t="shared" ref="L385:L395" si="130">F385/C385*K385</f>
        <v>14.646153846153846</v>
      </c>
    </row>
    <row r="386" spans="1:29" ht="15" customHeight="1" x14ac:dyDescent="0.25">
      <c r="A386" s="1238"/>
      <c r="B386" s="1228" t="s">
        <v>253</v>
      </c>
      <c r="C386" s="1228">
        <v>1000</v>
      </c>
      <c r="D386" s="1239">
        <f>'Prec Materia Prima y Empaq'!$H$9</f>
        <v>5400</v>
      </c>
      <c r="E386" s="1240">
        <f t="shared" si="127"/>
        <v>1026</v>
      </c>
      <c r="F386" s="1241">
        <f t="shared" si="128"/>
        <v>6426</v>
      </c>
      <c r="G386" s="1240">
        <f t="shared" si="126"/>
        <v>3534.3</v>
      </c>
      <c r="H386" s="1242">
        <v>550</v>
      </c>
      <c r="I386" s="1228" t="s">
        <v>450</v>
      </c>
      <c r="K386" s="1242">
        <f t="shared" si="129"/>
        <v>1.4102564102564104</v>
      </c>
      <c r="L386" s="1239">
        <f t="shared" si="130"/>
        <v>9.0623076923076926</v>
      </c>
    </row>
    <row r="387" spans="1:29" ht="15" customHeight="1" x14ac:dyDescent="0.25">
      <c r="A387" s="1238"/>
      <c r="B387" s="1228" t="s">
        <v>382</v>
      </c>
      <c r="C387" s="1228">
        <v>3785</v>
      </c>
      <c r="D387" s="1239">
        <f>'Prec Materia Prima y Empaq'!$H$18</f>
        <v>24</v>
      </c>
      <c r="E387" s="1240">
        <f t="shared" si="127"/>
        <v>4.5600000000000005</v>
      </c>
      <c r="F387" s="1241">
        <f t="shared" si="128"/>
        <v>28.560000000000002</v>
      </c>
      <c r="G387" s="1240">
        <f>F387/C387*H387</f>
        <v>0.37727873183619554</v>
      </c>
      <c r="H387" s="1242">
        <v>50</v>
      </c>
      <c r="I387" s="1228" t="s">
        <v>450</v>
      </c>
      <c r="K387" s="1242">
        <f t="shared" si="129"/>
        <v>0.12820512820512819</v>
      </c>
      <c r="L387" s="1239">
        <f t="shared" si="130"/>
        <v>9.6738136368255262E-4</v>
      </c>
    </row>
    <row r="388" spans="1:29" ht="15" customHeight="1" x14ac:dyDescent="0.25">
      <c r="A388" s="1238"/>
      <c r="B388" s="1228" t="s">
        <v>709</v>
      </c>
      <c r="C388" s="1228">
        <v>1000</v>
      </c>
      <c r="D388" s="1273">
        <f>'Prec Materia Prima y Empaq'!$H$55</f>
        <v>50522</v>
      </c>
      <c r="E388" s="1240">
        <f t="shared" si="127"/>
        <v>9599.18</v>
      </c>
      <c r="F388" s="1241">
        <f t="shared" si="128"/>
        <v>60121.18</v>
      </c>
      <c r="G388" s="1240">
        <f t="shared" ref="G388:G390" si="131">F388/C388*H388</f>
        <v>6012.1180000000004</v>
      </c>
      <c r="H388" s="1242">
        <v>100</v>
      </c>
      <c r="I388" s="1228" t="s">
        <v>450</v>
      </c>
      <c r="K388" s="1242">
        <f t="shared" si="129"/>
        <v>0.25641025641025639</v>
      </c>
      <c r="L388" s="1239">
        <f t="shared" si="130"/>
        <v>15.415687179487179</v>
      </c>
    </row>
    <row r="389" spans="1:29" ht="15" customHeight="1" x14ac:dyDescent="0.25">
      <c r="A389" s="1238"/>
      <c r="B389" s="1228" t="s">
        <v>246</v>
      </c>
      <c r="C389" s="1228">
        <v>1000</v>
      </c>
      <c r="D389" s="1273">
        <f>'Prec Materia Prima y Empaq'!H41</f>
        <v>80268</v>
      </c>
      <c r="E389" s="1240">
        <f t="shared" si="127"/>
        <v>15250.92</v>
      </c>
      <c r="F389" s="1241">
        <f t="shared" si="128"/>
        <v>95518.92</v>
      </c>
      <c r="G389" s="1240">
        <f t="shared" si="131"/>
        <v>0</v>
      </c>
      <c r="H389" s="1242"/>
      <c r="I389" s="1228" t="s">
        <v>450</v>
      </c>
      <c r="K389" s="1242">
        <f t="shared" si="129"/>
        <v>0</v>
      </c>
      <c r="L389" s="1239">
        <f t="shared" si="130"/>
        <v>0</v>
      </c>
    </row>
    <row r="390" spans="1:29" ht="15" customHeight="1" x14ac:dyDescent="0.25">
      <c r="A390" s="1238"/>
      <c r="B390" s="1228" t="s">
        <v>261</v>
      </c>
      <c r="C390" s="1228">
        <v>1000</v>
      </c>
      <c r="D390" s="1273">
        <f>'Prec Materia Prima y Empaq'!$H$12</f>
        <v>4700</v>
      </c>
      <c r="E390" s="1240">
        <f t="shared" si="127"/>
        <v>893</v>
      </c>
      <c r="F390" s="1241">
        <f t="shared" si="128"/>
        <v>5593</v>
      </c>
      <c r="G390" s="1240">
        <f t="shared" si="131"/>
        <v>1118.5999999999999</v>
      </c>
      <c r="H390" s="1242">
        <v>200</v>
      </c>
      <c r="I390" s="1228" t="s">
        <v>450</v>
      </c>
      <c r="K390" s="1242">
        <f t="shared" si="129"/>
        <v>0.51282051282051277</v>
      </c>
      <c r="L390" s="1239">
        <f t="shared" si="130"/>
        <v>2.868205128205128</v>
      </c>
    </row>
    <row r="391" spans="1:29" ht="31.5" customHeight="1" x14ac:dyDescent="0.25">
      <c r="B391" s="1220" t="s">
        <v>247</v>
      </c>
      <c r="C391" s="1228">
        <v>1000</v>
      </c>
      <c r="D391" s="1244">
        <f>'Prec Materia Prima y Empaq'!$H$7</f>
        <v>50000</v>
      </c>
      <c r="E391" s="1240">
        <v>0</v>
      </c>
      <c r="F391" s="1241">
        <f t="shared" si="128"/>
        <v>50000</v>
      </c>
      <c r="G391" s="1240">
        <f>F391/C391*H391</f>
        <v>32.022471910112351</v>
      </c>
      <c r="H391" s="1245">
        <v>0.64044943820224698</v>
      </c>
      <c r="I391" s="1245" t="s">
        <v>453</v>
      </c>
      <c r="K391" s="1291">
        <f t="shared" si="129"/>
        <v>1.6421780466724281E-3</v>
      </c>
      <c r="L391" s="1239">
        <f t="shared" si="130"/>
        <v>8.2108902333621406E-2</v>
      </c>
      <c r="N391" s="1220" t="s">
        <v>247</v>
      </c>
      <c r="O391" s="1247">
        <v>1</v>
      </c>
      <c r="P391" s="1240">
        <f>$F$391/$C$391*$O$391</f>
        <v>50</v>
      </c>
      <c r="Q391" s="1248"/>
      <c r="R391" s="1249">
        <f>P391/O380</f>
        <v>1.2820512820512821E-4</v>
      </c>
      <c r="S391" s="1248">
        <f>R391*1000</f>
        <v>0.12820512820512819</v>
      </c>
      <c r="T391" s="1250">
        <f>O391/$O$380*1000</f>
        <v>2.5641025641025641E-3</v>
      </c>
      <c r="U391" s="1238">
        <f>T391*$M$380</f>
        <v>1</v>
      </c>
      <c r="Y391" s="1238"/>
      <c r="Z391" s="1238"/>
      <c r="AA391" s="1251"/>
      <c r="AC391" s="1252"/>
    </row>
    <row r="392" spans="1:29" ht="30.75" customHeight="1" x14ac:dyDescent="0.25">
      <c r="B392" s="1220" t="s">
        <v>493</v>
      </c>
      <c r="C392" s="1220">
        <v>1</v>
      </c>
      <c r="D392" s="1244">
        <f>'Prec Materia Prima y Empaq'!$H$142</f>
        <v>650</v>
      </c>
      <c r="E392" s="1240">
        <v>0</v>
      </c>
      <c r="F392" s="1241">
        <f t="shared" si="128"/>
        <v>650</v>
      </c>
      <c r="G392" s="1253">
        <f t="shared" ref="G392:G395" si="132">F392*H392</f>
        <v>253500</v>
      </c>
      <c r="H392" s="1245">
        <f>$C$378</f>
        <v>390</v>
      </c>
      <c r="I392" s="1245" t="s">
        <v>453</v>
      </c>
      <c r="K392" s="1242">
        <f t="shared" si="129"/>
        <v>1</v>
      </c>
      <c r="L392" s="1239">
        <f t="shared" si="130"/>
        <v>650</v>
      </c>
    </row>
    <row r="393" spans="1:29" ht="22.5" customHeight="1" x14ac:dyDescent="0.25">
      <c r="A393" s="1218"/>
      <c r="B393" s="1220" t="s">
        <v>614</v>
      </c>
      <c r="C393" s="1220">
        <v>1</v>
      </c>
      <c r="D393" s="1244">
        <f>'Prec Materia Prima y Empaq'!$H$144</f>
        <v>70</v>
      </c>
      <c r="E393" s="1240"/>
      <c r="F393" s="1241">
        <f t="shared" si="128"/>
        <v>70</v>
      </c>
      <c r="G393" s="1253">
        <f t="shared" si="132"/>
        <v>27300</v>
      </c>
      <c r="H393" s="1245">
        <f t="shared" ref="H393:H395" si="133">$C$378</f>
        <v>390</v>
      </c>
      <c r="I393" s="1245" t="s">
        <v>453</v>
      </c>
      <c r="K393" s="1242">
        <f t="shared" si="129"/>
        <v>1</v>
      </c>
      <c r="L393" s="1239">
        <f t="shared" si="130"/>
        <v>70</v>
      </c>
    </row>
    <row r="394" spans="1:29" ht="24.75" customHeight="1" x14ac:dyDescent="0.25">
      <c r="B394" s="1220" t="s">
        <v>503</v>
      </c>
      <c r="C394" s="1245">
        <v>1</v>
      </c>
      <c r="D394" s="1244">
        <f>'Prec Materia Prima y Empaq'!$H$143</f>
        <v>250</v>
      </c>
      <c r="E394" s="1240"/>
      <c r="F394" s="1241">
        <f t="shared" si="128"/>
        <v>250</v>
      </c>
      <c r="G394" s="1253">
        <f t="shared" si="132"/>
        <v>97500</v>
      </c>
      <c r="H394" s="1245">
        <f t="shared" si="133"/>
        <v>390</v>
      </c>
      <c r="I394" s="1245" t="s">
        <v>453</v>
      </c>
      <c r="K394" s="1242">
        <f t="shared" si="129"/>
        <v>1</v>
      </c>
      <c r="L394" s="1239">
        <f t="shared" si="130"/>
        <v>250</v>
      </c>
    </row>
    <row r="395" spans="1:29" ht="46.5" customHeight="1" x14ac:dyDescent="0.25">
      <c r="A395" s="1048" t="s">
        <v>754</v>
      </c>
      <c r="B395" s="1292" t="s">
        <v>710</v>
      </c>
      <c r="C395" s="1282">
        <v>1</v>
      </c>
      <c r="D395" s="1283">
        <f>'Prec Materia Prima y Empaq'!$H$195</f>
        <v>0</v>
      </c>
      <c r="E395" s="1293"/>
      <c r="F395" s="1241">
        <f t="shared" si="128"/>
        <v>0</v>
      </c>
      <c r="G395" s="1253">
        <f t="shared" si="132"/>
        <v>0</v>
      </c>
      <c r="H395" s="1245">
        <f t="shared" si="133"/>
        <v>390</v>
      </c>
      <c r="I395" s="1245" t="s">
        <v>453</v>
      </c>
      <c r="K395" s="1242">
        <f t="shared" si="129"/>
        <v>1</v>
      </c>
      <c r="L395" s="1239">
        <f t="shared" si="130"/>
        <v>0</v>
      </c>
    </row>
    <row r="396" spans="1:29" ht="19.5" customHeight="1" thickBot="1" x14ac:dyDescent="0.3">
      <c r="B396" s="1255"/>
      <c r="C396" s="857"/>
      <c r="D396" s="1256"/>
      <c r="E396" s="1248"/>
      <c r="F396" s="1257"/>
      <c r="G396" s="1258">
        <f>SUM(G384:G395)/C378</f>
        <v>1054.3661993606204</v>
      </c>
      <c r="H396" s="1259" t="s">
        <v>454</v>
      </c>
      <c r="I396" s="857"/>
      <c r="L396" s="1260">
        <f>SUM(L384:L395)</f>
        <v>1054.3661993606204</v>
      </c>
    </row>
    <row r="397" spans="1:29" ht="15" customHeight="1" thickTop="1" x14ac:dyDescent="0.25">
      <c r="B397" s="1261" t="s">
        <v>409</v>
      </c>
      <c r="C397" s="1262"/>
      <c r="D397" s="1263">
        <f>+'Gtos Varios'!I14</f>
        <v>3672.93</v>
      </c>
      <c r="E397" s="1262"/>
      <c r="F397" s="1264">
        <f t="shared" ref="F397" si="134">+E397+D397</f>
        <v>3672.93</v>
      </c>
      <c r="G397" s="1265">
        <f>F397</f>
        <v>3672.93</v>
      </c>
      <c r="H397" s="1262" t="str">
        <f>B397</f>
        <v xml:space="preserve">GASTOS VARIOS </v>
      </c>
      <c r="I397" s="857"/>
    </row>
    <row r="398" spans="1:29" ht="15" customHeight="1" x14ac:dyDescent="0.25">
      <c r="B398" s="1255"/>
      <c r="C398" s="857"/>
      <c r="D398" s="1256"/>
      <c r="E398" s="1248"/>
      <c r="F398" s="1257"/>
      <c r="G398" s="1266"/>
      <c r="H398" s="857"/>
      <c r="I398" s="857"/>
    </row>
    <row r="399" spans="1:29" ht="15" customHeight="1" x14ac:dyDescent="0.25">
      <c r="B399" s="1255"/>
      <c r="C399" s="857"/>
      <c r="D399" s="1256"/>
      <c r="E399" s="1248"/>
      <c r="F399" s="1257"/>
      <c r="G399" s="1266"/>
      <c r="H399" s="857"/>
      <c r="I399" s="857"/>
    </row>
    <row r="400" spans="1:29" ht="15" customHeight="1" thickBot="1" x14ac:dyDescent="0.3">
      <c r="F400" s="1267">
        <f>SUM(F384:F395)</f>
        <v>246503.65999999997</v>
      </c>
      <c r="G400" s="1268">
        <f>SUM(G396:G397)</f>
        <v>4727.2961993606204</v>
      </c>
      <c r="H400" s="733" t="s">
        <v>412</v>
      </c>
    </row>
    <row r="401" spans="1:12" ht="15" customHeight="1" thickTop="1" x14ac:dyDescent="0.25">
      <c r="G401" s="1257">
        <f>G400*73%</f>
        <v>3450.9262255332528</v>
      </c>
      <c r="H401" s="1274">
        <v>0.73</v>
      </c>
      <c r="I401" s="733" t="s">
        <v>539</v>
      </c>
    </row>
    <row r="402" spans="1:12" ht="15" customHeight="1" thickBot="1" x14ac:dyDescent="0.3">
      <c r="G402" s="1270">
        <f>G400+G401</f>
        <v>8178.2224248938728</v>
      </c>
      <c r="H402" s="733" t="s">
        <v>414</v>
      </c>
    </row>
    <row r="403" spans="1:12" ht="15" customHeight="1" thickTop="1" x14ac:dyDescent="0.25"/>
    <row r="406" spans="1:12" ht="15" customHeight="1" x14ac:dyDescent="0.25">
      <c r="B406" s="1222" t="s">
        <v>61</v>
      </c>
      <c r="C406" s="1219" t="s">
        <v>100</v>
      </c>
      <c r="D406" s="733"/>
    </row>
    <row r="407" spans="1:12" ht="15" customHeight="1" x14ac:dyDescent="0.25">
      <c r="B407" s="1222" t="s">
        <v>62</v>
      </c>
      <c r="C407" s="1219" t="str">
        <f>VLOOKUP(C406,LISTPROD[],2,FALSE)</f>
        <v>CIRCULAV LT</v>
      </c>
      <c r="D407" s="1219" t="s">
        <v>486</v>
      </c>
      <c r="E407" s="857" t="s">
        <v>491</v>
      </c>
    </row>
    <row r="408" spans="1:12" ht="15" customHeight="1" x14ac:dyDescent="0.25">
      <c r="B408" s="1222" t="s">
        <v>234</v>
      </c>
      <c r="C408" s="1219" t="str">
        <f>VLOOKUP(C406,LISTPROD[],9,FALSE)</f>
        <v>1000 ML</v>
      </c>
      <c r="D408" s="733"/>
    </row>
    <row r="409" spans="1:12" ht="15" customHeight="1" x14ac:dyDescent="0.25">
      <c r="A409" s="1223" t="s">
        <v>711</v>
      </c>
      <c r="B409" s="1222" t="s">
        <v>239</v>
      </c>
      <c r="C409" s="1224">
        <v>220</v>
      </c>
      <c r="D409" s="1218"/>
      <c r="E409" s="1218"/>
    </row>
    <row r="410" spans="1:12" ht="15" customHeight="1" x14ac:dyDescent="0.25">
      <c r="B410" s="1222" t="s">
        <v>240</v>
      </c>
      <c r="C410" s="1219"/>
      <c r="D410" s="733"/>
    </row>
    <row r="411" spans="1:12" ht="15" customHeight="1" x14ac:dyDescent="0.25">
      <c r="B411" s="1222" t="s">
        <v>238</v>
      </c>
      <c r="C411" s="733" t="s">
        <v>56</v>
      </c>
      <c r="D411" s="857" t="s">
        <v>449</v>
      </c>
      <c r="E411" s="1218"/>
    </row>
    <row r="412" spans="1:12" ht="15" customHeight="1" x14ac:dyDescent="0.25">
      <c r="B412" s="1225" t="s">
        <v>410</v>
      </c>
      <c r="C412" s="753">
        <v>1000</v>
      </c>
      <c r="D412" s="1226"/>
      <c r="E412" s="1226"/>
    </row>
    <row r="413" spans="1:12" ht="15" customHeight="1" x14ac:dyDescent="0.25">
      <c r="A413" s="1227"/>
      <c r="B413" s="1446" t="s">
        <v>404</v>
      </c>
      <c r="C413" s="1447"/>
      <c r="D413" s="1447"/>
      <c r="E413" s="1447"/>
      <c r="F413" s="1448"/>
      <c r="G413" s="1228"/>
      <c r="H413" s="1437" t="s">
        <v>416</v>
      </c>
      <c r="I413" s="1438"/>
    </row>
    <row r="414" spans="1:12" ht="34.5" customHeight="1" x14ac:dyDescent="0.25">
      <c r="A414" s="1229"/>
      <c r="B414" s="1230" t="s">
        <v>398</v>
      </c>
      <c r="C414" s="1231" t="s">
        <v>441</v>
      </c>
      <c r="D414" s="1232" t="s">
        <v>399</v>
      </c>
      <c r="E414" s="1233" t="s">
        <v>402</v>
      </c>
      <c r="F414" s="1232" t="s">
        <v>399</v>
      </c>
      <c r="G414" s="1232" t="s">
        <v>411</v>
      </c>
      <c r="H414" s="1234" t="s">
        <v>408</v>
      </c>
      <c r="I414" s="1235" t="s">
        <v>415</v>
      </c>
      <c r="K414" s="1236" t="s">
        <v>603</v>
      </c>
      <c r="L414" s="1237" t="s">
        <v>604</v>
      </c>
    </row>
    <row r="415" spans="1:12" ht="15" customHeight="1" x14ac:dyDescent="0.25">
      <c r="A415" s="1238"/>
      <c r="B415" s="1245" t="s">
        <v>248</v>
      </c>
      <c r="C415" s="1228">
        <v>1000</v>
      </c>
      <c r="D415" s="1239">
        <f>'Prec Materia Prima y Empaq'!$H$21</f>
        <v>15400</v>
      </c>
      <c r="E415" s="1240">
        <f>D415*19%</f>
        <v>2926</v>
      </c>
      <c r="F415" s="1241">
        <f>+E415+D415</f>
        <v>18326</v>
      </c>
      <c r="G415" s="1240">
        <f>F415/C415*H415</f>
        <v>16493.400000000001</v>
      </c>
      <c r="H415" s="1242">
        <v>900</v>
      </c>
      <c r="I415" s="1228" t="s">
        <v>450</v>
      </c>
      <c r="K415" s="1242">
        <f>H415/$C$409</f>
        <v>4.0909090909090908</v>
      </c>
      <c r="L415" s="1243">
        <f>F415/C415*K415</f>
        <v>74.97</v>
      </c>
    </row>
    <row r="416" spans="1:12" ht="15" customHeight="1" x14ac:dyDescent="0.25">
      <c r="A416" s="1238"/>
      <c r="B416" s="1245" t="s">
        <v>443</v>
      </c>
      <c r="C416" s="1228">
        <v>1000</v>
      </c>
      <c r="D416" s="1239">
        <f>'Prec Materia Prima y Empaq'!$H$11</f>
        <v>8000</v>
      </c>
      <c r="E416" s="1240">
        <f t="shared" ref="E416:E421" si="135">D416*19%</f>
        <v>1520</v>
      </c>
      <c r="F416" s="1241">
        <f t="shared" ref="F416:F425" si="136">+E416+D416</f>
        <v>9520</v>
      </c>
      <c r="G416" s="1240">
        <f t="shared" ref="G416:G421" si="137">F416/C416*H416</f>
        <v>5712</v>
      </c>
      <c r="H416" s="1242">
        <v>600</v>
      </c>
      <c r="I416" s="1228" t="s">
        <v>450</v>
      </c>
      <c r="K416" s="1242">
        <f t="shared" ref="K416:K425" si="138">H416/$C$409</f>
        <v>2.7272727272727271</v>
      </c>
      <c r="L416" s="1243">
        <f t="shared" ref="L416:L425" si="139">F416/C416*K416</f>
        <v>25.963636363636361</v>
      </c>
    </row>
    <row r="417" spans="1:29" ht="15" customHeight="1" x14ac:dyDescent="0.25">
      <c r="A417" s="1238"/>
      <c r="B417" s="1245" t="s">
        <v>253</v>
      </c>
      <c r="C417" s="1228">
        <v>1000</v>
      </c>
      <c r="D417" s="1239">
        <f>'Prec Materia Prima y Empaq'!$H$9</f>
        <v>5400</v>
      </c>
      <c r="E417" s="1240">
        <f t="shared" si="135"/>
        <v>1026</v>
      </c>
      <c r="F417" s="1241">
        <f t="shared" si="136"/>
        <v>6426</v>
      </c>
      <c r="G417" s="1240">
        <f t="shared" si="137"/>
        <v>3534.3</v>
      </c>
      <c r="H417" s="1242">
        <v>550</v>
      </c>
      <c r="I417" s="1228" t="s">
        <v>450</v>
      </c>
      <c r="K417" s="1242">
        <f t="shared" si="138"/>
        <v>2.5</v>
      </c>
      <c r="L417" s="1243">
        <f t="shared" si="139"/>
        <v>16.065000000000001</v>
      </c>
    </row>
    <row r="418" spans="1:29" ht="15" customHeight="1" x14ac:dyDescent="0.25">
      <c r="A418" s="1238"/>
      <c r="B418" s="1245" t="s">
        <v>262</v>
      </c>
      <c r="C418" s="1228">
        <v>1000</v>
      </c>
      <c r="D418" s="1273">
        <f>'Prec Materia Prima y Empaq'!$H$55</f>
        <v>50522</v>
      </c>
      <c r="E418" s="1240">
        <f t="shared" si="135"/>
        <v>9599.18</v>
      </c>
      <c r="F418" s="1241">
        <f t="shared" si="136"/>
        <v>60121.18</v>
      </c>
      <c r="G418" s="1240">
        <f t="shared" si="137"/>
        <v>6012.1180000000004</v>
      </c>
      <c r="H418" s="1242">
        <v>100</v>
      </c>
      <c r="I418" s="1228" t="s">
        <v>450</v>
      </c>
      <c r="K418" s="1242">
        <f t="shared" si="138"/>
        <v>0.45454545454545453</v>
      </c>
      <c r="L418" s="1243">
        <f t="shared" si="139"/>
        <v>27.327809090909092</v>
      </c>
    </row>
    <row r="419" spans="1:29" ht="15" customHeight="1" x14ac:dyDescent="0.25">
      <c r="A419" s="1238"/>
      <c r="B419" s="1245" t="s">
        <v>246</v>
      </c>
      <c r="C419" s="1228">
        <v>1000</v>
      </c>
      <c r="D419" s="1239">
        <f>'Prec Materia Prima y Empaq'!$H$41</f>
        <v>80268</v>
      </c>
      <c r="E419" s="1240">
        <f t="shared" ref="E419" si="140">D419*19%</f>
        <v>15250.92</v>
      </c>
      <c r="F419" s="1241">
        <f t="shared" ref="F419" si="141">+E419+D419</f>
        <v>95518.92</v>
      </c>
      <c r="G419" s="1240">
        <f t="shared" si="137"/>
        <v>2387.973</v>
      </c>
      <c r="H419" s="1242">
        <v>25</v>
      </c>
      <c r="I419" s="1228" t="s">
        <v>450</v>
      </c>
      <c r="K419" s="1242">
        <f t="shared" si="138"/>
        <v>0.11363636363636363</v>
      </c>
      <c r="L419" s="1243">
        <f t="shared" si="139"/>
        <v>10.854422727272727</v>
      </c>
    </row>
    <row r="420" spans="1:29" ht="15" customHeight="1" x14ac:dyDescent="0.25">
      <c r="A420" s="1238"/>
      <c r="B420" s="1245" t="s">
        <v>261</v>
      </c>
      <c r="C420" s="1228">
        <v>1000</v>
      </c>
      <c r="D420" s="1239">
        <f>'Prec Materia Prima y Empaq'!$H$12</f>
        <v>4700</v>
      </c>
      <c r="E420" s="1240">
        <f t="shared" si="135"/>
        <v>893</v>
      </c>
      <c r="F420" s="1241">
        <f t="shared" si="136"/>
        <v>5593</v>
      </c>
      <c r="G420" s="1240">
        <f t="shared" si="137"/>
        <v>1118.5999999999999</v>
      </c>
      <c r="H420" s="1242">
        <v>200</v>
      </c>
      <c r="I420" s="1228" t="s">
        <v>450</v>
      </c>
      <c r="K420" s="1242">
        <f t="shared" si="138"/>
        <v>0.90909090909090906</v>
      </c>
      <c r="L420" s="1243">
        <f t="shared" si="139"/>
        <v>5.084545454545454</v>
      </c>
    </row>
    <row r="421" spans="1:29" ht="15" customHeight="1" x14ac:dyDescent="0.25">
      <c r="B421" s="1228" t="s">
        <v>382</v>
      </c>
      <c r="C421" s="1228">
        <v>3785</v>
      </c>
      <c r="D421" s="1239">
        <f>'Prec Materia Prima y Empaq'!$H$18</f>
        <v>24</v>
      </c>
      <c r="E421" s="1240">
        <f t="shared" si="135"/>
        <v>4.5600000000000005</v>
      </c>
      <c r="F421" s="1241">
        <f t="shared" si="136"/>
        <v>28.560000000000002</v>
      </c>
      <c r="G421" s="1240">
        <f t="shared" si="137"/>
        <v>0.37727873183619554</v>
      </c>
      <c r="H421" s="1242">
        <v>50</v>
      </c>
      <c r="I421" s="1228" t="s">
        <v>450</v>
      </c>
      <c r="K421" s="1242">
        <f t="shared" si="138"/>
        <v>0.22727272727272727</v>
      </c>
      <c r="L421" s="1243">
        <f t="shared" si="139"/>
        <v>1.7149033265281615E-3</v>
      </c>
    </row>
    <row r="422" spans="1:29" ht="31.5" customHeight="1" x14ac:dyDescent="0.25">
      <c r="B422" s="1220" t="s">
        <v>247</v>
      </c>
      <c r="C422" s="1228">
        <v>1000</v>
      </c>
      <c r="D422" s="1244">
        <f>'Prec Materia Prima y Empaq'!$H$7</f>
        <v>50000</v>
      </c>
      <c r="E422" s="1240">
        <v>0</v>
      </c>
      <c r="F422" s="1241">
        <f t="shared" si="136"/>
        <v>50000</v>
      </c>
      <c r="G422" s="1240">
        <f>F422/C422*H422</f>
        <v>32.022471910112351</v>
      </c>
      <c r="H422" s="1245">
        <v>0.64044943820224698</v>
      </c>
      <c r="I422" s="1245" t="s">
        <v>453</v>
      </c>
      <c r="K422" s="1242">
        <f t="shared" ref="K422" si="142">H422/$C$378</f>
        <v>1.6421780466724281E-3</v>
      </c>
      <c r="L422" s="1243">
        <f t="shared" si="139"/>
        <v>8.2108902333621406E-2</v>
      </c>
      <c r="N422" s="1220" t="s">
        <v>247</v>
      </c>
      <c r="O422" s="1247">
        <v>1</v>
      </c>
      <c r="P422" s="1240">
        <f>$F$391/$C$391*$O$391</f>
        <v>50</v>
      </c>
      <c r="Q422" s="1248"/>
      <c r="R422" s="1249" t="e">
        <f>P422/O411</f>
        <v>#DIV/0!</v>
      </c>
      <c r="S422" s="1248" t="e">
        <f>R422*1000</f>
        <v>#DIV/0!</v>
      </c>
      <c r="T422" s="1250">
        <f>O422/$O$380*1000</f>
        <v>2.5641025641025641E-3</v>
      </c>
      <c r="U422" s="1238">
        <f>T422*$M$380</f>
        <v>1</v>
      </c>
      <c r="Y422" s="1238"/>
      <c r="Z422" s="1238"/>
      <c r="AA422" s="1251"/>
      <c r="AC422" s="1252"/>
    </row>
    <row r="423" spans="1:29" ht="30.75" customHeight="1" x14ac:dyDescent="0.25">
      <c r="B423" s="1220" t="s">
        <v>494</v>
      </c>
      <c r="C423" s="1220">
        <v>1</v>
      </c>
      <c r="D423" s="1244">
        <f>'Prec Materia Prima y Empaq'!$H$141</f>
        <v>1500</v>
      </c>
      <c r="E423" s="1240"/>
      <c r="F423" s="1241">
        <f t="shared" si="136"/>
        <v>1500</v>
      </c>
      <c r="G423" s="1253">
        <f t="shared" ref="G423:G425" si="143">F423*H423</f>
        <v>330000</v>
      </c>
      <c r="H423" s="1245">
        <f>$C$409</f>
        <v>220</v>
      </c>
      <c r="I423" s="1245" t="s">
        <v>453</v>
      </c>
      <c r="K423" s="1242">
        <f>H423/$C$409</f>
        <v>1</v>
      </c>
      <c r="L423" s="1243">
        <f t="shared" si="139"/>
        <v>1500</v>
      </c>
    </row>
    <row r="424" spans="1:29" ht="60.75" customHeight="1" x14ac:dyDescent="0.25">
      <c r="B424" s="1220" t="s">
        <v>695</v>
      </c>
      <c r="C424" s="1220">
        <v>1</v>
      </c>
      <c r="D424" s="1272">
        <f>'Prec Materia Prima y Empaq'!$H$161</f>
        <v>300</v>
      </c>
      <c r="E424" s="1240">
        <v>0</v>
      </c>
      <c r="F424" s="1241">
        <f t="shared" si="136"/>
        <v>300</v>
      </c>
      <c r="G424" s="1253">
        <f t="shared" si="143"/>
        <v>66000</v>
      </c>
      <c r="H424" s="1245">
        <f t="shared" ref="H424:H425" si="144">$C$409</f>
        <v>220</v>
      </c>
      <c r="I424" s="1245" t="s">
        <v>453</v>
      </c>
      <c r="K424" s="1242">
        <f t="shared" si="138"/>
        <v>1</v>
      </c>
      <c r="L424" s="1243">
        <f t="shared" si="139"/>
        <v>300</v>
      </c>
    </row>
    <row r="425" spans="1:29" ht="26.25" customHeight="1" x14ac:dyDescent="0.25">
      <c r="B425" s="1254" t="s">
        <v>310</v>
      </c>
      <c r="C425" s="1245">
        <v>1</v>
      </c>
      <c r="D425" s="1244">
        <f>'Prec Materia Prima y Empaq'!$H$130</f>
        <v>100</v>
      </c>
      <c r="E425" s="1240">
        <v>0</v>
      </c>
      <c r="F425" s="1241">
        <f t="shared" si="136"/>
        <v>100</v>
      </c>
      <c r="G425" s="1253">
        <f t="shared" si="143"/>
        <v>22000</v>
      </c>
      <c r="H425" s="1245">
        <f t="shared" si="144"/>
        <v>220</v>
      </c>
      <c r="I425" s="1245" t="s">
        <v>453</v>
      </c>
      <c r="K425" s="1242">
        <f t="shared" si="138"/>
        <v>1</v>
      </c>
      <c r="L425" s="1243">
        <f t="shared" si="139"/>
        <v>100</v>
      </c>
    </row>
    <row r="426" spans="1:29" ht="19.5" customHeight="1" thickBot="1" x14ac:dyDescent="0.3">
      <c r="B426" s="857"/>
      <c r="C426" s="857"/>
      <c r="D426" s="1256"/>
      <c r="E426" s="1248"/>
      <c r="F426" s="1257"/>
      <c r="G426" s="1258">
        <f>SUM(G415:G425)/C409</f>
        <v>2060.4126852301906</v>
      </c>
      <c r="H426" s="1259" t="s">
        <v>454</v>
      </c>
      <c r="I426" s="857"/>
      <c r="L426" s="1260">
        <f>SUM(L415:L425)</f>
        <v>2060.3492374420239</v>
      </c>
    </row>
    <row r="427" spans="1:29" ht="15" customHeight="1" thickTop="1" x14ac:dyDescent="0.25">
      <c r="B427" s="1261" t="s">
        <v>409</v>
      </c>
      <c r="C427" s="1262"/>
      <c r="D427" s="1263">
        <f>+'Gtos Varios'!I14</f>
        <v>3672.93</v>
      </c>
      <c r="E427" s="1262"/>
      <c r="F427" s="1264">
        <f t="shared" ref="F427" si="145">+E427+D427</f>
        <v>3672.93</v>
      </c>
      <c r="G427" s="1265">
        <f>F427</f>
        <v>3672.93</v>
      </c>
      <c r="H427" s="1262" t="str">
        <f>B427</f>
        <v xml:space="preserve">GASTOS VARIOS </v>
      </c>
      <c r="I427" s="1262"/>
    </row>
    <row r="428" spans="1:29" ht="15" customHeight="1" x14ac:dyDescent="0.25">
      <c r="B428" s="1255"/>
      <c r="C428" s="857"/>
      <c r="D428" s="1256"/>
      <c r="E428" s="1248"/>
      <c r="F428" s="1257"/>
      <c r="G428" s="1266"/>
      <c r="H428" s="857"/>
      <c r="I428" s="857"/>
    </row>
    <row r="429" spans="1:29" ht="15" customHeight="1" x14ac:dyDescent="0.25">
      <c r="B429" s="1255"/>
      <c r="C429" s="857"/>
      <c r="D429" s="1256"/>
      <c r="E429" s="1248"/>
      <c r="F429" s="1257"/>
      <c r="G429" s="1266"/>
      <c r="H429" s="857"/>
      <c r="I429" s="857"/>
    </row>
    <row r="430" spans="1:29" ht="15" customHeight="1" thickBot="1" x14ac:dyDescent="0.3">
      <c r="F430" s="1267">
        <f>SUM(F415:F425)</f>
        <v>247433.65999999997</v>
      </c>
      <c r="G430" s="1268">
        <f>SUM(G426:G427)</f>
        <v>5733.3426852301909</v>
      </c>
      <c r="H430" s="733" t="s">
        <v>412</v>
      </c>
    </row>
    <row r="431" spans="1:29" ht="15" customHeight="1" thickTop="1" x14ac:dyDescent="0.25">
      <c r="G431" s="1257">
        <f>G430*56%</f>
        <v>3210.6719037289072</v>
      </c>
      <c r="H431" s="1274">
        <v>0.56000000000000005</v>
      </c>
      <c r="I431" s="733" t="s">
        <v>539</v>
      </c>
    </row>
    <row r="432" spans="1:29" ht="15" customHeight="1" thickBot="1" x14ac:dyDescent="0.3">
      <c r="G432" s="1270">
        <f>G430+G431</f>
        <v>8944.0145889590985</v>
      </c>
      <c r="H432" s="733" t="s">
        <v>414</v>
      </c>
    </row>
    <row r="433" spans="1:12" ht="15" customHeight="1" thickTop="1" x14ac:dyDescent="0.25"/>
    <row r="436" spans="1:12" ht="15" customHeight="1" x14ac:dyDescent="0.25">
      <c r="B436" s="1222" t="s">
        <v>61</v>
      </c>
      <c r="C436" s="1219" t="s">
        <v>102</v>
      </c>
      <c r="D436" s="733"/>
      <c r="F436" s="1066"/>
      <c r="G436" s="847"/>
      <c r="H436" s="847"/>
      <c r="I436" s="847"/>
    </row>
    <row r="437" spans="1:12" ht="15" customHeight="1" x14ac:dyDescent="0.25">
      <c r="A437" s="1223" t="s">
        <v>711</v>
      </c>
      <c r="B437" s="1222" t="s">
        <v>62</v>
      </c>
      <c r="C437" s="1219" t="str">
        <f>VLOOKUP(C436,LISTPROD[],2,FALSE)</f>
        <v>COLAGENO</v>
      </c>
      <c r="D437" s="1219" t="s">
        <v>486</v>
      </c>
      <c r="E437" s="852" t="s">
        <v>487</v>
      </c>
      <c r="F437" s="1066"/>
      <c r="G437" s="847"/>
      <c r="H437" s="847"/>
      <c r="I437" s="847"/>
    </row>
    <row r="438" spans="1:12" ht="15" customHeight="1" x14ac:dyDescent="0.25">
      <c r="B438" s="1222" t="s">
        <v>234</v>
      </c>
      <c r="C438" s="1219" t="str">
        <f>VLOOKUP(C436,LISTPROD[],9,FALSE)</f>
        <v>500 ML</v>
      </c>
      <c r="D438" s="733"/>
      <c r="E438" s="1066"/>
      <c r="F438" s="1066"/>
      <c r="G438" s="847"/>
      <c r="H438" s="847"/>
      <c r="I438" s="847"/>
    </row>
    <row r="439" spans="1:12" ht="15" customHeight="1" x14ac:dyDescent="0.25">
      <c r="B439" s="1222" t="s">
        <v>239</v>
      </c>
      <c r="C439" s="1224">
        <v>420</v>
      </c>
      <c r="D439" s="1218"/>
      <c r="E439" s="1066"/>
      <c r="F439" s="1066"/>
      <c r="G439" s="847"/>
      <c r="H439" s="847"/>
      <c r="I439" s="847"/>
    </row>
    <row r="440" spans="1:12" ht="15" customHeight="1" x14ac:dyDescent="0.25">
      <c r="B440" s="1222" t="s">
        <v>240</v>
      </c>
      <c r="C440" s="1219"/>
      <c r="D440" s="733"/>
    </row>
    <row r="441" spans="1:12" ht="15" customHeight="1" x14ac:dyDescent="0.25">
      <c r="B441" s="1222" t="s">
        <v>238</v>
      </c>
      <c r="C441" s="733" t="s">
        <v>56</v>
      </c>
      <c r="D441" s="857" t="s">
        <v>449</v>
      </c>
    </row>
    <row r="442" spans="1:12" ht="15" customHeight="1" x14ac:dyDescent="0.25">
      <c r="B442" s="1225" t="s">
        <v>410</v>
      </c>
      <c r="C442" s="753">
        <v>500</v>
      </c>
      <c r="D442" s="1226"/>
    </row>
    <row r="443" spans="1:12" ht="15" customHeight="1" x14ac:dyDescent="0.25">
      <c r="A443" s="1227"/>
      <c r="B443" s="1436" t="s">
        <v>404</v>
      </c>
      <c r="C443" s="1436"/>
      <c r="D443" s="1436"/>
      <c r="E443" s="1436"/>
      <c r="F443" s="1436"/>
      <c r="G443" s="1228"/>
      <c r="H443" s="1437" t="s">
        <v>416</v>
      </c>
      <c r="I443" s="1438"/>
    </row>
    <row r="444" spans="1:12" ht="56.25" customHeight="1" x14ac:dyDescent="0.25">
      <c r="A444" s="1229"/>
      <c r="B444" s="1230" t="s">
        <v>398</v>
      </c>
      <c r="C444" s="1231" t="s">
        <v>441</v>
      </c>
      <c r="D444" s="1232" t="s">
        <v>399</v>
      </c>
      <c r="E444" s="1233" t="s">
        <v>402</v>
      </c>
      <c r="F444" s="1232" t="s">
        <v>399</v>
      </c>
      <c r="G444" s="1232" t="s">
        <v>411</v>
      </c>
      <c r="H444" s="1234" t="s">
        <v>408</v>
      </c>
      <c r="I444" s="1235" t="s">
        <v>415</v>
      </c>
      <c r="K444" s="1236" t="s">
        <v>603</v>
      </c>
      <c r="L444" s="1237" t="s">
        <v>604</v>
      </c>
    </row>
    <row r="445" spans="1:12" ht="15" customHeight="1" x14ac:dyDescent="0.25">
      <c r="A445" s="1238"/>
      <c r="B445" s="1228" t="s">
        <v>248</v>
      </c>
      <c r="C445" s="1228">
        <v>1000</v>
      </c>
      <c r="D445" s="1239">
        <f>'Prec Materia Prima y Empaq'!$H$21</f>
        <v>15400</v>
      </c>
      <c r="E445" s="1240">
        <f>D445*19%</f>
        <v>2926</v>
      </c>
      <c r="F445" s="1241">
        <f>+E445+D445</f>
        <v>18326</v>
      </c>
      <c r="G445" s="1240">
        <f>F445/C445*H445</f>
        <v>16493.400000000001</v>
      </c>
      <c r="H445" s="1242">
        <v>900</v>
      </c>
      <c r="I445" s="1228" t="s">
        <v>450</v>
      </c>
      <c r="K445" s="1242">
        <f>H445/$C$182</f>
        <v>2.3076923076923075</v>
      </c>
      <c r="L445" s="1243">
        <f>F445/C445*K445</f>
        <v>42.290769230769229</v>
      </c>
    </row>
    <row r="446" spans="1:12" ht="15" customHeight="1" x14ac:dyDescent="0.25">
      <c r="A446" s="1238"/>
      <c r="B446" s="1228" t="s">
        <v>443</v>
      </c>
      <c r="C446" s="1228">
        <v>1000</v>
      </c>
      <c r="D446" s="1239">
        <f>'Prec Materia Prima y Empaq'!$H$11</f>
        <v>8000</v>
      </c>
      <c r="E446" s="1240">
        <f t="shared" ref="E446:E450" si="146">D446*19%</f>
        <v>1520</v>
      </c>
      <c r="F446" s="1241">
        <f t="shared" ref="F446:F459" si="147">+E446+D446</f>
        <v>9520</v>
      </c>
      <c r="G446" s="1240">
        <f t="shared" ref="G446:G447" si="148">F446/C446*H446</f>
        <v>5712</v>
      </c>
      <c r="H446" s="1242">
        <v>600</v>
      </c>
      <c r="I446" s="1228" t="s">
        <v>450</v>
      </c>
      <c r="K446" s="1242">
        <f t="shared" ref="K446:K449" si="149">H446/$C$182</f>
        <v>1.5384615384615385</v>
      </c>
      <c r="L446" s="1243">
        <f t="shared" ref="L446:L459" si="150">F446/C446*K446</f>
        <v>14.646153846153846</v>
      </c>
    </row>
    <row r="447" spans="1:12" ht="15" customHeight="1" x14ac:dyDescent="0.25">
      <c r="A447" s="1238"/>
      <c r="B447" s="1228" t="s">
        <v>253</v>
      </c>
      <c r="C447" s="1228">
        <v>1000</v>
      </c>
      <c r="D447" s="1239">
        <f>'Prec Materia Prima y Empaq'!$H$9</f>
        <v>5400</v>
      </c>
      <c r="E447" s="1240">
        <f t="shared" si="146"/>
        <v>1026</v>
      </c>
      <c r="F447" s="1241">
        <f t="shared" si="147"/>
        <v>6426</v>
      </c>
      <c r="G447" s="1240">
        <f t="shared" si="148"/>
        <v>3213</v>
      </c>
      <c r="H447" s="1242">
        <v>500</v>
      </c>
      <c r="I447" s="1228" t="s">
        <v>450</v>
      </c>
      <c r="K447" s="1242">
        <f t="shared" si="149"/>
        <v>1.2820512820512822</v>
      </c>
      <c r="L447" s="1243">
        <f t="shared" si="150"/>
        <v>8.2384615384615394</v>
      </c>
    </row>
    <row r="448" spans="1:12" ht="15" customHeight="1" x14ac:dyDescent="0.25">
      <c r="A448" s="1238"/>
      <c r="B448" s="1228" t="s">
        <v>261</v>
      </c>
      <c r="C448" s="1228">
        <v>1000</v>
      </c>
      <c r="D448" s="1239">
        <f>'Prec Materia Prima y Empaq'!$H$16</f>
        <v>14000</v>
      </c>
      <c r="E448" s="1240">
        <f t="shared" si="146"/>
        <v>2660</v>
      </c>
      <c r="F448" s="1241">
        <f t="shared" si="147"/>
        <v>16660</v>
      </c>
      <c r="G448" s="1240">
        <f>F448/C448*H448</f>
        <v>3332</v>
      </c>
      <c r="H448" s="1242">
        <v>200</v>
      </c>
      <c r="I448" s="1228" t="s">
        <v>450</v>
      </c>
      <c r="K448" s="1242">
        <f t="shared" si="149"/>
        <v>0.51282051282051277</v>
      </c>
      <c r="L448" s="1243">
        <f t="shared" si="150"/>
        <v>8.5435897435897434</v>
      </c>
    </row>
    <row r="449" spans="1:29" ht="15" customHeight="1" x14ac:dyDescent="0.25">
      <c r="A449" s="1238"/>
      <c r="B449" s="1228" t="s">
        <v>245</v>
      </c>
      <c r="C449" s="1228">
        <v>1000</v>
      </c>
      <c r="D449" s="1239">
        <f>'Prec Materia Prima y Empaq'!$H$44</f>
        <v>52325</v>
      </c>
      <c r="E449" s="1240">
        <f t="shared" si="146"/>
        <v>9941.75</v>
      </c>
      <c r="F449" s="1241">
        <f t="shared" si="147"/>
        <v>62266.75</v>
      </c>
      <c r="G449" s="1240">
        <f t="shared" ref="G449:G450" si="151">F449/C449*H449</f>
        <v>6226.6750000000002</v>
      </c>
      <c r="H449" s="1242">
        <v>100</v>
      </c>
      <c r="I449" s="1228" t="s">
        <v>450</v>
      </c>
      <c r="K449" s="1242">
        <f t="shared" si="149"/>
        <v>0.25641025641025639</v>
      </c>
      <c r="L449" s="1243">
        <f t="shared" si="150"/>
        <v>15.965833333333332</v>
      </c>
    </row>
    <row r="450" spans="1:29" ht="15" customHeight="1" x14ac:dyDescent="0.25">
      <c r="A450" s="1238"/>
      <c r="B450" s="1228" t="s">
        <v>297</v>
      </c>
      <c r="C450" s="1228">
        <v>1000</v>
      </c>
      <c r="D450" s="1239">
        <f>'Prec Materia Prima y Empaq'!$H$39</f>
        <v>210084.03</v>
      </c>
      <c r="E450" s="1240">
        <f t="shared" si="146"/>
        <v>39915.965700000001</v>
      </c>
      <c r="F450" s="1241">
        <f t="shared" si="147"/>
        <v>249999.9957</v>
      </c>
      <c r="G450" s="1240">
        <f t="shared" si="151"/>
        <v>4999.999914</v>
      </c>
      <c r="H450" s="1242">
        <v>20</v>
      </c>
      <c r="I450" s="1228" t="s">
        <v>450</v>
      </c>
      <c r="K450" s="1242">
        <f t="shared" ref="K450:K455" si="152">H450/$C$182</f>
        <v>5.128205128205128E-2</v>
      </c>
      <c r="L450" s="1243">
        <f t="shared" ref="L450:L455" si="153">F450/C450*K450</f>
        <v>12.820512599999999</v>
      </c>
    </row>
    <row r="451" spans="1:29" ht="15" customHeight="1" x14ac:dyDescent="0.25">
      <c r="A451" s="1238"/>
      <c r="B451" s="1228" t="s">
        <v>272</v>
      </c>
      <c r="C451" s="1228">
        <v>1000</v>
      </c>
      <c r="D451" s="1239">
        <f>'Prec Materia Prima y Empaq'!$H$15</f>
        <v>18000</v>
      </c>
      <c r="E451" s="1240">
        <f t="shared" ref="E451:E452" si="154">D451*19%</f>
        <v>3420</v>
      </c>
      <c r="F451" s="1241">
        <f t="shared" ref="F451:F453" si="155">+E451+D451</f>
        <v>21420</v>
      </c>
      <c r="G451" s="1240">
        <f t="shared" ref="G451" si="156">F451/C451*H451</f>
        <v>149940</v>
      </c>
      <c r="H451" s="1242">
        <v>7000</v>
      </c>
      <c r="I451" s="1228" t="s">
        <v>450</v>
      </c>
      <c r="K451" s="1242">
        <f t="shared" si="152"/>
        <v>17.948717948717949</v>
      </c>
      <c r="L451" s="1243">
        <f t="shared" si="153"/>
        <v>384.46153846153851</v>
      </c>
    </row>
    <row r="452" spans="1:29" ht="15" customHeight="1" x14ac:dyDescent="0.25">
      <c r="B452" s="1228" t="s">
        <v>382</v>
      </c>
      <c r="C452" s="1228">
        <v>3785</v>
      </c>
      <c r="D452" s="1239">
        <f>'Prec Materia Prima y Empaq'!$H$18</f>
        <v>24</v>
      </c>
      <c r="E452" s="1240">
        <f t="shared" si="154"/>
        <v>4.5600000000000005</v>
      </c>
      <c r="F452" s="1241">
        <f t="shared" si="155"/>
        <v>28.560000000000002</v>
      </c>
      <c r="G452" s="1240">
        <f>F452/C452*H452</f>
        <v>0.37727873183619554</v>
      </c>
      <c r="H452" s="1242">
        <v>50</v>
      </c>
      <c r="I452" s="1228" t="s">
        <v>450</v>
      </c>
      <c r="K452" s="1242">
        <f t="shared" ref="K452" si="157">H452/$C$409</f>
        <v>0.22727272727272727</v>
      </c>
      <c r="L452" s="1243">
        <f t="shared" si="153"/>
        <v>1.7149033265281615E-3</v>
      </c>
    </row>
    <row r="453" spans="1:29" ht="31.5" customHeight="1" x14ac:dyDescent="0.25">
      <c r="B453" s="1220" t="s">
        <v>247</v>
      </c>
      <c r="C453" s="1228">
        <v>1000</v>
      </c>
      <c r="D453" s="1244">
        <f>'Prec Materia Prima y Empaq'!$H$7</f>
        <v>50000</v>
      </c>
      <c r="E453" s="1240">
        <v>0</v>
      </c>
      <c r="F453" s="1241">
        <f t="shared" si="155"/>
        <v>50000</v>
      </c>
      <c r="G453" s="1240">
        <f>F453/C453*H453</f>
        <v>32.022471910112351</v>
      </c>
      <c r="H453" s="1245">
        <v>0.64044943820224698</v>
      </c>
      <c r="I453" s="1245" t="s">
        <v>453</v>
      </c>
      <c r="K453" s="1242">
        <f t="shared" ref="K453" si="158">H453/$C$378</f>
        <v>1.6421780466724281E-3</v>
      </c>
      <c r="L453" s="1243">
        <f t="shared" si="153"/>
        <v>8.2108902333621406E-2</v>
      </c>
      <c r="N453" s="1220" t="s">
        <v>247</v>
      </c>
      <c r="O453" s="1247">
        <v>1</v>
      </c>
      <c r="P453" s="1240">
        <f>$F$391/$C$391*$O$391</f>
        <v>50</v>
      </c>
      <c r="Q453" s="1248"/>
      <c r="R453" s="1249" t="e">
        <f>P453/O442</f>
        <v>#DIV/0!</v>
      </c>
      <c r="S453" s="1248" t="e">
        <f>R453*1000</f>
        <v>#DIV/0!</v>
      </c>
      <c r="T453" s="1250">
        <f>O453/$O$380*1000</f>
        <v>2.5641025641025641E-3</v>
      </c>
      <c r="U453" s="1238">
        <f>T453*$M$380</f>
        <v>1</v>
      </c>
      <c r="Y453" s="1238"/>
      <c r="Z453" s="1238"/>
      <c r="AA453" s="1251"/>
      <c r="AC453" s="1252"/>
    </row>
    <row r="454" spans="1:29" ht="30.75" customHeight="1" x14ac:dyDescent="0.25">
      <c r="B454" s="1220" t="s">
        <v>485</v>
      </c>
      <c r="C454" s="1220">
        <v>1</v>
      </c>
      <c r="D454" s="1244">
        <f>'Prec Materia Prima y Empaq'!$H$138</f>
        <v>650</v>
      </c>
      <c r="E454" s="1240">
        <v>0</v>
      </c>
      <c r="F454" s="1241">
        <f t="shared" si="147"/>
        <v>650</v>
      </c>
      <c r="G454" s="1253">
        <f t="shared" ref="G454:G459" si="159">F454*H454</f>
        <v>273000</v>
      </c>
      <c r="H454" s="1245">
        <f>C439</f>
        <v>420</v>
      </c>
      <c r="I454" s="1245" t="s">
        <v>453</v>
      </c>
      <c r="K454" s="1242">
        <f t="shared" si="152"/>
        <v>1.0769230769230769</v>
      </c>
      <c r="L454" s="1243">
        <f t="shared" si="153"/>
        <v>700</v>
      </c>
    </row>
    <row r="455" spans="1:29" ht="30.75" customHeight="1" x14ac:dyDescent="0.25">
      <c r="B455" s="1220" t="s">
        <v>614</v>
      </c>
      <c r="C455" s="1220">
        <v>1</v>
      </c>
      <c r="D455" s="1244">
        <f>'Prec Materia Prima y Empaq'!$H$144</f>
        <v>70</v>
      </c>
      <c r="E455" s="1240">
        <v>0</v>
      </c>
      <c r="F455" s="1241">
        <f t="shared" si="147"/>
        <v>70</v>
      </c>
      <c r="G455" s="1253">
        <f t="shared" si="159"/>
        <v>29400</v>
      </c>
      <c r="H455" s="1245">
        <f>H454</f>
        <v>420</v>
      </c>
      <c r="I455" s="1245" t="s">
        <v>453</v>
      </c>
      <c r="K455" s="1242">
        <f t="shared" si="152"/>
        <v>1.0769230769230769</v>
      </c>
      <c r="L455" s="1243">
        <f t="shared" si="153"/>
        <v>75.384615384615387</v>
      </c>
    </row>
    <row r="456" spans="1:29" ht="52.5" customHeight="1" x14ac:dyDescent="0.25">
      <c r="B456" s="1220" t="s">
        <v>695</v>
      </c>
      <c r="C456" s="1245">
        <v>1</v>
      </c>
      <c r="D456" s="1272">
        <f>'Prec Materia Prima y Empaq'!$H$161</f>
        <v>300</v>
      </c>
      <c r="E456" s="1240">
        <v>0</v>
      </c>
      <c r="F456" s="1241">
        <f t="shared" si="147"/>
        <v>300</v>
      </c>
      <c r="G456" s="1253">
        <f t="shared" si="159"/>
        <v>126000</v>
      </c>
      <c r="H456" s="1245">
        <f>H455</f>
        <v>420</v>
      </c>
      <c r="I456" s="1245" t="s">
        <v>453</v>
      </c>
      <c r="K456" s="1242">
        <f t="shared" ref="K456:K459" si="160">H456/$C$182</f>
        <v>1.0769230769230769</v>
      </c>
      <c r="L456" s="1243">
        <f t="shared" si="150"/>
        <v>323.07692307692304</v>
      </c>
    </row>
    <row r="457" spans="1:29" ht="29.25" customHeight="1" x14ac:dyDescent="0.25">
      <c r="B457" s="1279" t="s">
        <v>675</v>
      </c>
      <c r="C457" s="1245">
        <v>1</v>
      </c>
      <c r="D457" s="1272">
        <f>'Prec Materia Prima y Empaq'!$H$162</f>
        <v>100</v>
      </c>
      <c r="E457" s="1240">
        <v>0</v>
      </c>
      <c r="F457" s="1241">
        <f t="shared" si="147"/>
        <v>100</v>
      </c>
      <c r="G457" s="1253">
        <f t="shared" si="159"/>
        <v>42000</v>
      </c>
      <c r="H457" s="1245">
        <f>H456</f>
        <v>420</v>
      </c>
      <c r="I457" s="1245" t="s">
        <v>453</v>
      </c>
      <c r="K457" s="1242">
        <f t="shared" si="160"/>
        <v>1.0769230769230769</v>
      </c>
      <c r="L457" s="1243">
        <f t="shared" si="150"/>
        <v>107.69230769230769</v>
      </c>
    </row>
    <row r="458" spans="1:29" ht="15" customHeight="1" x14ac:dyDescent="0.25">
      <c r="B458" s="1220" t="s">
        <v>310</v>
      </c>
      <c r="C458" s="1245">
        <v>1</v>
      </c>
      <c r="D458" s="1272">
        <f>'Prec Materia Prima y Empaq'!$H$130</f>
        <v>100</v>
      </c>
      <c r="E458" s="1240">
        <v>0</v>
      </c>
      <c r="F458" s="1241">
        <f t="shared" si="147"/>
        <v>100</v>
      </c>
      <c r="G458" s="1253">
        <f t="shared" si="159"/>
        <v>42000</v>
      </c>
      <c r="H458" s="1245">
        <f>H456</f>
        <v>420</v>
      </c>
      <c r="I458" s="1245" t="s">
        <v>453</v>
      </c>
      <c r="K458" s="1242">
        <f t="shared" si="160"/>
        <v>1.0769230769230769</v>
      </c>
      <c r="L458" s="1243">
        <f t="shared" si="150"/>
        <v>107.69230769230769</v>
      </c>
    </row>
    <row r="459" spans="1:29" ht="15" customHeight="1" x14ac:dyDescent="0.25">
      <c r="B459" s="1245" t="s">
        <v>309</v>
      </c>
      <c r="C459" s="1245">
        <v>1</v>
      </c>
      <c r="D459" s="1272">
        <f>'Prec Materia Prima y Empaq'!$H$129</f>
        <v>800</v>
      </c>
      <c r="E459" s="1240">
        <v>0</v>
      </c>
      <c r="F459" s="1241">
        <f t="shared" si="147"/>
        <v>800</v>
      </c>
      <c r="G459" s="1253">
        <f t="shared" si="159"/>
        <v>336000</v>
      </c>
      <c r="H459" s="1245">
        <f>H458</f>
        <v>420</v>
      </c>
      <c r="I459" s="1245" t="s">
        <v>453</v>
      </c>
      <c r="K459" s="1242">
        <f t="shared" si="160"/>
        <v>1.0769230769230769</v>
      </c>
      <c r="L459" s="1243">
        <f t="shared" si="150"/>
        <v>861.53846153846155</v>
      </c>
    </row>
    <row r="460" spans="1:29" ht="19.5" customHeight="1" thickBot="1" x14ac:dyDescent="0.3">
      <c r="B460" s="1255"/>
      <c r="C460" s="857"/>
      <c r="D460" s="1256"/>
      <c r="E460" s="1248"/>
      <c r="F460" s="1257"/>
      <c r="G460" s="1258">
        <f>SUM(G445:G459)/$C$182</f>
        <v>2662.4345504221592</v>
      </c>
      <c r="H460" s="1259" t="s">
        <v>454</v>
      </c>
      <c r="I460" s="857"/>
      <c r="L460" s="1260">
        <f>SUM(L445:L459)</f>
        <v>2662.4352979441219</v>
      </c>
    </row>
    <row r="461" spans="1:29" ht="15" customHeight="1" thickTop="1" x14ac:dyDescent="0.25">
      <c r="B461" s="1261" t="s">
        <v>409</v>
      </c>
      <c r="C461" s="1262"/>
      <c r="D461" s="1263">
        <f>+'Gtos Varios'!I14</f>
        <v>3672.93</v>
      </c>
      <c r="E461" s="1262"/>
      <c r="F461" s="1264">
        <f t="shared" ref="F461" si="161">+E461+D461</f>
        <v>3672.93</v>
      </c>
      <c r="G461" s="1265">
        <f>F461</f>
        <v>3672.93</v>
      </c>
      <c r="H461" s="1262" t="str">
        <f>B461</f>
        <v xml:space="preserve">GASTOS VARIOS </v>
      </c>
      <c r="I461" s="857"/>
    </row>
    <row r="462" spans="1:29" ht="15" customHeight="1" x14ac:dyDescent="0.25">
      <c r="B462" s="1255"/>
      <c r="C462" s="857"/>
      <c r="D462" s="1256"/>
      <c r="E462" s="1248"/>
      <c r="F462" s="1257"/>
      <c r="G462" s="1266"/>
      <c r="H462" s="857"/>
      <c r="I462" s="857"/>
    </row>
    <row r="463" spans="1:29" ht="15" customHeight="1" x14ac:dyDescent="0.25">
      <c r="B463" s="1255"/>
      <c r="C463" s="857"/>
      <c r="D463" s="1256"/>
      <c r="E463" s="1248"/>
      <c r="F463" s="1257"/>
      <c r="G463" s="1266"/>
      <c r="H463" s="857"/>
      <c r="I463" s="857"/>
    </row>
    <row r="464" spans="1:29" ht="15" customHeight="1" thickBot="1" x14ac:dyDescent="0.3">
      <c r="F464" s="1267">
        <f>SUM(F445:F459)</f>
        <v>436667.30569999997</v>
      </c>
      <c r="G464" s="1268">
        <f>SUM(G460:G461)</f>
        <v>6335.3645504221586</v>
      </c>
      <c r="H464" s="733" t="s">
        <v>412</v>
      </c>
    </row>
    <row r="465" spans="1:12" ht="15" customHeight="1" thickTop="1" x14ac:dyDescent="0.25">
      <c r="G465" s="1257">
        <f>G464*53%</f>
        <v>3357.743211723744</v>
      </c>
      <c r="H465" s="1274">
        <v>0.53</v>
      </c>
      <c r="I465" s="733" t="s">
        <v>539</v>
      </c>
    </row>
    <row r="466" spans="1:12" ht="15" customHeight="1" thickBot="1" x14ac:dyDescent="0.3">
      <c r="G466" s="1270">
        <f>G464+G465</f>
        <v>9693.1077621459026</v>
      </c>
      <c r="H466" s="733" t="s">
        <v>414</v>
      </c>
    </row>
    <row r="467" spans="1:12" ht="15" customHeight="1" thickTop="1" x14ac:dyDescent="0.25">
      <c r="G467" s="1258"/>
    </row>
    <row r="468" spans="1:12" ht="15" customHeight="1" x14ac:dyDescent="0.25">
      <c r="G468" s="1258"/>
    </row>
    <row r="469" spans="1:12" ht="15" customHeight="1" x14ac:dyDescent="0.25">
      <c r="G469" s="1258"/>
    </row>
    <row r="471" spans="1:12" ht="15" customHeight="1" x14ac:dyDescent="0.25">
      <c r="B471" s="1222" t="s">
        <v>61</v>
      </c>
      <c r="C471" s="1219" t="s">
        <v>106</v>
      </c>
      <c r="D471" s="733"/>
      <c r="E471" s="853"/>
      <c r="F471" s="853"/>
      <c r="G471" s="853"/>
      <c r="H471" s="853"/>
    </row>
    <row r="472" spans="1:12" ht="15" customHeight="1" x14ac:dyDescent="0.25">
      <c r="A472" s="1223" t="s">
        <v>711</v>
      </c>
      <c r="B472" s="1222" t="s">
        <v>62</v>
      </c>
      <c r="C472" s="1219" t="str">
        <f>VLOOKUP(C471,LISTPROD[],2,FALSE)</f>
        <v>COLON CLEARSEN</v>
      </c>
      <c r="D472" s="1219"/>
      <c r="E472" s="852"/>
      <c r="F472" s="853"/>
      <c r="G472" s="853"/>
      <c r="H472" s="853"/>
    </row>
    <row r="473" spans="1:12" ht="15" customHeight="1" x14ac:dyDescent="0.25">
      <c r="B473" s="1222" t="s">
        <v>234</v>
      </c>
      <c r="C473" s="1219" t="str">
        <f>VLOOKUP(C471,LISTPROD[],9,FALSE)</f>
        <v>500 ML</v>
      </c>
      <c r="D473" s="733"/>
      <c r="E473" s="853"/>
      <c r="F473" s="853"/>
      <c r="G473" s="853"/>
      <c r="H473" s="853"/>
    </row>
    <row r="474" spans="1:12" ht="15" customHeight="1" x14ac:dyDescent="0.25">
      <c r="B474" s="1219" t="s">
        <v>239</v>
      </c>
      <c r="C474" s="1224">
        <v>420</v>
      </c>
      <c r="D474" s="1218"/>
      <c r="E474" s="853"/>
      <c r="F474" s="853"/>
      <c r="G474" s="853"/>
      <c r="H474" s="853"/>
    </row>
    <row r="475" spans="1:12" ht="15" customHeight="1" x14ac:dyDescent="0.25">
      <c r="B475" s="1222" t="s">
        <v>690</v>
      </c>
      <c r="C475" s="1219" t="s">
        <v>487</v>
      </c>
      <c r="D475" s="733"/>
    </row>
    <row r="476" spans="1:12" ht="15" customHeight="1" x14ac:dyDescent="0.25">
      <c r="B476" s="1222" t="s">
        <v>238</v>
      </c>
      <c r="C476" s="1219" t="s">
        <v>1233</v>
      </c>
      <c r="D476" s="733"/>
    </row>
    <row r="477" spans="1:12" ht="15" customHeight="1" x14ac:dyDescent="0.25">
      <c r="B477" s="1222" t="s">
        <v>410</v>
      </c>
      <c r="C477" s="1416">
        <v>500</v>
      </c>
      <c r="D477" s="1226"/>
    </row>
    <row r="478" spans="1:12" ht="15" customHeight="1" x14ac:dyDescent="0.25">
      <c r="A478" s="1227"/>
      <c r="B478" s="1440" t="s">
        <v>404</v>
      </c>
      <c r="C478" s="1440"/>
      <c r="D478" s="1440"/>
      <c r="E478" s="1440"/>
      <c r="F478" s="1440"/>
      <c r="G478" s="1402"/>
      <c r="H478" s="1441" t="s">
        <v>416</v>
      </c>
      <c r="I478" s="1442"/>
    </row>
    <row r="479" spans="1:12" ht="34.5" customHeight="1" x14ac:dyDescent="0.25">
      <c r="A479" s="1229"/>
      <c r="B479" s="1403" t="s">
        <v>398</v>
      </c>
      <c r="C479" s="1404" t="s">
        <v>441</v>
      </c>
      <c r="D479" s="1405" t="s">
        <v>399</v>
      </c>
      <c r="E479" s="1406" t="s">
        <v>402</v>
      </c>
      <c r="F479" s="1405" t="s">
        <v>399</v>
      </c>
      <c r="G479" s="1405" t="s">
        <v>411</v>
      </c>
      <c r="H479" s="1407" t="s">
        <v>408</v>
      </c>
      <c r="I479" s="1408" t="s">
        <v>415</v>
      </c>
      <c r="K479" s="1236" t="s">
        <v>603</v>
      </c>
      <c r="L479" s="1237" t="s">
        <v>604</v>
      </c>
    </row>
    <row r="480" spans="1:12" ht="15" customHeight="1" x14ac:dyDescent="0.25">
      <c r="A480" s="1238"/>
      <c r="B480" s="1228" t="s">
        <v>248</v>
      </c>
      <c r="C480" s="1228">
        <v>1000</v>
      </c>
      <c r="D480" s="1239">
        <f>'Prec Materia Prima y Empaq'!$H$21</f>
        <v>15400</v>
      </c>
      <c r="E480" s="1240">
        <f>D480*19%</f>
        <v>2926</v>
      </c>
      <c r="F480" s="1241">
        <f>+E480+D480</f>
        <v>18326</v>
      </c>
      <c r="G480" s="1240">
        <f>F480/C480*H480</f>
        <v>16493.400000000001</v>
      </c>
      <c r="H480" s="1409">
        <v>900</v>
      </c>
      <c r="I480" s="1410" t="s">
        <v>450</v>
      </c>
      <c r="K480" s="1242">
        <f>H480/$C$474</f>
        <v>2.1428571428571428</v>
      </c>
      <c r="L480" s="1243">
        <f>F480/C480*K480</f>
        <v>39.270000000000003</v>
      </c>
    </row>
    <row r="481" spans="1:29" ht="15" customHeight="1" x14ac:dyDescent="0.25">
      <c r="A481" s="1238"/>
      <c r="B481" s="1228" t="s">
        <v>443</v>
      </c>
      <c r="C481" s="1228">
        <v>1000</v>
      </c>
      <c r="D481" s="1239">
        <f>'Prec Materia Prima y Empaq'!$H$11</f>
        <v>8000</v>
      </c>
      <c r="E481" s="1240">
        <f t="shared" ref="E481:E487" si="162">D481*19%</f>
        <v>1520</v>
      </c>
      <c r="F481" s="1241">
        <f t="shared" ref="F481:F494" si="163">+E481+D481</f>
        <v>9520</v>
      </c>
      <c r="G481" s="1240">
        <f t="shared" ref="G481:G482" si="164">F481/C481*H481</f>
        <v>5712</v>
      </c>
      <c r="H481" s="1409">
        <v>600</v>
      </c>
      <c r="I481" s="1410" t="s">
        <v>450</v>
      </c>
      <c r="K481" s="1242">
        <f t="shared" ref="K481:K494" si="165">H481/$C$474</f>
        <v>1.4285714285714286</v>
      </c>
      <c r="L481" s="1243">
        <f t="shared" ref="L481:L494" si="166">F481/C481*K481</f>
        <v>13.6</v>
      </c>
    </row>
    <row r="482" spans="1:29" ht="15" customHeight="1" x14ac:dyDescent="0.25">
      <c r="A482" s="1238"/>
      <c r="B482" s="1228" t="s">
        <v>253</v>
      </c>
      <c r="C482" s="1228">
        <v>1000</v>
      </c>
      <c r="D482" s="1239">
        <f>'Prec Materia Prima y Empaq'!$H$9</f>
        <v>5400</v>
      </c>
      <c r="E482" s="1240">
        <f t="shared" si="162"/>
        <v>1026</v>
      </c>
      <c r="F482" s="1241">
        <f t="shared" si="163"/>
        <v>6426</v>
      </c>
      <c r="G482" s="1240">
        <f t="shared" si="164"/>
        <v>6426</v>
      </c>
      <c r="H482" s="1409">
        <v>1000</v>
      </c>
      <c r="I482" s="1410" t="s">
        <v>450</v>
      </c>
      <c r="K482" s="1242">
        <f t="shared" si="165"/>
        <v>2.3809523809523809</v>
      </c>
      <c r="L482" s="1243">
        <f t="shared" si="166"/>
        <v>15.3</v>
      </c>
    </row>
    <row r="483" spans="1:29" ht="15" customHeight="1" x14ac:dyDescent="0.25">
      <c r="A483" s="1238"/>
      <c r="B483" s="1228" t="s">
        <v>261</v>
      </c>
      <c r="C483" s="1228">
        <v>1000</v>
      </c>
      <c r="D483" s="1239">
        <f>'Prec Materia Prima y Empaq'!$H$12</f>
        <v>4700</v>
      </c>
      <c r="E483" s="1240">
        <f t="shared" si="162"/>
        <v>893</v>
      </c>
      <c r="F483" s="1241">
        <f t="shared" si="163"/>
        <v>5593</v>
      </c>
      <c r="G483" s="1240">
        <f>F483/C483*H483</f>
        <v>1118.5999999999999</v>
      </c>
      <c r="H483" s="1409">
        <v>200</v>
      </c>
      <c r="I483" s="1410" t="s">
        <v>450</v>
      </c>
      <c r="K483" s="1242">
        <f t="shared" si="165"/>
        <v>0.47619047619047616</v>
      </c>
      <c r="L483" s="1243">
        <f t="shared" si="166"/>
        <v>2.6633333333333331</v>
      </c>
    </row>
    <row r="484" spans="1:29" ht="15" customHeight="1" x14ac:dyDescent="0.25">
      <c r="A484" s="1238"/>
      <c r="B484" s="1294" t="s">
        <v>257</v>
      </c>
      <c r="C484" s="1228">
        <v>1000</v>
      </c>
      <c r="D484" s="1273">
        <f>'Prec Materia Prima y Empaq'!H51</f>
        <v>53393</v>
      </c>
      <c r="E484" s="1240">
        <f t="shared" si="162"/>
        <v>10144.67</v>
      </c>
      <c r="F484" s="1241">
        <f t="shared" si="163"/>
        <v>63537.67</v>
      </c>
      <c r="G484" s="1240">
        <f t="shared" ref="G484:G485" si="167">F484/C484*H484</f>
        <v>6734.9930199999999</v>
      </c>
      <c r="H484" s="1409">
        <v>106</v>
      </c>
      <c r="I484" s="1410" t="s">
        <v>450</v>
      </c>
      <c r="K484" s="1242">
        <f t="shared" si="165"/>
        <v>0.25238095238095237</v>
      </c>
      <c r="L484" s="1243">
        <f t="shared" si="166"/>
        <v>16.035697666666668</v>
      </c>
    </row>
    <row r="485" spans="1:29" ht="15" customHeight="1" x14ac:dyDescent="0.25">
      <c r="A485" s="1238"/>
      <c r="B485" s="1228" t="s">
        <v>246</v>
      </c>
      <c r="C485" s="1228">
        <v>1000</v>
      </c>
      <c r="D485" s="1239">
        <f>'Prec Materia Prima y Empaq'!$H$41</f>
        <v>80268</v>
      </c>
      <c r="E485" s="1240">
        <f t="shared" si="162"/>
        <v>15250.92</v>
      </c>
      <c r="F485" s="1241">
        <f t="shared" si="163"/>
        <v>95518.92</v>
      </c>
      <c r="G485" s="1240">
        <f t="shared" si="167"/>
        <v>2865.5675999999999</v>
      </c>
      <c r="H485" s="1409">
        <v>30</v>
      </c>
      <c r="I485" s="1410" t="s">
        <v>450</v>
      </c>
      <c r="K485" s="1242">
        <f t="shared" si="165"/>
        <v>7.1428571428571425E-2</v>
      </c>
      <c r="L485" s="1243">
        <f t="shared" si="166"/>
        <v>6.822779999999999</v>
      </c>
    </row>
    <row r="486" spans="1:29" ht="15" customHeight="1" x14ac:dyDescent="0.25">
      <c r="A486" s="1238"/>
      <c r="B486" s="1228" t="s">
        <v>251</v>
      </c>
      <c r="C486" s="1228">
        <v>1000</v>
      </c>
      <c r="D486" s="1273">
        <f>'Prec Materia Prima y Empaq'!$H$26</f>
        <v>45404</v>
      </c>
      <c r="E486" s="1240">
        <f t="shared" ref="E486" si="168">D486*19%</f>
        <v>8626.76</v>
      </c>
      <c r="F486" s="1241">
        <f t="shared" ref="F486" si="169">+E486+D486</f>
        <v>54030.76</v>
      </c>
      <c r="G486" s="1240">
        <f t="shared" ref="G486" si="170">F486/C486*H486</f>
        <v>16209.228000000001</v>
      </c>
      <c r="H486" s="1409">
        <v>300</v>
      </c>
      <c r="I486" s="1410" t="s">
        <v>450</v>
      </c>
      <c r="K486" s="1242">
        <f t="shared" ref="K486" si="171">H486/$C$474</f>
        <v>0.7142857142857143</v>
      </c>
      <c r="L486" s="1243">
        <f t="shared" ref="L486" si="172">F486/C486*K486</f>
        <v>38.593400000000003</v>
      </c>
    </row>
    <row r="487" spans="1:29" ht="15" customHeight="1" x14ac:dyDescent="0.25">
      <c r="A487" s="1238"/>
      <c r="B487" s="1228" t="s">
        <v>382</v>
      </c>
      <c r="C487" s="1228">
        <v>3785</v>
      </c>
      <c r="D487" s="1239">
        <f>'Prec Materia Prima y Empaq'!$H$18</f>
        <v>24</v>
      </c>
      <c r="E487" s="1240">
        <f t="shared" si="162"/>
        <v>4.5600000000000005</v>
      </c>
      <c r="F487" s="1241">
        <f t="shared" si="163"/>
        <v>28.560000000000002</v>
      </c>
      <c r="G487" s="1240">
        <f>F487/C487*H487</f>
        <v>0.37727873183619554</v>
      </c>
      <c r="H487" s="1409">
        <v>50</v>
      </c>
      <c r="I487" s="1410" t="s">
        <v>450</v>
      </c>
      <c r="K487" s="1242">
        <f t="shared" si="165"/>
        <v>0.11904761904761904</v>
      </c>
      <c r="L487" s="1243"/>
    </row>
    <row r="488" spans="1:29" ht="31.5" customHeight="1" x14ac:dyDescent="0.25">
      <c r="B488" s="1220" t="s">
        <v>247</v>
      </c>
      <c r="C488" s="1228">
        <v>1000</v>
      </c>
      <c r="D488" s="1244">
        <f>'Prec Materia Prima y Empaq'!$H$7</f>
        <v>50000</v>
      </c>
      <c r="E488" s="1240">
        <v>0</v>
      </c>
      <c r="F488" s="1241">
        <f t="shared" si="163"/>
        <v>50000</v>
      </c>
      <c r="G488" s="1240">
        <f>F488/C488*H488</f>
        <v>32.022471910112351</v>
      </c>
      <c r="H488" s="1411">
        <v>0.64044943820224698</v>
      </c>
      <c r="I488" s="1411" t="s">
        <v>453</v>
      </c>
      <c r="K488" s="1242">
        <f t="shared" ref="K488" si="173">H488/$C$378</f>
        <v>1.6421780466724281E-3</v>
      </c>
      <c r="L488" s="1243">
        <f t="shared" ref="L488" si="174">F488/C488*K488</f>
        <v>8.2108902333621406E-2</v>
      </c>
      <c r="N488" s="1220" t="s">
        <v>247</v>
      </c>
      <c r="O488" s="1247">
        <v>1</v>
      </c>
      <c r="P488" s="1240">
        <f>$F$391/$C$391*$O$391</f>
        <v>50</v>
      </c>
      <c r="Q488" s="1248"/>
      <c r="R488" s="1249" t="e">
        <f>P488/O477</f>
        <v>#DIV/0!</v>
      </c>
      <c r="S488" s="1248" t="e">
        <f>R488*1000</f>
        <v>#DIV/0!</v>
      </c>
      <c r="T488" s="1250">
        <f>O488/$O$380*1000</f>
        <v>2.5641025641025641E-3</v>
      </c>
      <c r="U488" s="1238">
        <f>T488*$M$380</f>
        <v>1</v>
      </c>
      <c r="Y488" s="1238"/>
      <c r="Z488" s="1238"/>
      <c r="AA488" s="1251"/>
      <c r="AC488" s="1252"/>
    </row>
    <row r="489" spans="1:29" ht="30.75" customHeight="1" x14ac:dyDescent="0.25">
      <c r="B489" s="1220" t="s">
        <v>485</v>
      </c>
      <c r="C489" s="1220">
        <v>1</v>
      </c>
      <c r="D489" s="1244">
        <f>'Prec Materia Prima y Empaq'!$H$138</f>
        <v>650</v>
      </c>
      <c r="E489" s="1240">
        <v>0</v>
      </c>
      <c r="F489" s="1241">
        <f t="shared" si="163"/>
        <v>650</v>
      </c>
      <c r="G489" s="1253">
        <f t="shared" ref="G489:G494" si="175">F489*H489</f>
        <v>273000</v>
      </c>
      <c r="H489" s="1411">
        <f>$C$474</f>
        <v>420</v>
      </c>
      <c r="I489" s="1411" t="s">
        <v>453</v>
      </c>
      <c r="K489" s="1242">
        <f t="shared" si="165"/>
        <v>1</v>
      </c>
      <c r="L489" s="1243">
        <f t="shared" si="166"/>
        <v>650</v>
      </c>
    </row>
    <row r="490" spans="1:29" ht="15" customHeight="1" x14ac:dyDescent="0.25">
      <c r="B490" s="1220" t="s">
        <v>614</v>
      </c>
      <c r="C490" s="1220">
        <v>1</v>
      </c>
      <c r="D490" s="1244">
        <f>'Prec Materia Prima y Empaq'!$H$144</f>
        <v>70</v>
      </c>
      <c r="E490" s="1240">
        <v>0</v>
      </c>
      <c r="F490" s="1241">
        <f t="shared" si="163"/>
        <v>70</v>
      </c>
      <c r="G490" s="1253">
        <f t="shared" si="175"/>
        <v>29400</v>
      </c>
      <c r="H490" s="1411">
        <f>H489</f>
        <v>420</v>
      </c>
      <c r="I490" s="1411" t="s">
        <v>453</v>
      </c>
      <c r="K490" s="1242">
        <f t="shared" si="165"/>
        <v>1</v>
      </c>
      <c r="L490" s="1243">
        <f t="shared" si="166"/>
        <v>70</v>
      </c>
    </row>
    <row r="491" spans="1:29" ht="44.25" customHeight="1" x14ac:dyDescent="0.25">
      <c r="B491" s="1220" t="s">
        <v>695</v>
      </c>
      <c r="C491" s="1245">
        <v>1</v>
      </c>
      <c r="D491" s="1272">
        <f>'Prec Materia Prima y Empaq'!$H$161</f>
        <v>300</v>
      </c>
      <c r="E491" s="1240">
        <v>0</v>
      </c>
      <c r="F491" s="1241">
        <f t="shared" si="163"/>
        <v>300</v>
      </c>
      <c r="G491" s="1253">
        <f t="shared" si="175"/>
        <v>126000</v>
      </c>
      <c r="H491" s="1411">
        <f>H490</f>
        <v>420</v>
      </c>
      <c r="I491" s="1411" t="s">
        <v>453</v>
      </c>
      <c r="K491" s="1242">
        <f t="shared" si="165"/>
        <v>1</v>
      </c>
      <c r="L491" s="1243">
        <f t="shared" si="166"/>
        <v>300</v>
      </c>
    </row>
    <row r="492" spans="1:29" ht="30.75" customHeight="1" x14ac:dyDescent="0.25">
      <c r="B492" s="1279" t="s">
        <v>675</v>
      </c>
      <c r="C492" s="1245">
        <v>1</v>
      </c>
      <c r="D492" s="1272">
        <f>'Prec Materia Prima y Empaq'!$H$162</f>
        <v>100</v>
      </c>
      <c r="E492" s="1240">
        <v>0</v>
      </c>
      <c r="F492" s="1241">
        <f t="shared" si="163"/>
        <v>100</v>
      </c>
      <c r="G492" s="1253">
        <f t="shared" si="175"/>
        <v>42000</v>
      </c>
      <c r="H492" s="1411">
        <f>H491</f>
        <v>420</v>
      </c>
      <c r="I492" s="1411" t="s">
        <v>453</v>
      </c>
      <c r="K492" s="1242">
        <f t="shared" si="165"/>
        <v>1</v>
      </c>
      <c r="L492" s="1243">
        <f t="shared" si="166"/>
        <v>100</v>
      </c>
    </row>
    <row r="493" spans="1:29" ht="15" customHeight="1" x14ac:dyDescent="0.25">
      <c r="B493" s="1220" t="s">
        <v>310</v>
      </c>
      <c r="C493" s="1245">
        <v>1</v>
      </c>
      <c r="D493" s="1272">
        <f>'Prec Materia Prima y Empaq'!$H$130</f>
        <v>100</v>
      </c>
      <c r="E493" s="1240">
        <v>0</v>
      </c>
      <c r="F493" s="1241">
        <f t="shared" si="163"/>
        <v>100</v>
      </c>
      <c r="G493" s="1253">
        <f t="shared" si="175"/>
        <v>42000</v>
      </c>
      <c r="H493" s="1411">
        <f>H491</f>
        <v>420</v>
      </c>
      <c r="I493" s="1411" t="s">
        <v>453</v>
      </c>
      <c r="K493" s="1242">
        <f t="shared" si="165"/>
        <v>1</v>
      </c>
      <c r="L493" s="1243">
        <f t="shared" si="166"/>
        <v>100</v>
      </c>
    </row>
    <row r="494" spans="1:29" ht="15" customHeight="1" x14ac:dyDescent="0.25">
      <c r="B494" s="1245" t="s">
        <v>309</v>
      </c>
      <c r="C494" s="1245">
        <v>1</v>
      </c>
      <c r="D494" s="1272">
        <f>'Prec Materia Prima y Empaq'!$H$129</f>
        <v>800</v>
      </c>
      <c r="E494" s="1240">
        <v>0</v>
      </c>
      <c r="F494" s="1241">
        <f t="shared" si="163"/>
        <v>800</v>
      </c>
      <c r="G494" s="1253">
        <f t="shared" si="175"/>
        <v>336000</v>
      </c>
      <c r="H494" s="1411">
        <f>H493</f>
        <v>420</v>
      </c>
      <c r="I494" s="1411" t="s">
        <v>453</v>
      </c>
      <c r="K494" s="1242">
        <f t="shared" si="165"/>
        <v>1</v>
      </c>
      <c r="L494" s="1243">
        <f t="shared" si="166"/>
        <v>800</v>
      </c>
    </row>
    <row r="495" spans="1:29" ht="19.5" customHeight="1" thickBot="1" x14ac:dyDescent="0.3">
      <c r="B495" s="1255"/>
      <c r="C495" s="857"/>
      <c r="D495" s="1256"/>
      <c r="E495" s="1248"/>
      <c r="F495" s="1257"/>
      <c r="G495" s="1258">
        <f>SUM(G480:G494)/$C$474</f>
        <v>2152.3623532634333</v>
      </c>
      <c r="H495" s="1259" t="s">
        <v>454</v>
      </c>
      <c r="I495" s="857"/>
      <c r="L495" s="1260">
        <f>SUM(L480:L494)</f>
        <v>2152.3673199023337</v>
      </c>
    </row>
    <row r="496" spans="1:29" ht="15" customHeight="1" thickTop="1" x14ac:dyDescent="0.25">
      <c r="B496" s="1261" t="s">
        <v>409</v>
      </c>
      <c r="C496" s="1412"/>
      <c r="D496" s="1413">
        <f>+'Gtos Varios'!I14</f>
        <v>3672.93</v>
      </c>
      <c r="E496" s="1412"/>
      <c r="F496" s="1414">
        <f t="shared" ref="F496" si="176">+E496+D496</f>
        <v>3672.93</v>
      </c>
      <c r="G496" s="1415">
        <f>F496</f>
        <v>3672.93</v>
      </c>
      <c r="H496" s="1412" t="str">
        <f>B496</f>
        <v xml:space="preserve">GASTOS VARIOS </v>
      </c>
      <c r="I496" s="1259"/>
    </row>
    <row r="497" spans="1:12" ht="15" customHeight="1" x14ac:dyDescent="0.25">
      <c r="B497" s="1255"/>
      <c r="C497" s="857"/>
      <c r="D497" s="1256"/>
      <c r="E497" s="1248"/>
      <c r="F497" s="1257"/>
      <c r="G497" s="1266"/>
      <c r="H497" s="857"/>
      <c r="I497" s="857"/>
    </row>
    <row r="498" spans="1:12" ht="15" customHeight="1" x14ac:dyDescent="0.25">
      <c r="B498" s="1255"/>
      <c r="C498" s="857"/>
      <c r="D498" s="1256"/>
      <c r="E498" s="1248"/>
      <c r="F498" s="1257"/>
      <c r="G498" s="1266"/>
      <c r="H498" s="857"/>
      <c r="I498" s="857"/>
    </row>
    <row r="499" spans="1:12" ht="15" customHeight="1" thickBot="1" x14ac:dyDescent="0.3">
      <c r="F499" s="1267">
        <f>SUM(F480:F494)</f>
        <v>305000.91000000003</v>
      </c>
      <c r="G499" s="1268">
        <f>SUM(G495:G496)</f>
        <v>5825.2923532634331</v>
      </c>
      <c r="H499" s="733" t="s">
        <v>412</v>
      </c>
    </row>
    <row r="500" spans="1:12" ht="15" customHeight="1" thickTop="1" x14ac:dyDescent="0.25">
      <c r="G500" s="1257">
        <f>G499*58%</f>
        <v>3378.6695648927912</v>
      </c>
      <c r="H500" s="1274">
        <v>0.57999999999999996</v>
      </c>
      <c r="I500" s="733" t="s">
        <v>539</v>
      </c>
    </row>
    <row r="501" spans="1:12" ht="15" customHeight="1" thickBot="1" x14ac:dyDescent="0.3">
      <c r="G501" s="1270">
        <f>G499+G500</f>
        <v>9203.9619181562248</v>
      </c>
      <c r="H501" s="733" t="s">
        <v>414</v>
      </c>
    </row>
    <row r="502" spans="1:12" ht="15" customHeight="1" thickTop="1" x14ac:dyDescent="0.25"/>
    <row r="504" spans="1:12" ht="15" customHeight="1" x14ac:dyDescent="0.25">
      <c r="B504" s="1222" t="s">
        <v>61</v>
      </c>
      <c r="C504" s="1219" t="s">
        <v>108</v>
      </c>
      <c r="D504" s="733"/>
    </row>
    <row r="505" spans="1:12" ht="15" customHeight="1" x14ac:dyDescent="0.25">
      <c r="A505" s="1223" t="s">
        <v>711</v>
      </c>
      <c r="B505" s="1222" t="s">
        <v>62</v>
      </c>
      <c r="C505" s="1219" t="str">
        <f>VLOOKUP(C504,LISTPROD[],2,FALSE)</f>
        <v>COMPLEJO B</v>
      </c>
      <c r="D505" s="1219" t="s">
        <v>486</v>
      </c>
      <c r="E505" s="852" t="s">
        <v>487</v>
      </c>
    </row>
    <row r="506" spans="1:12" ht="15" customHeight="1" x14ac:dyDescent="0.25">
      <c r="B506" s="1222" t="s">
        <v>234</v>
      </c>
      <c r="C506" s="1219" t="str">
        <f>VLOOKUP(C504,LISTPROD[],9,FALSE)</f>
        <v>500 ML</v>
      </c>
      <c r="D506" s="733"/>
    </row>
    <row r="507" spans="1:12" ht="15" customHeight="1" x14ac:dyDescent="0.25">
      <c r="B507" s="1222" t="s">
        <v>239</v>
      </c>
      <c r="C507" s="1224">
        <v>420</v>
      </c>
      <c r="D507" s="1218"/>
    </row>
    <row r="508" spans="1:12" ht="15" customHeight="1" x14ac:dyDescent="0.25">
      <c r="B508" s="1222" t="s">
        <v>240</v>
      </c>
      <c r="C508" s="1219"/>
      <c r="D508" s="733"/>
    </row>
    <row r="509" spans="1:12" ht="15" customHeight="1" x14ac:dyDescent="0.25">
      <c r="B509" s="1222" t="s">
        <v>238</v>
      </c>
      <c r="C509" s="733" t="s">
        <v>56</v>
      </c>
      <c r="D509" s="733" t="s">
        <v>449</v>
      </c>
    </row>
    <row r="510" spans="1:12" ht="15" customHeight="1" x14ac:dyDescent="0.25">
      <c r="B510" s="1225" t="s">
        <v>410</v>
      </c>
      <c r="C510" s="753">
        <v>500</v>
      </c>
      <c r="D510" s="1226"/>
    </row>
    <row r="511" spans="1:12" ht="15" customHeight="1" x14ac:dyDescent="0.25">
      <c r="A511" s="1227"/>
      <c r="B511" s="1436" t="s">
        <v>404</v>
      </c>
      <c r="C511" s="1436"/>
      <c r="D511" s="1436"/>
      <c r="E511" s="1436"/>
      <c r="F511" s="1436"/>
      <c r="G511" s="1228"/>
      <c r="H511" s="1437" t="s">
        <v>416</v>
      </c>
      <c r="I511" s="1438"/>
    </row>
    <row r="512" spans="1:12" ht="54" customHeight="1" x14ac:dyDescent="0.25">
      <c r="A512" s="1229"/>
      <c r="B512" s="1230" t="s">
        <v>398</v>
      </c>
      <c r="C512" s="1231" t="s">
        <v>441</v>
      </c>
      <c r="D512" s="1232" t="s">
        <v>399</v>
      </c>
      <c r="E512" s="1233" t="s">
        <v>402</v>
      </c>
      <c r="F512" s="1232" t="s">
        <v>399</v>
      </c>
      <c r="G512" s="1232" t="s">
        <v>411</v>
      </c>
      <c r="H512" s="1234" t="s">
        <v>408</v>
      </c>
      <c r="I512" s="1235" t="s">
        <v>415</v>
      </c>
      <c r="K512" s="1236" t="s">
        <v>603</v>
      </c>
      <c r="L512" s="1237" t="s">
        <v>604</v>
      </c>
    </row>
    <row r="513" spans="1:29" ht="15" customHeight="1" x14ac:dyDescent="0.25">
      <c r="A513" s="1238"/>
      <c r="B513" s="1228" t="s">
        <v>248</v>
      </c>
      <c r="C513" s="1228">
        <v>1000</v>
      </c>
      <c r="D513" s="1239">
        <f>'Prec Materia Prima y Empaq'!$H$21</f>
        <v>15400</v>
      </c>
      <c r="E513" s="1240">
        <f>D513*19%</f>
        <v>2926</v>
      </c>
      <c r="F513" s="1241">
        <f>+E513+D513</f>
        <v>18326</v>
      </c>
      <c r="G513" s="1240">
        <f>F513/C513*H513</f>
        <v>14660.800000000001</v>
      </c>
      <c r="H513" s="1242">
        <v>800</v>
      </c>
      <c r="I513" s="1228" t="s">
        <v>450</v>
      </c>
      <c r="K513" s="1242">
        <f>H513/$C$507</f>
        <v>1.9047619047619047</v>
      </c>
      <c r="L513" s="1243">
        <f>F513/C513*K513</f>
        <v>34.906666666666666</v>
      </c>
    </row>
    <row r="514" spans="1:29" ht="15" customHeight="1" x14ac:dyDescent="0.25">
      <c r="A514" s="1238"/>
      <c r="B514" s="1228" t="s">
        <v>443</v>
      </c>
      <c r="C514" s="1228">
        <v>1000</v>
      </c>
      <c r="D514" s="1239">
        <f>'Prec Materia Prima y Empaq'!$H$11</f>
        <v>8000</v>
      </c>
      <c r="E514" s="1240">
        <f t="shared" ref="E514:E518" si="177">D514*19%</f>
        <v>1520</v>
      </c>
      <c r="F514" s="1241">
        <f t="shared" ref="F514:F528" si="178">+E514+D514</f>
        <v>9520</v>
      </c>
      <c r="G514" s="1240">
        <f t="shared" ref="G514:G516" si="179">F514/C514*H514</f>
        <v>5712</v>
      </c>
      <c r="H514" s="1242">
        <v>600</v>
      </c>
      <c r="I514" s="1228" t="s">
        <v>450</v>
      </c>
      <c r="K514" s="1242">
        <f t="shared" ref="K514:K528" si="180">H514/$C$507</f>
        <v>1.4285714285714286</v>
      </c>
      <c r="L514" s="1243">
        <f t="shared" ref="L514:L528" si="181">F514/C514*K514</f>
        <v>13.6</v>
      </c>
    </row>
    <row r="515" spans="1:29" ht="15" customHeight="1" x14ac:dyDescent="0.25">
      <c r="A515" s="1238"/>
      <c r="B515" s="1228" t="s">
        <v>253</v>
      </c>
      <c r="C515" s="1228">
        <v>1000</v>
      </c>
      <c r="D515" s="1239">
        <f>'Prec Materia Prima y Empaq'!$H$9</f>
        <v>5400</v>
      </c>
      <c r="E515" s="1240">
        <f t="shared" si="177"/>
        <v>1026</v>
      </c>
      <c r="F515" s="1241">
        <f t="shared" si="178"/>
        <v>6426</v>
      </c>
      <c r="G515" s="1240">
        <f t="shared" si="179"/>
        <v>1927.8</v>
      </c>
      <c r="H515" s="1242">
        <v>300</v>
      </c>
      <c r="I515" s="1228" t="s">
        <v>450</v>
      </c>
      <c r="K515" s="1242">
        <f t="shared" si="180"/>
        <v>0.7142857142857143</v>
      </c>
      <c r="L515" s="1243">
        <f t="shared" si="181"/>
        <v>4.59</v>
      </c>
    </row>
    <row r="516" spans="1:29" ht="15" customHeight="1" x14ac:dyDescent="0.25">
      <c r="A516" s="1238"/>
      <c r="B516" s="1228" t="s">
        <v>262</v>
      </c>
      <c r="C516" s="1228">
        <v>1000</v>
      </c>
      <c r="D516" s="1239">
        <f>'Prec Materia Prima y Empaq'!$H$55</f>
        <v>50522</v>
      </c>
      <c r="E516" s="1240">
        <f t="shared" si="177"/>
        <v>9599.18</v>
      </c>
      <c r="F516" s="1241">
        <f t="shared" si="178"/>
        <v>60121.18</v>
      </c>
      <c r="G516" s="1240">
        <f t="shared" si="179"/>
        <v>12024.236000000001</v>
      </c>
      <c r="H516" s="1242">
        <v>200</v>
      </c>
      <c r="I516" s="1228" t="s">
        <v>450</v>
      </c>
      <c r="K516" s="1242">
        <f t="shared" si="180"/>
        <v>0.47619047619047616</v>
      </c>
      <c r="L516" s="1243">
        <f t="shared" si="181"/>
        <v>28.629133333333332</v>
      </c>
    </row>
    <row r="517" spans="1:29" ht="15" customHeight="1" x14ac:dyDescent="0.25">
      <c r="A517" s="1238"/>
      <c r="B517" s="1228" t="s">
        <v>261</v>
      </c>
      <c r="C517" s="1228">
        <v>1000</v>
      </c>
      <c r="D517" s="1239">
        <f>'Prec Materia Prima y Empaq'!$H$12</f>
        <v>4700</v>
      </c>
      <c r="E517" s="1240">
        <f t="shared" si="177"/>
        <v>893</v>
      </c>
      <c r="F517" s="1241">
        <f t="shared" si="178"/>
        <v>5593</v>
      </c>
      <c r="G517" s="1240">
        <f t="shared" ref="G517:G518" si="182">F517/C517*H517</f>
        <v>1398.25</v>
      </c>
      <c r="H517" s="1242">
        <v>250</v>
      </c>
      <c r="I517" s="1228" t="s">
        <v>450</v>
      </c>
      <c r="K517" s="1242">
        <f t="shared" si="180"/>
        <v>0.59523809523809523</v>
      </c>
      <c r="L517" s="1243">
        <f t="shared" si="181"/>
        <v>3.3291666666666666</v>
      </c>
    </row>
    <row r="518" spans="1:29" ht="15" customHeight="1" x14ac:dyDescent="0.25">
      <c r="A518" s="1238"/>
      <c r="B518" s="1228" t="s">
        <v>246</v>
      </c>
      <c r="C518" s="1228">
        <v>1000</v>
      </c>
      <c r="D518" s="1239">
        <f>'Prec Materia Prima y Empaq'!$H$41</f>
        <v>80268</v>
      </c>
      <c r="E518" s="1240">
        <f t="shared" si="177"/>
        <v>15250.92</v>
      </c>
      <c r="F518" s="1241">
        <f t="shared" si="178"/>
        <v>95518.92</v>
      </c>
      <c r="G518" s="1240">
        <f t="shared" si="182"/>
        <v>5731.1351999999997</v>
      </c>
      <c r="H518" s="1242">
        <v>60</v>
      </c>
      <c r="I518" s="1228" t="s">
        <v>450</v>
      </c>
      <c r="K518" s="1242">
        <f t="shared" si="180"/>
        <v>0.14285714285714285</v>
      </c>
      <c r="L518" s="1243">
        <f t="shared" si="181"/>
        <v>13.645559999999998</v>
      </c>
    </row>
    <row r="519" spans="1:29" ht="15" customHeight="1" x14ac:dyDescent="0.25">
      <c r="A519" s="1238"/>
      <c r="B519" s="1228" t="s">
        <v>268</v>
      </c>
      <c r="C519" s="1228">
        <v>1000</v>
      </c>
      <c r="D519" s="1239">
        <f>'Prec Materia Prima y Empaq'!$H$31</f>
        <v>20000</v>
      </c>
      <c r="E519" s="1240"/>
      <c r="F519" s="1241">
        <f t="shared" ref="F519" si="183">+E519+D519</f>
        <v>20000</v>
      </c>
      <c r="G519" s="1240">
        <f t="shared" ref="G519" si="184">F519/C519*H519</f>
        <v>20000</v>
      </c>
      <c r="H519" s="1242">
        <v>1000</v>
      </c>
      <c r="I519" s="1228" t="s">
        <v>450</v>
      </c>
      <c r="K519" s="1242">
        <f t="shared" ref="K519" si="185">H519/$C$507</f>
        <v>2.3809523809523809</v>
      </c>
      <c r="L519" s="1243">
        <f t="shared" ref="L519:L520" si="186">F519/C519*K519</f>
        <v>47.61904761904762</v>
      </c>
    </row>
    <row r="520" spans="1:29" ht="15" customHeight="1" x14ac:dyDescent="0.25">
      <c r="A520" s="1238"/>
      <c r="B520" s="1228" t="s">
        <v>251</v>
      </c>
      <c r="C520" s="1228">
        <v>1000</v>
      </c>
      <c r="D520" s="1273">
        <f>'Prec Materia Prima y Empaq'!$H$26</f>
        <v>45404</v>
      </c>
      <c r="E520" s="1240">
        <f t="shared" ref="E520:E521" si="187">D520*19%</f>
        <v>8626.76</v>
      </c>
      <c r="F520" s="1241">
        <f t="shared" ref="F520:F522" si="188">+E520+D520</f>
        <v>54030.76</v>
      </c>
      <c r="G520" s="1240">
        <f t="shared" ref="G520" si="189">F520/C520*H520</f>
        <v>5403.076</v>
      </c>
      <c r="H520" s="1242">
        <v>100</v>
      </c>
      <c r="I520" s="1228" t="s">
        <v>450</v>
      </c>
      <c r="K520" s="1242">
        <f t="shared" ref="K520:K521" si="190">H520/$C$474</f>
        <v>0.23809523809523808</v>
      </c>
      <c r="L520" s="1243">
        <f t="shared" si="186"/>
        <v>12.864466666666667</v>
      </c>
    </row>
    <row r="521" spans="1:29" ht="15" customHeight="1" x14ac:dyDescent="0.25">
      <c r="A521" s="1238"/>
      <c r="B521" s="1228" t="s">
        <v>382</v>
      </c>
      <c r="C521" s="1228">
        <v>3785</v>
      </c>
      <c r="D521" s="1239">
        <f>'Prec Materia Prima y Empaq'!$H$18</f>
        <v>24</v>
      </c>
      <c r="E521" s="1240">
        <f t="shared" si="187"/>
        <v>4.5600000000000005</v>
      </c>
      <c r="F521" s="1241">
        <f t="shared" si="188"/>
        <v>28.560000000000002</v>
      </c>
      <c r="G521" s="1240">
        <f>F521/C521*H521</f>
        <v>0.37727873183619554</v>
      </c>
      <c r="H521" s="1242">
        <v>50</v>
      </c>
      <c r="I521" s="1228" t="s">
        <v>450</v>
      </c>
      <c r="K521" s="1242">
        <f t="shared" si="190"/>
        <v>0.11904761904761904</v>
      </c>
      <c r="L521" s="1243"/>
    </row>
    <row r="522" spans="1:29" ht="31.5" customHeight="1" x14ac:dyDescent="0.25">
      <c r="B522" s="1220" t="s">
        <v>247</v>
      </c>
      <c r="C522" s="1228">
        <v>1000</v>
      </c>
      <c r="D522" s="1244">
        <f>'Prec Materia Prima y Empaq'!$H$7</f>
        <v>50000</v>
      </c>
      <c r="E522" s="1240">
        <v>0</v>
      </c>
      <c r="F522" s="1241">
        <f t="shared" si="188"/>
        <v>50000</v>
      </c>
      <c r="G522" s="1240">
        <f>F522/C522*H522</f>
        <v>32.022471910112351</v>
      </c>
      <c r="H522" s="1245">
        <v>0.64044943820224698</v>
      </c>
      <c r="I522" s="1245" t="s">
        <v>453</v>
      </c>
      <c r="K522" s="1242">
        <f t="shared" ref="K522" si="191">H522/$C$378</f>
        <v>1.6421780466724281E-3</v>
      </c>
      <c r="L522" s="1243">
        <f t="shared" ref="L522" si="192">F522/C522*K522</f>
        <v>8.2108902333621406E-2</v>
      </c>
      <c r="N522" s="1220" t="s">
        <v>247</v>
      </c>
      <c r="O522" s="1247">
        <v>1</v>
      </c>
      <c r="P522" s="1240">
        <f>$F$391/$C$391*$O$391</f>
        <v>50</v>
      </c>
      <c r="Q522" s="1248"/>
      <c r="R522" s="1249" t="e">
        <f>P522/O511</f>
        <v>#DIV/0!</v>
      </c>
      <c r="S522" s="1248" t="e">
        <f>R522*1000</f>
        <v>#DIV/0!</v>
      </c>
      <c r="T522" s="1250">
        <f>O522/$O$380*1000</f>
        <v>2.5641025641025641E-3</v>
      </c>
      <c r="U522" s="1238">
        <f>T522*$M$380</f>
        <v>1</v>
      </c>
      <c r="Y522" s="1238"/>
      <c r="Z522" s="1238"/>
      <c r="AA522" s="1251"/>
      <c r="AC522" s="1252"/>
    </row>
    <row r="523" spans="1:29" ht="30.75" customHeight="1" x14ac:dyDescent="0.25">
      <c r="B523" s="1220" t="s">
        <v>485</v>
      </c>
      <c r="C523" s="1220">
        <v>1</v>
      </c>
      <c r="D523" s="1244">
        <f>'Prec Materia Prima y Empaq'!$H$138</f>
        <v>650</v>
      </c>
      <c r="E523" s="1240">
        <v>0</v>
      </c>
      <c r="F523" s="1241">
        <f t="shared" si="178"/>
        <v>650</v>
      </c>
      <c r="G523" s="1253">
        <f t="shared" ref="G523:G528" si="193">F523*H523</f>
        <v>273000</v>
      </c>
      <c r="H523" s="1245">
        <f>$C$507</f>
        <v>420</v>
      </c>
      <c r="I523" s="1245" t="s">
        <v>453</v>
      </c>
      <c r="K523" s="1242">
        <f t="shared" si="180"/>
        <v>1</v>
      </c>
      <c r="L523" s="1243">
        <f t="shared" si="181"/>
        <v>650</v>
      </c>
    </row>
    <row r="524" spans="1:29" ht="29.25" customHeight="1" x14ac:dyDescent="0.25">
      <c r="B524" s="1220" t="s">
        <v>614</v>
      </c>
      <c r="C524" s="1220">
        <v>1</v>
      </c>
      <c r="D524" s="1244">
        <f>'Prec Materia Prima y Empaq'!$H$144</f>
        <v>70</v>
      </c>
      <c r="E524" s="1240">
        <v>0</v>
      </c>
      <c r="F524" s="1241">
        <f t="shared" si="178"/>
        <v>70</v>
      </c>
      <c r="G524" s="1253">
        <f t="shared" si="193"/>
        <v>29400</v>
      </c>
      <c r="H524" s="1245">
        <f t="shared" ref="H524:H528" si="194">$C$507</f>
        <v>420</v>
      </c>
      <c r="I524" s="1245" t="s">
        <v>453</v>
      </c>
      <c r="K524" s="1242">
        <f t="shared" si="180"/>
        <v>1</v>
      </c>
      <c r="L524" s="1243">
        <f t="shared" si="181"/>
        <v>70</v>
      </c>
    </row>
    <row r="525" spans="1:29" ht="51" customHeight="1" x14ac:dyDescent="0.25">
      <c r="B525" s="1220" t="s">
        <v>695</v>
      </c>
      <c r="C525" s="1245">
        <v>1</v>
      </c>
      <c r="D525" s="1272">
        <f>'Prec Materia Prima y Empaq'!$H$161</f>
        <v>300</v>
      </c>
      <c r="E525" s="1240">
        <v>0</v>
      </c>
      <c r="F525" s="1241">
        <f t="shared" si="178"/>
        <v>300</v>
      </c>
      <c r="G525" s="1253">
        <f>F525*H525</f>
        <v>126000</v>
      </c>
      <c r="H525" s="1245">
        <f t="shared" si="194"/>
        <v>420</v>
      </c>
      <c r="I525" s="1245" t="s">
        <v>453</v>
      </c>
      <c r="K525" s="1242">
        <f t="shared" si="180"/>
        <v>1</v>
      </c>
      <c r="L525" s="1243">
        <f t="shared" si="181"/>
        <v>300</v>
      </c>
    </row>
    <row r="526" spans="1:29" ht="45" customHeight="1" x14ac:dyDescent="0.25">
      <c r="B526" s="1279" t="s">
        <v>675</v>
      </c>
      <c r="C526" s="1245">
        <v>1</v>
      </c>
      <c r="D526" s="1272">
        <f>'Prec Materia Prima y Empaq'!$H$162</f>
        <v>100</v>
      </c>
      <c r="E526" s="1240"/>
      <c r="F526" s="1241">
        <f t="shared" si="178"/>
        <v>100</v>
      </c>
      <c r="G526" s="1253">
        <f t="shared" si="193"/>
        <v>42000</v>
      </c>
      <c r="H526" s="1245">
        <f t="shared" si="194"/>
        <v>420</v>
      </c>
      <c r="I526" s="1245" t="s">
        <v>453</v>
      </c>
      <c r="K526" s="1242">
        <f t="shared" ref="K526:K527" si="195">H526/$C$507</f>
        <v>1</v>
      </c>
      <c r="L526" s="1243">
        <f t="shared" ref="L526:L527" si="196">F526/C526*K526</f>
        <v>100</v>
      </c>
    </row>
    <row r="527" spans="1:29" ht="15" customHeight="1" x14ac:dyDescent="0.25">
      <c r="B527" s="1220" t="s">
        <v>310</v>
      </c>
      <c r="C527" s="1245">
        <v>1</v>
      </c>
      <c r="D527" s="1272">
        <f>'Prec Materia Prima y Empaq'!$H$130</f>
        <v>100</v>
      </c>
      <c r="E527" s="1240">
        <v>0</v>
      </c>
      <c r="F527" s="1241">
        <f t="shared" si="178"/>
        <v>100</v>
      </c>
      <c r="G527" s="1253">
        <f t="shared" si="193"/>
        <v>42000</v>
      </c>
      <c r="H527" s="1245">
        <f t="shared" si="194"/>
        <v>420</v>
      </c>
      <c r="I527" s="1245" t="s">
        <v>453</v>
      </c>
      <c r="K527" s="1242">
        <f t="shared" si="195"/>
        <v>1</v>
      </c>
      <c r="L527" s="1243">
        <f t="shared" si="196"/>
        <v>100</v>
      </c>
    </row>
    <row r="528" spans="1:29" ht="15" customHeight="1" x14ac:dyDescent="0.25">
      <c r="B528" s="1245" t="s">
        <v>309</v>
      </c>
      <c r="C528" s="1245">
        <v>1</v>
      </c>
      <c r="D528" s="1272">
        <f>'Prec Materia Prima y Empaq'!$H$129</f>
        <v>800</v>
      </c>
      <c r="E528" s="1240">
        <v>0</v>
      </c>
      <c r="F528" s="1241">
        <f t="shared" si="178"/>
        <v>800</v>
      </c>
      <c r="G528" s="1253">
        <f t="shared" si="193"/>
        <v>336000</v>
      </c>
      <c r="H528" s="1245">
        <f t="shared" si="194"/>
        <v>420</v>
      </c>
      <c r="I528" s="1245" t="s">
        <v>453</v>
      </c>
      <c r="K528" s="1242">
        <f t="shared" si="180"/>
        <v>1</v>
      </c>
      <c r="L528" s="1243">
        <f t="shared" si="181"/>
        <v>800</v>
      </c>
    </row>
    <row r="529" spans="1:12" ht="19.5" customHeight="1" thickBot="1" x14ac:dyDescent="0.3">
      <c r="B529" s="1255"/>
      <c r="C529" s="857"/>
      <c r="D529" s="1256"/>
      <c r="E529" s="1248"/>
      <c r="F529" s="1257"/>
      <c r="G529" s="1258">
        <f>SUM(G513:G528)/C507</f>
        <v>2179.2611832158141</v>
      </c>
      <c r="H529" s="1259" t="s">
        <v>454</v>
      </c>
      <c r="I529" s="857"/>
      <c r="L529" s="1260">
        <f>SUM(L513:L528)</f>
        <v>2179.2661498547145</v>
      </c>
    </row>
    <row r="530" spans="1:12" ht="15" customHeight="1" thickTop="1" x14ac:dyDescent="0.25">
      <c r="B530" s="1261" t="s">
        <v>409</v>
      </c>
      <c r="C530" s="1262"/>
      <c r="D530" s="1263">
        <f>+'Gtos Varios'!I14</f>
        <v>3672.93</v>
      </c>
      <c r="E530" s="1262"/>
      <c r="F530" s="1264">
        <f t="shared" ref="F530" si="197">+E530+D530</f>
        <v>3672.93</v>
      </c>
      <c r="G530" s="1265">
        <f>F530</f>
        <v>3672.93</v>
      </c>
      <c r="H530" s="1262" t="str">
        <f>B530</f>
        <v xml:space="preserve">GASTOS VARIOS </v>
      </c>
      <c r="I530" s="1262"/>
    </row>
    <row r="531" spans="1:12" ht="15" customHeight="1" x14ac:dyDescent="0.25">
      <c r="B531" s="1255"/>
      <c r="C531" s="857"/>
      <c r="D531" s="1256"/>
      <c r="E531" s="1248"/>
      <c r="F531" s="1257"/>
      <c r="G531" s="1266"/>
      <c r="H531" s="857"/>
      <c r="I531" s="857"/>
    </row>
    <row r="532" spans="1:12" ht="15" customHeight="1" x14ac:dyDescent="0.25">
      <c r="B532" s="1255"/>
      <c r="C532" s="857"/>
      <c r="D532" s="1256"/>
      <c r="E532" s="1248"/>
      <c r="F532" s="1257"/>
      <c r="G532" s="1266"/>
      <c r="H532" s="857"/>
      <c r="I532" s="857"/>
    </row>
    <row r="533" spans="1:12" ht="15" customHeight="1" thickBot="1" x14ac:dyDescent="0.3">
      <c r="F533" s="1267">
        <f>SUM(F513:F528)</f>
        <v>321584.42</v>
      </c>
      <c r="G533" s="1268">
        <f>SUM(G529:G530)</f>
        <v>5852.1911832158139</v>
      </c>
      <c r="H533" s="733" t="s">
        <v>412</v>
      </c>
    </row>
    <row r="534" spans="1:12" ht="15" customHeight="1" thickTop="1" x14ac:dyDescent="0.25">
      <c r="G534" s="1295">
        <f>G533*58%</f>
        <v>3394.2708862651716</v>
      </c>
      <c r="H534" s="1274">
        <v>0.57999999999999996</v>
      </c>
      <c r="I534" s="733" t="s">
        <v>539</v>
      </c>
    </row>
    <row r="535" spans="1:12" ht="15" customHeight="1" thickBot="1" x14ac:dyDescent="0.3">
      <c r="G535" s="1270">
        <f>G533+G534</f>
        <v>9246.4620694809855</v>
      </c>
      <c r="H535" s="733" t="s">
        <v>414</v>
      </c>
    </row>
    <row r="536" spans="1:12" ht="15" customHeight="1" thickTop="1" x14ac:dyDescent="0.25">
      <c r="G536" s="1258"/>
    </row>
    <row r="537" spans="1:12" ht="15" customHeight="1" x14ac:dyDescent="0.25">
      <c r="G537" s="1258"/>
    </row>
    <row r="538" spans="1:12" ht="15" customHeight="1" x14ac:dyDescent="0.25">
      <c r="G538" s="1258"/>
    </row>
    <row r="539" spans="1:12" ht="15" customHeight="1" x14ac:dyDescent="0.25">
      <c r="B539" s="1222" t="s">
        <v>61</v>
      </c>
      <c r="C539" s="1219" t="s">
        <v>110</v>
      </c>
      <c r="D539" s="733"/>
    </row>
    <row r="540" spans="1:12" ht="15" customHeight="1" x14ac:dyDescent="0.25">
      <c r="A540" s="1223" t="s">
        <v>711</v>
      </c>
      <c r="B540" s="1222" t="s">
        <v>62</v>
      </c>
      <c r="C540" s="1219" t="str">
        <f>VLOOKUP(C539,LISTPROD[],2,FALSE)</f>
        <v>CONCENTRADO DE PLANTAS CUBANA</v>
      </c>
      <c r="D540" s="1219" t="s">
        <v>486</v>
      </c>
      <c r="E540" s="733" t="s">
        <v>491</v>
      </c>
    </row>
    <row r="541" spans="1:12" ht="15" customHeight="1" x14ac:dyDescent="0.25">
      <c r="B541" s="1222" t="s">
        <v>234</v>
      </c>
      <c r="C541" s="1219" t="str">
        <f>VLOOKUP(C539,LISTPROD[],9,FALSE)</f>
        <v>500 ML</v>
      </c>
      <c r="D541" s="733"/>
    </row>
    <row r="542" spans="1:12" ht="15" customHeight="1" x14ac:dyDescent="0.25">
      <c r="B542" s="1222" t="s">
        <v>239</v>
      </c>
      <c r="C542" s="1224">
        <v>420</v>
      </c>
      <c r="D542" s="1218"/>
    </row>
    <row r="543" spans="1:12" ht="15" customHeight="1" x14ac:dyDescent="0.25">
      <c r="B543" s="1222" t="s">
        <v>240</v>
      </c>
      <c r="C543" s="1219"/>
      <c r="D543" s="733"/>
    </row>
    <row r="544" spans="1:12" ht="15" customHeight="1" x14ac:dyDescent="0.25">
      <c r="B544" s="1222" t="s">
        <v>238</v>
      </c>
      <c r="C544" s="733" t="s">
        <v>56</v>
      </c>
      <c r="D544" s="1218" t="s">
        <v>449</v>
      </c>
    </row>
    <row r="545" spans="1:29" ht="24.75" customHeight="1" x14ac:dyDescent="0.25">
      <c r="B545" s="1225" t="s">
        <v>410</v>
      </c>
      <c r="C545" s="753">
        <v>500</v>
      </c>
      <c r="D545" s="1226"/>
    </row>
    <row r="546" spans="1:29" ht="15" customHeight="1" x14ac:dyDescent="0.25">
      <c r="A546" s="1227"/>
      <c r="B546" s="1436" t="s">
        <v>404</v>
      </c>
      <c r="C546" s="1436"/>
      <c r="D546" s="1436"/>
      <c r="E546" s="1436"/>
      <c r="F546" s="1436"/>
      <c r="G546" s="1228"/>
      <c r="H546" s="1437" t="s">
        <v>416</v>
      </c>
      <c r="I546" s="1438"/>
    </row>
    <row r="547" spans="1:29" ht="47.25" customHeight="1" x14ac:dyDescent="0.25">
      <c r="A547" s="1229"/>
      <c r="B547" s="1230" t="s">
        <v>398</v>
      </c>
      <c r="C547" s="1231" t="s">
        <v>441</v>
      </c>
      <c r="D547" s="1232" t="s">
        <v>399</v>
      </c>
      <c r="E547" s="1233" t="s">
        <v>402</v>
      </c>
      <c r="F547" s="1232" t="s">
        <v>399</v>
      </c>
      <c r="G547" s="1232" t="s">
        <v>411</v>
      </c>
      <c r="H547" s="1234" t="s">
        <v>408</v>
      </c>
      <c r="I547" s="1235" t="s">
        <v>415</v>
      </c>
      <c r="K547" s="1236" t="s">
        <v>603</v>
      </c>
      <c r="L547" s="1237" t="s">
        <v>604</v>
      </c>
    </row>
    <row r="548" spans="1:29" ht="15" customHeight="1" x14ac:dyDescent="0.25">
      <c r="A548" s="1238"/>
      <c r="B548" s="1228" t="s">
        <v>248</v>
      </c>
      <c r="C548" s="1228">
        <v>1000</v>
      </c>
      <c r="D548" s="1239">
        <f>'Prec Materia Prima y Empaq'!$H$21</f>
        <v>15400</v>
      </c>
      <c r="E548" s="1240">
        <f>D548*19%</f>
        <v>2926</v>
      </c>
      <c r="F548" s="1241">
        <f>+E548+D548</f>
        <v>18326</v>
      </c>
      <c r="G548" s="1240">
        <f t="shared" ref="G548:G550" si="198">F548/C548*H548</f>
        <v>16493.400000000001</v>
      </c>
      <c r="H548" s="1242">
        <v>900</v>
      </c>
      <c r="I548" s="1228" t="s">
        <v>450</v>
      </c>
      <c r="K548" s="1242">
        <f>H548/$C$542</f>
        <v>2.1428571428571428</v>
      </c>
      <c r="L548" s="1243">
        <f>F548/C548*K548</f>
        <v>39.270000000000003</v>
      </c>
    </row>
    <row r="549" spans="1:29" ht="15" customHeight="1" x14ac:dyDescent="0.25">
      <c r="A549" s="1238"/>
      <c r="B549" s="1228" t="s">
        <v>443</v>
      </c>
      <c r="C549" s="1228">
        <v>1000</v>
      </c>
      <c r="D549" s="1239">
        <f>'Prec Materia Prima y Empaq'!$H$11</f>
        <v>8000</v>
      </c>
      <c r="E549" s="1240">
        <f t="shared" ref="E549:E554" si="199">D549*19%</f>
        <v>1520</v>
      </c>
      <c r="F549" s="1241">
        <f t="shared" ref="F549:F561" si="200">+E549+D549</f>
        <v>9520</v>
      </c>
      <c r="G549" s="1240">
        <f t="shared" si="198"/>
        <v>5712</v>
      </c>
      <c r="H549" s="1242">
        <v>600</v>
      </c>
      <c r="I549" s="1228" t="s">
        <v>450</v>
      </c>
      <c r="K549" s="1242">
        <f t="shared" ref="K549:K561" si="201">H549/$C$542</f>
        <v>1.4285714285714286</v>
      </c>
      <c r="L549" s="1243">
        <f t="shared" ref="L549:L561" si="202">F549/C549*K549</f>
        <v>13.6</v>
      </c>
    </row>
    <row r="550" spans="1:29" ht="15" customHeight="1" x14ac:dyDescent="0.25">
      <c r="A550" s="1238"/>
      <c r="B550" s="1228" t="s">
        <v>253</v>
      </c>
      <c r="C550" s="1228">
        <v>1000</v>
      </c>
      <c r="D550" s="1239">
        <f>'Prec Materia Prima y Empaq'!$H$9</f>
        <v>5400</v>
      </c>
      <c r="E550" s="1240">
        <f t="shared" si="199"/>
        <v>1026</v>
      </c>
      <c r="F550" s="1241">
        <f t="shared" si="200"/>
        <v>6426</v>
      </c>
      <c r="G550" s="1240">
        <f t="shared" si="198"/>
        <v>3213</v>
      </c>
      <c r="H550" s="1242">
        <v>500</v>
      </c>
      <c r="I550" s="1228" t="s">
        <v>450</v>
      </c>
      <c r="K550" s="1242">
        <f t="shared" si="201"/>
        <v>1.1904761904761905</v>
      </c>
      <c r="L550" s="1243">
        <f t="shared" si="202"/>
        <v>7.65</v>
      </c>
    </row>
    <row r="551" spans="1:29" ht="15" customHeight="1" x14ac:dyDescent="0.25">
      <c r="A551" s="1238"/>
      <c r="B551" s="1228" t="s">
        <v>382</v>
      </c>
      <c r="C551" s="1228">
        <v>3785</v>
      </c>
      <c r="D551" s="1239">
        <f>'Prec Materia Prima y Empaq'!$H$18</f>
        <v>24</v>
      </c>
      <c r="E551" s="1240">
        <f t="shared" si="199"/>
        <v>4.5600000000000005</v>
      </c>
      <c r="F551" s="1241">
        <f t="shared" si="200"/>
        <v>28.560000000000002</v>
      </c>
      <c r="G551" s="1240">
        <f>F551/C551*H551</f>
        <v>0.37727873183619554</v>
      </c>
      <c r="H551" s="1242">
        <v>50</v>
      </c>
      <c r="I551" s="1228" t="s">
        <v>450</v>
      </c>
      <c r="K551" s="1242">
        <f t="shared" si="201"/>
        <v>0.11904761904761904</v>
      </c>
      <c r="L551" s="1243">
        <f t="shared" si="202"/>
        <v>8.9828269484808459E-4</v>
      </c>
    </row>
    <row r="552" spans="1:29" ht="15" customHeight="1" x14ac:dyDescent="0.25">
      <c r="A552" s="1238"/>
      <c r="B552" s="1228" t="s">
        <v>284</v>
      </c>
      <c r="C552" s="1228">
        <v>1000</v>
      </c>
      <c r="D552" s="1273">
        <f>'Prec Materia Prima y Empaq'!$H$44</f>
        <v>52325</v>
      </c>
      <c r="E552" s="1240">
        <f t="shared" si="199"/>
        <v>9941.75</v>
      </c>
      <c r="F552" s="1241">
        <f t="shared" si="200"/>
        <v>62266.75</v>
      </c>
      <c r="G552" s="1240">
        <f t="shared" ref="G552:G554" si="203">F552/C552*H552</f>
        <v>6226.6750000000002</v>
      </c>
      <c r="H552" s="1242">
        <v>100</v>
      </c>
      <c r="I552" s="1228" t="s">
        <v>450</v>
      </c>
      <c r="K552" s="1242">
        <f t="shared" si="201"/>
        <v>0.23809523809523808</v>
      </c>
      <c r="L552" s="1243">
        <f t="shared" si="202"/>
        <v>14.825416666666666</v>
      </c>
    </row>
    <row r="553" spans="1:29" ht="15" customHeight="1" x14ac:dyDescent="0.25">
      <c r="A553" s="1238"/>
      <c r="B553" s="1228" t="s">
        <v>246</v>
      </c>
      <c r="C553" s="1228">
        <v>1000</v>
      </c>
      <c r="D553" s="1273">
        <f>'Prec Materia Prima y Empaq'!$H$41</f>
        <v>80268</v>
      </c>
      <c r="E553" s="1240">
        <f t="shared" si="199"/>
        <v>15250.92</v>
      </c>
      <c r="F553" s="1241">
        <f t="shared" si="200"/>
        <v>95518.92</v>
      </c>
      <c r="G553" s="1240">
        <f t="shared" si="203"/>
        <v>1910.3783999999998</v>
      </c>
      <c r="H553" s="1242">
        <v>20</v>
      </c>
      <c r="I553" s="1228" t="s">
        <v>450</v>
      </c>
      <c r="K553" s="1242">
        <f t="shared" si="201"/>
        <v>4.7619047619047616E-2</v>
      </c>
      <c r="L553" s="1243">
        <f t="shared" si="202"/>
        <v>4.5485199999999999</v>
      </c>
    </row>
    <row r="554" spans="1:29" ht="30.75" customHeight="1" x14ac:dyDescent="0.25">
      <c r="B554" s="1228" t="s">
        <v>261</v>
      </c>
      <c r="C554" s="1228">
        <v>1000</v>
      </c>
      <c r="D554" s="1239">
        <f>'Prec Materia Prima y Empaq'!$H$12</f>
        <v>4700</v>
      </c>
      <c r="E554" s="1240">
        <f t="shared" si="199"/>
        <v>893</v>
      </c>
      <c r="F554" s="1241">
        <f t="shared" si="200"/>
        <v>5593</v>
      </c>
      <c r="G554" s="1241">
        <f t="shared" si="203"/>
        <v>1118.5999999999999</v>
      </c>
      <c r="H554" s="1228">
        <v>200</v>
      </c>
      <c r="I554" s="1228" t="s">
        <v>450</v>
      </c>
      <c r="K554" s="1242">
        <f t="shared" si="201"/>
        <v>0.47619047619047616</v>
      </c>
      <c r="L554" s="1243">
        <f t="shared" si="202"/>
        <v>2.6633333333333331</v>
      </c>
    </row>
    <row r="555" spans="1:29" ht="31.5" customHeight="1" x14ac:dyDescent="0.25">
      <c r="B555" s="1220" t="s">
        <v>247</v>
      </c>
      <c r="C555" s="1228">
        <v>1000</v>
      </c>
      <c r="D555" s="1244">
        <f>'Prec Materia Prima y Empaq'!$H$7</f>
        <v>50000</v>
      </c>
      <c r="E555" s="1240">
        <v>0</v>
      </c>
      <c r="F555" s="1241">
        <f t="shared" si="200"/>
        <v>50000</v>
      </c>
      <c r="G555" s="1240">
        <f>F555/C555*H555</f>
        <v>32.022471910112351</v>
      </c>
      <c r="H555" s="1245">
        <v>0.64044943820224698</v>
      </c>
      <c r="I555" s="1245" t="s">
        <v>453</v>
      </c>
      <c r="K555" s="1242">
        <f t="shared" ref="K555" si="204">H555/$C$378</f>
        <v>1.6421780466724281E-3</v>
      </c>
      <c r="L555" s="1243">
        <f t="shared" si="202"/>
        <v>8.2108902333621406E-2</v>
      </c>
      <c r="N555" s="1220" t="s">
        <v>247</v>
      </c>
      <c r="O555" s="1247">
        <v>1</v>
      </c>
      <c r="P555" s="1240">
        <f>$F$391/$C$391*$O$391</f>
        <v>50</v>
      </c>
      <c r="Q555" s="1248"/>
      <c r="R555" s="1249" t="e">
        <f>P555/O544</f>
        <v>#DIV/0!</v>
      </c>
      <c r="S555" s="1248" t="e">
        <f>R555*1000</f>
        <v>#DIV/0!</v>
      </c>
      <c r="T555" s="1250">
        <f>O555/$O$380*1000</f>
        <v>2.5641025641025641E-3</v>
      </c>
      <c r="U555" s="1238">
        <f>T555*$M$380</f>
        <v>1</v>
      </c>
      <c r="Y555" s="1238"/>
      <c r="Z555" s="1238"/>
      <c r="AA555" s="1251"/>
      <c r="AC555" s="1252"/>
    </row>
    <row r="556" spans="1:29" ht="31.5" customHeight="1" x14ac:dyDescent="0.25">
      <c r="A556" s="1218"/>
      <c r="B556" s="1220" t="s">
        <v>490</v>
      </c>
      <c r="C556" s="1220">
        <v>1</v>
      </c>
      <c r="D556" s="1244">
        <f>'Preci Comp Prod'!$N$21</f>
        <v>650</v>
      </c>
      <c r="E556" s="1240">
        <v>0</v>
      </c>
      <c r="F556" s="1241">
        <f>+E556+D556</f>
        <v>650</v>
      </c>
      <c r="G556" s="1253">
        <f t="shared" ref="G556:G561" si="205">F556*H556</f>
        <v>273000</v>
      </c>
      <c r="H556" s="1245">
        <f>$C$542</f>
        <v>420</v>
      </c>
      <c r="I556" s="1245" t="s">
        <v>453</v>
      </c>
      <c r="K556" s="1242">
        <f t="shared" si="201"/>
        <v>1</v>
      </c>
      <c r="L556" s="1243">
        <f t="shared" si="202"/>
        <v>650</v>
      </c>
    </row>
    <row r="557" spans="1:29" ht="32.25" customHeight="1" x14ac:dyDescent="0.25">
      <c r="A557" s="1218"/>
      <c r="B557" s="1220" t="s">
        <v>614</v>
      </c>
      <c r="C557" s="1220">
        <v>1</v>
      </c>
      <c r="D557" s="1244">
        <f>'Prec Materia Prima y Empaq'!$H$144</f>
        <v>70</v>
      </c>
      <c r="E557" s="1240">
        <v>0</v>
      </c>
      <c r="F557" s="1241">
        <f t="shared" si="200"/>
        <v>70</v>
      </c>
      <c r="G557" s="1253">
        <f t="shared" si="205"/>
        <v>29400</v>
      </c>
      <c r="H557" s="1245">
        <f t="shared" ref="H557:H561" si="206">$C$542</f>
        <v>420</v>
      </c>
      <c r="I557" s="1245" t="s">
        <v>453</v>
      </c>
      <c r="K557" s="1242">
        <f t="shared" si="201"/>
        <v>1</v>
      </c>
      <c r="L557" s="1243">
        <f t="shared" si="202"/>
        <v>70</v>
      </c>
    </row>
    <row r="558" spans="1:29" ht="48" customHeight="1" x14ac:dyDescent="0.25">
      <c r="A558" s="1218"/>
      <c r="B558" s="1220" t="s">
        <v>695</v>
      </c>
      <c r="C558" s="1245">
        <v>1</v>
      </c>
      <c r="D558" s="1272">
        <f>'Prec Materia Prima y Empaq'!$H$161</f>
        <v>300</v>
      </c>
      <c r="E558" s="1240">
        <v>0</v>
      </c>
      <c r="F558" s="1241">
        <f t="shared" si="200"/>
        <v>300</v>
      </c>
      <c r="G558" s="1253">
        <f t="shared" si="205"/>
        <v>126000</v>
      </c>
      <c r="H558" s="1245">
        <f t="shared" ref="H558" si="207">$C$507</f>
        <v>420</v>
      </c>
      <c r="I558" s="1245" t="s">
        <v>453</v>
      </c>
      <c r="K558" s="1242">
        <f t="shared" ref="K558" si="208">H558/$C$507</f>
        <v>1</v>
      </c>
      <c r="L558" s="1243">
        <f t="shared" si="202"/>
        <v>300</v>
      </c>
    </row>
    <row r="559" spans="1:29" ht="23.25" customHeight="1" x14ac:dyDescent="0.25">
      <c r="B559" s="1228" t="s">
        <v>452</v>
      </c>
      <c r="C559" s="1245">
        <v>1</v>
      </c>
      <c r="D559" s="1244">
        <f>'Prec Materia Prima y Empaq'!$H$140</f>
        <v>120</v>
      </c>
      <c r="E559" s="1240">
        <v>0</v>
      </c>
      <c r="F559" s="1241">
        <f t="shared" si="200"/>
        <v>120</v>
      </c>
      <c r="G559" s="1253">
        <f t="shared" si="205"/>
        <v>50400</v>
      </c>
      <c r="H559" s="1245">
        <f t="shared" si="206"/>
        <v>420</v>
      </c>
      <c r="I559" s="1245" t="s">
        <v>453</v>
      </c>
      <c r="K559" s="1242">
        <f t="shared" si="201"/>
        <v>1</v>
      </c>
      <c r="L559" s="1243">
        <f t="shared" si="202"/>
        <v>120</v>
      </c>
    </row>
    <row r="560" spans="1:29" ht="23.25" customHeight="1" x14ac:dyDescent="0.25">
      <c r="B560" s="1254" t="s">
        <v>310</v>
      </c>
      <c r="C560" s="1245">
        <v>1</v>
      </c>
      <c r="D560" s="1244">
        <f>'Prec Materia Prima y Empaq'!$H$130</f>
        <v>100</v>
      </c>
      <c r="E560" s="1240">
        <v>0</v>
      </c>
      <c r="F560" s="1241">
        <f t="shared" si="200"/>
        <v>100</v>
      </c>
      <c r="G560" s="1253">
        <f t="shared" si="205"/>
        <v>42000</v>
      </c>
      <c r="H560" s="1245">
        <f t="shared" si="206"/>
        <v>420</v>
      </c>
      <c r="I560" s="1245" t="s">
        <v>453</v>
      </c>
      <c r="K560" s="1242">
        <f t="shared" si="201"/>
        <v>1</v>
      </c>
      <c r="L560" s="1243">
        <f t="shared" si="202"/>
        <v>100</v>
      </c>
    </row>
    <row r="561" spans="1:12" ht="23.25" customHeight="1" x14ac:dyDescent="0.25">
      <c r="B561" s="1228" t="s">
        <v>309</v>
      </c>
      <c r="C561" s="1245">
        <v>1</v>
      </c>
      <c r="D561" s="1244">
        <f>'Prec Materia Prima y Empaq'!$H$129</f>
        <v>800</v>
      </c>
      <c r="E561" s="1240">
        <v>0</v>
      </c>
      <c r="F561" s="1241">
        <f t="shared" si="200"/>
        <v>800</v>
      </c>
      <c r="G561" s="1253">
        <f t="shared" si="205"/>
        <v>336000</v>
      </c>
      <c r="H561" s="1245">
        <f t="shared" si="206"/>
        <v>420</v>
      </c>
      <c r="I561" s="1245" t="s">
        <v>453</v>
      </c>
      <c r="K561" s="1242">
        <f t="shared" si="201"/>
        <v>1</v>
      </c>
      <c r="L561" s="1243">
        <f t="shared" si="202"/>
        <v>800</v>
      </c>
    </row>
    <row r="562" spans="1:12" ht="19.5" customHeight="1" thickBot="1" x14ac:dyDescent="0.3">
      <c r="B562" s="1255"/>
      <c r="C562" s="857"/>
      <c r="D562" s="1256"/>
      <c r="E562" s="1248"/>
      <c r="F562" s="1257"/>
      <c r="G562" s="1258">
        <f>SUM(G548:G561)/C542</f>
        <v>2122.6344122634332</v>
      </c>
      <c r="H562" s="1259" t="s">
        <v>454</v>
      </c>
      <c r="I562" s="857"/>
      <c r="L562" s="1260">
        <f>SUM(L548:L561)</f>
        <v>2122.6402771850285</v>
      </c>
    </row>
    <row r="563" spans="1:12" ht="15" customHeight="1" thickTop="1" x14ac:dyDescent="0.25">
      <c r="B563" s="1261" t="s">
        <v>409</v>
      </c>
      <c r="C563" s="1262"/>
      <c r="D563" s="1263">
        <f>+'Gtos Varios'!I14</f>
        <v>3672.93</v>
      </c>
      <c r="E563" s="1262"/>
      <c r="F563" s="1264">
        <f t="shared" ref="F563" si="209">+E563+D563</f>
        <v>3672.93</v>
      </c>
      <c r="G563" s="1265">
        <f>F563</f>
        <v>3672.93</v>
      </c>
      <c r="H563" s="1262" t="str">
        <f>B563</f>
        <v xml:space="preserve">GASTOS VARIOS </v>
      </c>
      <c r="I563" s="1262"/>
    </row>
    <row r="564" spans="1:12" ht="15" customHeight="1" x14ac:dyDescent="0.25">
      <c r="B564" s="1255"/>
      <c r="C564" s="857"/>
      <c r="D564" s="1256"/>
      <c r="E564" s="1248"/>
      <c r="F564" s="1257"/>
      <c r="G564" s="1266"/>
      <c r="H564" s="857"/>
      <c r="I564" s="857"/>
    </row>
    <row r="565" spans="1:12" ht="15" customHeight="1" x14ac:dyDescent="0.25">
      <c r="B565" s="1255"/>
      <c r="C565" s="857"/>
      <c r="D565" s="1256"/>
      <c r="E565" s="1248"/>
      <c r="F565" s="1257"/>
      <c r="G565" s="1266"/>
      <c r="H565" s="857"/>
      <c r="I565" s="857"/>
    </row>
    <row r="566" spans="1:12" ht="15" customHeight="1" thickBot="1" x14ac:dyDescent="0.3">
      <c r="F566" s="1267">
        <f>SUM(F548:F561)</f>
        <v>249719.22999999998</v>
      </c>
      <c r="G566" s="1268">
        <f>SUM(G562:G563)</f>
        <v>5795.564412263433</v>
      </c>
      <c r="H566" s="733" t="s">
        <v>412</v>
      </c>
    </row>
    <row r="567" spans="1:12" ht="15" customHeight="1" thickTop="1" x14ac:dyDescent="0.25">
      <c r="G567" s="1295">
        <f>G566*57%</f>
        <v>3303.4717149901567</v>
      </c>
      <c r="H567" s="1274">
        <v>0.56999999999999995</v>
      </c>
      <c r="I567" s="733" t="s">
        <v>539</v>
      </c>
    </row>
    <row r="568" spans="1:12" ht="15" customHeight="1" thickBot="1" x14ac:dyDescent="0.3">
      <c r="G568" s="1270">
        <f>G566+G567</f>
        <v>9099.0361272535902</v>
      </c>
      <c r="H568" s="733" t="s">
        <v>414</v>
      </c>
    </row>
    <row r="569" spans="1:12" ht="15" customHeight="1" thickTop="1" x14ac:dyDescent="0.25"/>
    <row r="570" spans="1:12" ht="15" customHeight="1" x14ac:dyDescent="0.25">
      <c r="G570" s="1258"/>
    </row>
    <row r="571" spans="1:12" ht="15" customHeight="1" x14ac:dyDescent="0.25">
      <c r="G571" s="1258"/>
    </row>
    <row r="572" spans="1:12" ht="15" customHeight="1" x14ac:dyDescent="0.25">
      <c r="B572" s="1222" t="s">
        <v>61</v>
      </c>
      <c r="C572" s="1219" t="s">
        <v>112</v>
      </c>
      <c r="D572" s="733"/>
      <c r="F572" s="853"/>
      <c r="G572" s="855"/>
      <c r="H572" s="855"/>
      <c r="I572" s="855"/>
      <c r="J572" s="855"/>
    </row>
    <row r="573" spans="1:12" ht="15" customHeight="1" x14ac:dyDescent="0.25">
      <c r="A573" s="1223" t="s">
        <v>711</v>
      </c>
      <c r="B573" s="1222" t="s">
        <v>62</v>
      </c>
      <c r="C573" s="1219" t="str">
        <f>VLOOKUP(C572,LISTPROD[],2,FALSE)</f>
        <v>COPA DE INDIO</v>
      </c>
      <c r="D573" s="1219" t="s">
        <v>486</v>
      </c>
      <c r="E573" s="856" t="s">
        <v>487</v>
      </c>
      <c r="F573" s="853"/>
      <c r="G573" s="855"/>
      <c r="H573" s="855"/>
      <c r="I573" s="855"/>
      <c r="J573" s="855"/>
    </row>
    <row r="574" spans="1:12" ht="15" customHeight="1" x14ac:dyDescent="0.25">
      <c r="B574" s="1222" t="s">
        <v>234</v>
      </c>
      <c r="C574" s="1219" t="str">
        <f>VLOOKUP(C572,LISTPROD[],9,FALSE)</f>
        <v>500 ML</v>
      </c>
      <c r="D574" s="733"/>
      <c r="E574" s="853"/>
      <c r="F574" s="853"/>
      <c r="G574" s="855"/>
      <c r="H574" s="855"/>
      <c r="I574" s="855"/>
      <c r="J574" s="855"/>
    </row>
    <row r="575" spans="1:12" ht="15" customHeight="1" x14ac:dyDescent="0.25">
      <c r="B575" s="1222" t="s">
        <v>239</v>
      </c>
      <c r="C575" s="1224">
        <v>420</v>
      </c>
      <c r="D575" s="1218"/>
      <c r="E575" s="853"/>
      <c r="F575" s="853"/>
      <c r="G575" s="855"/>
      <c r="H575" s="855"/>
      <c r="I575" s="855"/>
      <c r="J575" s="855"/>
    </row>
    <row r="576" spans="1:12" ht="15" customHeight="1" x14ac:dyDescent="0.25">
      <c r="B576" s="1222" t="s">
        <v>240</v>
      </c>
      <c r="C576" s="1219"/>
      <c r="D576" s="733"/>
      <c r="G576" s="855"/>
      <c r="H576" s="855"/>
      <c r="I576" s="855"/>
      <c r="J576" s="855"/>
    </row>
    <row r="577" spans="1:29" ht="15" customHeight="1" x14ac:dyDescent="0.25">
      <c r="B577" s="1222" t="s">
        <v>238</v>
      </c>
      <c r="C577" s="733" t="s">
        <v>56</v>
      </c>
      <c r="D577" s="733" t="s">
        <v>449</v>
      </c>
    </row>
    <row r="578" spans="1:29" ht="15" customHeight="1" x14ac:dyDescent="0.25">
      <c r="B578" s="1225" t="s">
        <v>410</v>
      </c>
      <c r="C578" s="753">
        <v>500</v>
      </c>
      <c r="D578" s="1226"/>
    </row>
    <row r="579" spans="1:29" ht="15" customHeight="1" x14ac:dyDescent="0.25">
      <c r="A579" s="1227"/>
      <c r="B579" s="1436" t="s">
        <v>404</v>
      </c>
      <c r="C579" s="1436"/>
      <c r="D579" s="1436"/>
      <c r="E579" s="1436"/>
      <c r="F579" s="1436"/>
      <c r="G579" s="1228"/>
      <c r="H579" s="1437" t="s">
        <v>416</v>
      </c>
      <c r="I579" s="1438"/>
    </row>
    <row r="580" spans="1:29" ht="43.5" customHeight="1" x14ac:dyDescent="0.25">
      <c r="A580" s="1229"/>
      <c r="B580" s="1230" t="s">
        <v>398</v>
      </c>
      <c r="C580" s="1231" t="s">
        <v>441</v>
      </c>
      <c r="D580" s="1232" t="s">
        <v>399</v>
      </c>
      <c r="E580" s="1233" t="s">
        <v>402</v>
      </c>
      <c r="F580" s="1232" t="s">
        <v>399</v>
      </c>
      <c r="G580" s="1232" t="s">
        <v>411</v>
      </c>
      <c r="H580" s="1234" t="s">
        <v>408</v>
      </c>
      <c r="I580" s="1235" t="s">
        <v>415</v>
      </c>
      <c r="K580" s="1236" t="s">
        <v>603</v>
      </c>
      <c r="L580" s="1237" t="s">
        <v>604</v>
      </c>
    </row>
    <row r="581" spans="1:29" ht="15" customHeight="1" x14ac:dyDescent="0.25">
      <c r="A581" s="1238"/>
      <c r="B581" s="1228" t="s">
        <v>248</v>
      </c>
      <c r="C581" s="1228">
        <v>1000</v>
      </c>
      <c r="D581" s="1239">
        <f>'Prec Materia Prima y Empaq'!$H$21</f>
        <v>15400</v>
      </c>
      <c r="E581" s="1240">
        <f>D581*19%</f>
        <v>2926</v>
      </c>
      <c r="F581" s="1241">
        <f>+E581+D581</f>
        <v>18326</v>
      </c>
      <c r="G581" s="1240">
        <f>F581/C581*H581</f>
        <v>16493.400000000001</v>
      </c>
      <c r="H581" s="1242">
        <v>900</v>
      </c>
      <c r="I581" s="1228" t="s">
        <v>450</v>
      </c>
      <c r="K581" s="1242">
        <f>H581/$C$575</f>
        <v>2.1428571428571428</v>
      </c>
      <c r="L581" s="1243">
        <f>F581/C581*K581</f>
        <v>39.270000000000003</v>
      </c>
    </row>
    <row r="582" spans="1:29" ht="15" customHeight="1" x14ac:dyDescent="0.25">
      <c r="A582" s="1238"/>
      <c r="B582" s="1228" t="s">
        <v>443</v>
      </c>
      <c r="C582" s="1228">
        <v>1000</v>
      </c>
      <c r="D582" s="1239">
        <f>'Prec Materia Prima y Empaq'!$H$11</f>
        <v>8000</v>
      </c>
      <c r="E582" s="1240">
        <f t="shared" ref="E582:E587" si="210">D582*19%</f>
        <v>1520</v>
      </c>
      <c r="F582" s="1241">
        <f t="shared" ref="F582:F590" si="211">+E582+D582</f>
        <v>9520</v>
      </c>
      <c r="G582" s="1240">
        <f t="shared" ref="G582:G586" si="212">F582/C582*H582</f>
        <v>5712</v>
      </c>
      <c r="H582" s="1242">
        <v>600</v>
      </c>
      <c r="I582" s="1228" t="s">
        <v>450</v>
      </c>
      <c r="K582" s="1242">
        <f t="shared" ref="K582:K594" si="213">H582/$C$575</f>
        <v>1.4285714285714286</v>
      </c>
      <c r="L582" s="1243">
        <f t="shared" ref="L582:L594" si="214">F582/C582*K582</f>
        <v>13.6</v>
      </c>
    </row>
    <row r="583" spans="1:29" ht="15" customHeight="1" x14ac:dyDescent="0.25">
      <c r="A583" s="1238"/>
      <c r="B583" s="1228" t="s">
        <v>253</v>
      </c>
      <c r="C583" s="1228">
        <v>1000</v>
      </c>
      <c r="D583" s="1239">
        <f>'Prec Materia Prima y Empaq'!$H$9</f>
        <v>5400</v>
      </c>
      <c r="E583" s="1240">
        <f t="shared" si="210"/>
        <v>1026</v>
      </c>
      <c r="F583" s="1241">
        <f t="shared" si="211"/>
        <v>6426</v>
      </c>
      <c r="G583" s="1240">
        <f t="shared" si="212"/>
        <v>3213</v>
      </c>
      <c r="H583" s="1242">
        <v>500</v>
      </c>
      <c r="I583" s="1228" t="s">
        <v>450</v>
      </c>
      <c r="K583" s="1242">
        <f t="shared" si="213"/>
        <v>1.1904761904761905</v>
      </c>
      <c r="L583" s="1243">
        <f t="shared" si="214"/>
        <v>7.65</v>
      </c>
    </row>
    <row r="584" spans="1:29" ht="15" customHeight="1" x14ac:dyDescent="0.25">
      <c r="A584" s="1238"/>
      <c r="B584" s="1228" t="s">
        <v>245</v>
      </c>
      <c r="C584" s="1228">
        <v>1000</v>
      </c>
      <c r="D584" s="1239">
        <f>'Prec Materia Prima y Empaq'!H44</f>
        <v>52325</v>
      </c>
      <c r="E584" s="1240">
        <f t="shared" si="210"/>
        <v>9941.75</v>
      </c>
      <c r="F584" s="1241">
        <f t="shared" si="211"/>
        <v>62266.75</v>
      </c>
      <c r="G584" s="1240">
        <f t="shared" si="212"/>
        <v>6226.6750000000002</v>
      </c>
      <c r="H584" s="1242">
        <v>100</v>
      </c>
      <c r="I584" s="1228" t="s">
        <v>450</v>
      </c>
      <c r="K584" s="1242">
        <f t="shared" si="213"/>
        <v>0.23809523809523808</v>
      </c>
      <c r="L584" s="1243">
        <f t="shared" si="214"/>
        <v>14.825416666666666</v>
      </c>
    </row>
    <row r="585" spans="1:29" ht="15" customHeight="1" x14ac:dyDescent="0.25">
      <c r="A585" s="1238"/>
      <c r="B585" s="1228" t="s">
        <v>261</v>
      </c>
      <c r="C585" s="1228">
        <v>1000</v>
      </c>
      <c r="D585" s="1239">
        <f>'Prec Materia Prima y Empaq'!$H$12</f>
        <v>4700</v>
      </c>
      <c r="E585" s="1240">
        <f t="shared" si="210"/>
        <v>893</v>
      </c>
      <c r="F585" s="1241">
        <f t="shared" si="211"/>
        <v>5593</v>
      </c>
      <c r="G585" s="1240">
        <f t="shared" si="212"/>
        <v>1118.5999999999999</v>
      </c>
      <c r="H585" s="1242">
        <v>200</v>
      </c>
      <c r="I585" s="1228" t="s">
        <v>450</v>
      </c>
      <c r="K585" s="1242">
        <f t="shared" si="213"/>
        <v>0.47619047619047616</v>
      </c>
      <c r="L585" s="1243">
        <f t="shared" si="214"/>
        <v>2.6633333333333331</v>
      </c>
    </row>
    <row r="586" spans="1:29" ht="15" customHeight="1" x14ac:dyDescent="0.25">
      <c r="A586" s="1238"/>
      <c r="B586" s="1228" t="s">
        <v>246</v>
      </c>
      <c r="C586" s="1228">
        <v>1000</v>
      </c>
      <c r="D586" s="1239">
        <f>'Prec Materia Prima y Empaq'!$H$41</f>
        <v>80268</v>
      </c>
      <c r="E586" s="1240">
        <f t="shared" si="210"/>
        <v>15250.92</v>
      </c>
      <c r="F586" s="1241">
        <f t="shared" si="211"/>
        <v>95518.92</v>
      </c>
      <c r="G586" s="1240">
        <f t="shared" si="212"/>
        <v>1910.3783999999998</v>
      </c>
      <c r="H586" s="1242">
        <v>20</v>
      </c>
      <c r="I586" s="1228" t="s">
        <v>450</v>
      </c>
      <c r="K586" s="1242">
        <f t="shared" si="213"/>
        <v>4.7619047619047616E-2</v>
      </c>
      <c r="L586" s="1243">
        <f t="shared" si="214"/>
        <v>4.5485199999999999</v>
      </c>
    </row>
    <row r="587" spans="1:29" ht="15" customHeight="1" x14ac:dyDescent="0.25">
      <c r="A587" s="1238"/>
      <c r="B587" s="1228" t="s">
        <v>382</v>
      </c>
      <c r="C587" s="1228">
        <v>3785</v>
      </c>
      <c r="D587" s="1239">
        <f>'Prec Materia Prima y Empaq'!$H$18</f>
        <v>24</v>
      </c>
      <c r="E587" s="1240">
        <f t="shared" si="210"/>
        <v>4.5600000000000005</v>
      </c>
      <c r="F587" s="1241">
        <f t="shared" si="211"/>
        <v>28.560000000000002</v>
      </c>
      <c r="G587" s="1240">
        <f>F587/C587*H587</f>
        <v>0.37727873183619554</v>
      </c>
      <c r="H587" s="1242">
        <v>50</v>
      </c>
      <c r="I587" s="1228" t="s">
        <v>450</v>
      </c>
      <c r="K587" s="1242">
        <f t="shared" si="213"/>
        <v>0.11904761904761904</v>
      </c>
      <c r="L587" s="1243">
        <f t="shared" si="214"/>
        <v>8.9828269484808459E-4</v>
      </c>
    </row>
    <row r="588" spans="1:29" ht="31.5" customHeight="1" x14ac:dyDescent="0.25">
      <c r="B588" s="1220" t="s">
        <v>247</v>
      </c>
      <c r="C588" s="1228">
        <v>1000</v>
      </c>
      <c r="D588" s="1244">
        <f>'Prec Materia Prima y Empaq'!$H$7</f>
        <v>50000</v>
      </c>
      <c r="E588" s="1240">
        <v>0</v>
      </c>
      <c r="F588" s="1241">
        <f t="shared" si="211"/>
        <v>50000</v>
      </c>
      <c r="G588" s="1240">
        <f>F588/C588*H588</f>
        <v>32.022471910112351</v>
      </c>
      <c r="H588" s="1245">
        <v>0.64044943820224698</v>
      </c>
      <c r="I588" s="1245" t="s">
        <v>453</v>
      </c>
      <c r="K588" s="1242">
        <f t="shared" si="213"/>
        <v>1.5248796147672547E-3</v>
      </c>
      <c r="L588" s="1243">
        <f t="shared" si="214"/>
        <v>7.6243980738362735E-2</v>
      </c>
      <c r="N588" s="1220" t="s">
        <v>247</v>
      </c>
      <c r="O588" s="1247">
        <v>1</v>
      </c>
      <c r="P588" s="1240">
        <f>$F$391/$C$391*$O$391</f>
        <v>50</v>
      </c>
      <c r="Q588" s="1248"/>
      <c r="R588" s="1249" t="e">
        <f>P588/O577</f>
        <v>#DIV/0!</v>
      </c>
      <c r="S588" s="1248" t="e">
        <f>R588*1000</f>
        <v>#DIV/0!</v>
      </c>
      <c r="T588" s="1250">
        <f>O588/$O$380*1000</f>
        <v>2.5641025641025641E-3</v>
      </c>
      <c r="U588" s="1238">
        <f>T588*$M$380</f>
        <v>1</v>
      </c>
      <c r="Y588" s="1238"/>
      <c r="Z588" s="1238"/>
      <c r="AA588" s="1251"/>
      <c r="AC588" s="1252"/>
    </row>
    <row r="589" spans="1:29" ht="30.75" customHeight="1" x14ac:dyDescent="0.25">
      <c r="B589" s="1220" t="s">
        <v>485</v>
      </c>
      <c r="C589" s="1220">
        <v>1</v>
      </c>
      <c r="D589" s="1244">
        <f>'Prec Materia Prima y Empaq'!$H$138</f>
        <v>650</v>
      </c>
      <c r="E589" s="1240">
        <v>0</v>
      </c>
      <c r="F589" s="1241">
        <f t="shared" si="211"/>
        <v>650</v>
      </c>
      <c r="G589" s="1253">
        <f t="shared" ref="G589:G594" si="215">F589*H589</f>
        <v>273000</v>
      </c>
      <c r="H589" s="1245">
        <f>$C$575</f>
        <v>420</v>
      </c>
      <c r="I589" s="1245" t="s">
        <v>453</v>
      </c>
      <c r="K589" s="1242">
        <f t="shared" si="213"/>
        <v>1</v>
      </c>
      <c r="L589" s="1243">
        <f t="shared" si="214"/>
        <v>650</v>
      </c>
    </row>
    <row r="590" spans="1:29" ht="24" customHeight="1" x14ac:dyDescent="0.25">
      <c r="B590" s="1220" t="s">
        <v>614</v>
      </c>
      <c r="C590" s="1220">
        <v>1</v>
      </c>
      <c r="D590" s="1244">
        <f>'Prec Materia Prima y Empaq'!$H$144</f>
        <v>70</v>
      </c>
      <c r="E590" s="1240">
        <v>0</v>
      </c>
      <c r="F590" s="1241">
        <f t="shared" si="211"/>
        <v>70</v>
      </c>
      <c r="G590" s="1253">
        <f t="shared" si="215"/>
        <v>29400</v>
      </c>
      <c r="H590" s="1245">
        <f t="shared" ref="H590:H594" si="216">$C$575</f>
        <v>420</v>
      </c>
      <c r="I590" s="1245" t="s">
        <v>453</v>
      </c>
      <c r="K590" s="1242">
        <f t="shared" si="213"/>
        <v>1</v>
      </c>
      <c r="L590" s="1243">
        <f t="shared" si="214"/>
        <v>70</v>
      </c>
    </row>
    <row r="591" spans="1:29" ht="48" customHeight="1" x14ac:dyDescent="0.25">
      <c r="B591" s="1220" t="s">
        <v>695</v>
      </c>
      <c r="C591" s="1245">
        <v>1</v>
      </c>
      <c r="D591" s="1272">
        <f>'Prec Materia Prima y Empaq'!$H$161</f>
        <v>300</v>
      </c>
      <c r="E591" s="1240">
        <v>0</v>
      </c>
      <c r="F591" s="1241">
        <f>+E590+D590</f>
        <v>70</v>
      </c>
      <c r="G591" s="1253">
        <f>F591*H591</f>
        <v>29400</v>
      </c>
      <c r="H591" s="1245">
        <f t="shared" si="216"/>
        <v>420</v>
      </c>
      <c r="I591" s="1245" t="s">
        <v>453</v>
      </c>
      <c r="K591" s="1242">
        <f t="shared" si="213"/>
        <v>1</v>
      </c>
      <c r="L591" s="1243">
        <f t="shared" si="214"/>
        <v>70</v>
      </c>
    </row>
    <row r="592" spans="1:29" ht="29.25" customHeight="1" x14ac:dyDescent="0.25">
      <c r="B592" s="1279" t="s">
        <v>675</v>
      </c>
      <c r="C592" s="1245">
        <v>1</v>
      </c>
      <c r="D592" s="1272">
        <f>'Prec Materia Prima y Empaq'!$H$162</f>
        <v>100</v>
      </c>
      <c r="E592" s="1240"/>
      <c r="F592" s="1241">
        <f>+E591+D591</f>
        <v>300</v>
      </c>
      <c r="G592" s="1253">
        <f>F592*H592</f>
        <v>126000</v>
      </c>
      <c r="H592" s="1245">
        <f t="shared" si="216"/>
        <v>420</v>
      </c>
      <c r="I592" s="1245" t="s">
        <v>453</v>
      </c>
      <c r="K592" s="1242">
        <f t="shared" si="213"/>
        <v>1</v>
      </c>
      <c r="L592" s="1243">
        <f t="shared" si="214"/>
        <v>300</v>
      </c>
    </row>
    <row r="593" spans="1:12" ht="15" customHeight="1" x14ac:dyDescent="0.25">
      <c r="B593" s="1220" t="s">
        <v>310</v>
      </c>
      <c r="C593" s="1245">
        <v>1</v>
      </c>
      <c r="D593" s="1272">
        <f>'Prec Materia Prima y Empaq'!$H$130</f>
        <v>100</v>
      </c>
      <c r="E593" s="1240">
        <v>0</v>
      </c>
      <c r="F593" s="1241">
        <f t="shared" ref="F593:F594" si="217">+E593+D593</f>
        <v>100</v>
      </c>
      <c r="G593" s="1253">
        <f t="shared" si="215"/>
        <v>42000</v>
      </c>
      <c r="H593" s="1245">
        <f t="shared" si="216"/>
        <v>420</v>
      </c>
      <c r="I593" s="1245" t="s">
        <v>453</v>
      </c>
      <c r="K593" s="1242">
        <f t="shared" si="213"/>
        <v>1</v>
      </c>
      <c r="L593" s="1243">
        <f t="shared" si="214"/>
        <v>100</v>
      </c>
    </row>
    <row r="594" spans="1:12" ht="15" customHeight="1" x14ac:dyDescent="0.25">
      <c r="B594" s="1245" t="s">
        <v>309</v>
      </c>
      <c r="C594" s="1245">
        <v>1</v>
      </c>
      <c r="D594" s="1272">
        <f>'Prec Materia Prima y Empaq'!$H$129</f>
        <v>800</v>
      </c>
      <c r="E594" s="1240">
        <v>0</v>
      </c>
      <c r="F594" s="1241">
        <f t="shared" si="217"/>
        <v>800</v>
      </c>
      <c r="G594" s="1253">
        <f t="shared" si="215"/>
        <v>336000</v>
      </c>
      <c r="H594" s="1245">
        <f t="shared" si="216"/>
        <v>420</v>
      </c>
      <c r="I594" s="1245" t="s">
        <v>453</v>
      </c>
      <c r="K594" s="1242">
        <f t="shared" si="213"/>
        <v>1</v>
      </c>
      <c r="L594" s="1243">
        <f t="shared" si="214"/>
        <v>800</v>
      </c>
    </row>
    <row r="595" spans="1:12" ht="19.5" customHeight="1" thickBot="1" x14ac:dyDescent="0.3">
      <c r="B595" s="1255"/>
      <c r="C595" s="857"/>
      <c r="D595" s="1256"/>
      <c r="E595" s="1248"/>
      <c r="F595" s="1257"/>
      <c r="G595" s="1258">
        <f>SUM(G581:G594)/C575</f>
        <v>2072.6344122634332</v>
      </c>
      <c r="H595" s="1259" t="s">
        <v>454</v>
      </c>
      <c r="I595" s="857"/>
      <c r="L595" s="1260">
        <f>SUM(L581:L594)</f>
        <v>2072.6344122634332</v>
      </c>
    </row>
    <row r="596" spans="1:12" ht="15" customHeight="1" thickTop="1" x14ac:dyDescent="0.25">
      <c r="B596" s="1261" t="s">
        <v>409</v>
      </c>
      <c r="C596" s="1262"/>
      <c r="D596" s="1263">
        <f>+'Gtos Varios'!I14</f>
        <v>3672.93</v>
      </c>
      <c r="E596" s="1262"/>
      <c r="F596" s="1264">
        <f t="shared" ref="F596" si="218">+E596+D596</f>
        <v>3672.93</v>
      </c>
      <c r="G596" s="1265">
        <f>F596</f>
        <v>3672.93</v>
      </c>
      <c r="H596" s="1262" t="str">
        <f>B596</f>
        <v xml:space="preserve">GASTOS VARIOS </v>
      </c>
      <c r="I596" s="1262"/>
    </row>
    <row r="597" spans="1:12" ht="15" customHeight="1" x14ac:dyDescent="0.25">
      <c r="B597" s="1255"/>
      <c r="C597" s="857"/>
      <c r="D597" s="1256"/>
      <c r="E597" s="1248"/>
      <c r="F597" s="1257"/>
      <c r="G597" s="1266"/>
      <c r="H597" s="857"/>
      <c r="I597" s="857"/>
    </row>
    <row r="598" spans="1:12" ht="15" customHeight="1" x14ac:dyDescent="0.25">
      <c r="B598" s="1255"/>
      <c r="C598" s="857"/>
      <c r="D598" s="1256"/>
      <c r="E598" s="1248"/>
      <c r="F598" s="1257"/>
      <c r="G598" s="1266"/>
      <c r="H598" s="857"/>
      <c r="I598" s="857"/>
    </row>
    <row r="599" spans="1:12" ht="15" customHeight="1" thickBot="1" x14ac:dyDescent="0.3">
      <c r="F599" s="1267">
        <f>SUM(F581:F594)</f>
        <v>249669.22999999998</v>
      </c>
      <c r="G599" s="1268">
        <f>SUM(G595:G596)</f>
        <v>5745.564412263433</v>
      </c>
      <c r="H599" s="733" t="s">
        <v>412</v>
      </c>
    </row>
    <row r="600" spans="1:12" ht="15" customHeight="1" thickTop="1" x14ac:dyDescent="0.25">
      <c r="G600" s="1295">
        <f>G599*59%</f>
        <v>3389.8830032354253</v>
      </c>
      <c r="H600" s="1274">
        <v>0.59</v>
      </c>
      <c r="I600" s="733" t="s">
        <v>539</v>
      </c>
    </row>
    <row r="601" spans="1:12" ht="15" customHeight="1" thickBot="1" x14ac:dyDescent="0.3">
      <c r="G601" s="1270">
        <f>G599+G600</f>
        <v>9135.4474154988584</v>
      </c>
      <c r="H601" s="733" t="s">
        <v>414</v>
      </c>
    </row>
    <row r="602" spans="1:12" ht="15" customHeight="1" thickTop="1" x14ac:dyDescent="0.25">
      <c r="G602" s="1258"/>
    </row>
    <row r="603" spans="1:12" ht="15" customHeight="1" x14ac:dyDescent="0.25">
      <c r="G603" s="1258"/>
    </row>
    <row r="604" spans="1:12" ht="15" customHeight="1" x14ac:dyDescent="0.25">
      <c r="G604" s="1258"/>
    </row>
    <row r="605" spans="1:12" ht="15" customHeight="1" x14ac:dyDescent="0.25">
      <c r="B605" s="1222" t="s">
        <v>61</v>
      </c>
      <c r="C605" s="1219" t="s">
        <v>114</v>
      </c>
      <c r="D605" s="733"/>
      <c r="F605" s="853"/>
      <c r="G605" s="855"/>
      <c r="H605" s="855"/>
    </row>
    <row r="606" spans="1:12" ht="15" customHeight="1" x14ac:dyDescent="0.25">
      <c r="B606" s="1222" t="s">
        <v>62</v>
      </c>
      <c r="C606" s="1219" t="str">
        <f>VLOOKUP(C605,LISTPROD[],2,FALSE)</f>
        <v>DIABETIZAN</v>
      </c>
      <c r="D606" s="1219" t="s">
        <v>486</v>
      </c>
      <c r="E606" s="856" t="s">
        <v>487</v>
      </c>
      <c r="F606" s="853"/>
      <c r="G606" s="855"/>
      <c r="H606" s="855"/>
    </row>
    <row r="607" spans="1:12" ht="15" customHeight="1" x14ac:dyDescent="0.25">
      <c r="A607" s="1223" t="s">
        <v>711</v>
      </c>
      <c r="B607" s="1222" t="s">
        <v>234</v>
      </c>
      <c r="C607" s="1219" t="str">
        <f>VLOOKUP(C605,LISTPROD[],9,FALSE)</f>
        <v>500 ML</v>
      </c>
      <c r="D607" s="733"/>
      <c r="E607" s="853"/>
      <c r="F607" s="853"/>
      <c r="G607" s="855"/>
      <c r="H607" s="855"/>
    </row>
    <row r="608" spans="1:12" ht="15" customHeight="1" x14ac:dyDescent="0.25">
      <c r="B608" s="1222" t="s">
        <v>239</v>
      </c>
      <c r="C608" s="1224">
        <v>420</v>
      </c>
      <c r="D608" s="1218"/>
      <c r="E608" s="853"/>
      <c r="F608" s="853"/>
      <c r="G608" s="855"/>
      <c r="H608" s="855"/>
    </row>
    <row r="609" spans="1:29" ht="15" customHeight="1" x14ac:dyDescent="0.25">
      <c r="B609" s="1222" t="s">
        <v>240</v>
      </c>
      <c r="C609" s="1219"/>
      <c r="D609" s="733"/>
    </row>
    <row r="610" spans="1:29" ht="15" customHeight="1" x14ac:dyDescent="0.25">
      <c r="B610" s="1222" t="s">
        <v>238</v>
      </c>
      <c r="C610" s="733" t="s">
        <v>56</v>
      </c>
      <c r="D610" s="733" t="s">
        <v>449</v>
      </c>
    </row>
    <row r="611" spans="1:29" ht="15" customHeight="1" x14ac:dyDescent="0.25">
      <c r="B611" s="1225" t="s">
        <v>410</v>
      </c>
      <c r="C611" s="753">
        <v>500</v>
      </c>
      <c r="D611" s="1226"/>
    </row>
    <row r="612" spans="1:29" ht="15" customHeight="1" x14ac:dyDescent="0.25">
      <c r="A612" s="1227"/>
      <c r="B612" s="1436" t="s">
        <v>404</v>
      </c>
      <c r="C612" s="1436"/>
      <c r="D612" s="1436"/>
      <c r="E612" s="1436"/>
      <c r="F612" s="1436"/>
      <c r="G612" s="1228"/>
      <c r="H612" s="1437" t="s">
        <v>416</v>
      </c>
      <c r="I612" s="1438"/>
    </row>
    <row r="613" spans="1:29" ht="57" customHeight="1" x14ac:dyDescent="0.25">
      <c r="A613" s="1229"/>
      <c r="B613" s="1230" t="s">
        <v>398</v>
      </c>
      <c r="C613" s="1231" t="s">
        <v>441</v>
      </c>
      <c r="D613" s="1232" t="s">
        <v>399</v>
      </c>
      <c r="E613" s="1233" t="s">
        <v>402</v>
      </c>
      <c r="F613" s="1232" t="s">
        <v>399</v>
      </c>
      <c r="G613" s="1232" t="s">
        <v>411</v>
      </c>
      <c r="H613" s="1234" t="s">
        <v>408</v>
      </c>
      <c r="I613" s="1235" t="s">
        <v>415</v>
      </c>
      <c r="K613" s="1236" t="s">
        <v>603</v>
      </c>
      <c r="L613" s="1237" t="s">
        <v>604</v>
      </c>
    </row>
    <row r="614" spans="1:29" ht="15" customHeight="1" x14ac:dyDescent="0.25">
      <c r="A614" s="1238"/>
      <c r="B614" s="1228" t="s">
        <v>248</v>
      </c>
      <c r="C614" s="1228">
        <v>1000</v>
      </c>
      <c r="D614" s="1239">
        <f>'Prec Materia Prima y Empaq'!$H$21</f>
        <v>15400</v>
      </c>
      <c r="E614" s="1240">
        <f>D614*19%</f>
        <v>2926</v>
      </c>
      <c r="F614" s="1241">
        <f>+E614+D614</f>
        <v>18326</v>
      </c>
      <c r="G614" s="1240">
        <f>F614/C614*H614</f>
        <v>12828.2</v>
      </c>
      <c r="H614" s="1242">
        <v>700</v>
      </c>
      <c r="I614" s="1228" t="s">
        <v>450</v>
      </c>
      <c r="K614" s="1242">
        <f>H614/$C$608</f>
        <v>1.6666666666666667</v>
      </c>
      <c r="L614" s="1243">
        <f>F614/C614*K614</f>
        <v>30.543333333333337</v>
      </c>
    </row>
    <row r="615" spans="1:29" ht="15" customHeight="1" x14ac:dyDescent="0.25">
      <c r="A615" s="1238"/>
      <c r="B615" s="1228" t="s">
        <v>443</v>
      </c>
      <c r="C615" s="1228">
        <v>1000</v>
      </c>
      <c r="D615" s="1239">
        <f>'Prec Materia Prima y Empaq'!$H$11</f>
        <v>8000</v>
      </c>
      <c r="E615" s="1240">
        <f t="shared" ref="E615:E621" si="219">D615*19%</f>
        <v>1520</v>
      </c>
      <c r="F615" s="1241">
        <f t="shared" ref="F615:F627" si="220">+E615+D615</f>
        <v>9520</v>
      </c>
      <c r="G615" s="1240">
        <f t="shared" ref="G615:G620" si="221">F615/C615*H615</f>
        <v>5712</v>
      </c>
      <c r="H615" s="1242">
        <v>600</v>
      </c>
      <c r="I615" s="1228" t="s">
        <v>450</v>
      </c>
      <c r="K615" s="1242">
        <f t="shared" ref="K615:K628" si="222">H615/$C$608</f>
        <v>1.4285714285714286</v>
      </c>
      <c r="L615" s="1243">
        <f t="shared" ref="L615:L628" si="223">F615/C615*K615</f>
        <v>13.6</v>
      </c>
    </row>
    <row r="616" spans="1:29" ht="15" customHeight="1" x14ac:dyDescent="0.25">
      <c r="A616" s="1238"/>
      <c r="B616" s="1228" t="s">
        <v>253</v>
      </c>
      <c r="C616" s="1228">
        <v>1000</v>
      </c>
      <c r="D616" s="1239">
        <f>'Prec Materia Prima y Empaq'!$H$9</f>
        <v>5400</v>
      </c>
      <c r="E616" s="1240">
        <f t="shared" si="219"/>
        <v>1026</v>
      </c>
      <c r="F616" s="1241">
        <f t="shared" si="220"/>
        <v>6426</v>
      </c>
      <c r="G616" s="1240">
        <f t="shared" si="221"/>
        <v>6426</v>
      </c>
      <c r="H616" s="1242">
        <v>1000</v>
      </c>
      <c r="I616" s="1228" t="s">
        <v>450</v>
      </c>
      <c r="K616" s="1242">
        <f t="shared" si="222"/>
        <v>2.3809523809523809</v>
      </c>
      <c r="L616" s="1243">
        <f t="shared" si="223"/>
        <v>15.3</v>
      </c>
    </row>
    <row r="617" spans="1:29" ht="15" customHeight="1" x14ac:dyDescent="0.25">
      <c r="A617" s="1238"/>
      <c r="B617" s="1294" t="s">
        <v>257</v>
      </c>
      <c r="C617" s="1228">
        <v>1000</v>
      </c>
      <c r="D617" s="1239">
        <f>'Prec Materia Prima y Empaq'!$H$51</f>
        <v>53393</v>
      </c>
      <c r="E617" s="1240">
        <f t="shared" si="219"/>
        <v>10144.67</v>
      </c>
      <c r="F617" s="1241">
        <f t="shared" si="220"/>
        <v>63537.67</v>
      </c>
      <c r="G617" s="1240">
        <f t="shared" si="221"/>
        <v>6353.7669999999998</v>
      </c>
      <c r="H617" s="1242">
        <v>100</v>
      </c>
      <c r="I617" s="1228" t="s">
        <v>450</v>
      </c>
      <c r="K617" s="1242">
        <f t="shared" si="222"/>
        <v>0.23809523809523808</v>
      </c>
      <c r="L617" s="1243">
        <f t="shared" si="223"/>
        <v>15.128016666666666</v>
      </c>
    </row>
    <row r="618" spans="1:29" ht="15" customHeight="1" x14ac:dyDescent="0.25">
      <c r="A618" s="1238"/>
      <c r="B618" s="1228" t="s">
        <v>261</v>
      </c>
      <c r="C618" s="1228">
        <v>1000</v>
      </c>
      <c r="D618" s="1239">
        <f>'Prec Materia Prima y Empaq'!$H$12</f>
        <v>4700</v>
      </c>
      <c r="E618" s="1240">
        <f t="shared" si="219"/>
        <v>893</v>
      </c>
      <c r="F618" s="1241">
        <f t="shared" si="220"/>
        <v>5593</v>
      </c>
      <c r="G618" s="1240">
        <f t="shared" si="221"/>
        <v>1118.5999999999999</v>
      </c>
      <c r="H618" s="1242">
        <v>200</v>
      </c>
      <c r="I618" s="1228" t="s">
        <v>450</v>
      </c>
      <c r="K618" s="1242">
        <f t="shared" si="222"/>
        <v>0.47619047619047616</v>
      </c>
      <c r="L618" s="1243">
        <f t="shared" si="223"/>
        <v>2.6633333333333331</v>
      </c>
    </row>
    <row r="619" spans="1:29" ht="15" customHeight="1" x14ac:dyDescent="0.25">
      <c r="A619" s="1238"/>
      <c r="B619" s="1228" t="s">
        <v>246</v>
      </c>
      <c r="C619" s="1228">
        <v>1000</v>
      </c>
      <c r="D619" s="1239">
        <f>'Prec Materia Prima y Empaq'!$H$41</f>
        <v>80268</v>
      </c>
      <c r="E619" s="1240">
        <f t="shared" si="219"/>
        <v>15250.92</v>
      </c>
      <c r="F619" s="1241">
        <f t="shared" si="220"/>
        <v>95518.92</v>
      </c>
      <c r="G619" s="1240">
        <f t="shared" si="221"/>
        <v>2101.41624</v>
      </c>
      <c r="H619" s="1242">
        <v>22</v>
      </c>
      <c r="I619" s="1228" t="s">
        <v>450</v>
      </c>
      <c r="K619" s="1242">
        <f t="shared" si="222"/>
        <v>5.2380952380952382E-2</v>
      </c>
      <c r="L619" s="1243">
        <f t="shared" si="223"/>
        <v>5.0033719999999997</v>
      </c>
    </row>
    <row r="620" spans="1:29" ht="15" customHeight="1" x14ac:dyDescent="0.25">
      <c r="A620" s="1238"/>
      <c r="B620" s="1228" t="s">
        <v>251</v>
      </c>
      <c r="C620" s="1228">
        <v>1000</v>
      </c>
      <c r="D620" s="1273">
        <f>'Prec Materia Prima y Empaq'!$H$26</f>
        <v>45404</v>
      </c>
      <c r="E620" s="1240">
        <f t="shared" si="219"/>
        <v>8626.76</v>
      </c>
      <c r="F620" s="1241">
        <f t="shared" si="220"/>
        <v>54030.76</v>
      </c>
      <c r="G620" s="1240">
        <f t="shared" si="221"/>
        <v>5403.076</v>
      </c>
      <c r="H620" s="1242">
        <v>100</v>
      </c>
      <c r="I620" s="1228" t="s">
        <v>450</v>
      </c>
      <c r="K620" s="1242">
        <f t="shared" ref="K620" si="224">H620/$C$474</f>
        <v>0.23809523809523808</v>
      </c>
      <c r="L620" s="1243">
        <f t="shared" si="223"/>
        <v>12.864466666666667</v>
      </c>
    </row>
    <row r="621" spans="1:29" ht="15" customHeight="1" x14ac:dyDescent="0.25">
      <c r="A621" s="1238"/>
      <c r="B621" s="1228" t="s">
        <v>382</v>
      </c>
      <c r="C621" s="1228">
        <v>3785</v>
      </c>
      <c r="D621" s="1239">
        <f>'Prec Materia Prima y Empaq'!$H$18</f>
        <v>24</v>
      </c>
      <c r="E621" s="1240">
        <f t="shared" si="219"/>
        <v>4.5600000000000005</v>
      </c>
      <c r="F621" s="1241">
        <f t="shared" si="220"/>
        <v>28.560000000000002</v>
      </c>
      <c r="G621" s="1240">
        <f>F621/C621*H621</f>
        <v>0.37727873183619554</v>
      </c>
      <c r="H621" s="1242">
        <v>50</v>
      </c>
      <c r="I621" s="1228" t="s">
        <v>450</v>
      </c>
      <c r="K621" s="1242">
        <f t="shared" ref="K621" si="225">H621/$C$542</f>
        <v>0.11904761904761904</v>
      </c>
      <c r="L621" s="1243">
        <f t="shared" si="223"/>
        <v>8.9828269484808459E-4</v>
      </c>
    </row>
    <row r="622" spans="1:29" ht="31.5" customHeight="1" x14ac:dyDescent="0.25">
      <c r="B622" s="1220" t="s">
        <v>247</v>
      </c>
      <c r="C622" s="1228">
        <v>1000</v>
      </c>
      <c r="D622" s="1244">
        <f>'Prec Materia Prima y Empaq'!$H$7</f>
        <v>50000</v>
      </c>
      <c r="E622" s="1240">
        <v>0</v>
      </c>
      <c r="F622" s="1241">
        <f t="shared" si="220"/>
        <v>50000</v>
      </c>
      <c r="G622" s="1240">
        <f>F622/C622*H622</f>
        <v>32.022471910112351</v>
      </c>
      <c r="H622" s="1245">
        <v>0.64044943820224698</v>
      </c>
      <c r="I622" s="1245" t="s">
        <v>453</v>
      </c>
      <c r="K622" s="1242">
        <f t="shared" ref="K622" si="226">H622/$C$378</f>
        <v>1.6421780466724281E-3</v>
      </c>
      <c r="L622" s="1243">
        <f t="shared" si="223"/>
        <v>8.2108902333621406E-2</v>
      </c>
      <c r="N622" s="1220" t="s">
        <v>247</v>
      </c>
      <c r="O622" s="1247">
        <v>1</v>
      </c>
      <c r="P622" s="1240">
        <f>$F$391/$C$391*$O$391</f>
        <v>50</v>
      </c>
      <c r="Q622" s="1248"/>
      <c r="R622" s="1249" t="e">
        <f>P622/O611</f>
        <v>#DIV/0!</v>
      </c>
      <c r="S622" s="1248" t="e">
        <f>R622*1000</f>
        <v>#DIV/0!</v>
      </c>
      <c r="T622" s="1250">
        <f>O622/$O$380*1000</f>
        <v>2.5641025641025641E-3</v>
      </c>
      <c r="U622" s="1238">
        <f>T622*$M$380</f>
        <v>1</v>
      </c>
      <c r="Y622" s="1238"/>
      <c r="Z622" s="1238"/>
      <c r="AA622" s="1251"/>
      <c r="AC622" s="1252"/>
    </row>
    <row r="623" spans="1:29" ht="30.75" customHeight="1" x14ac:dyDescent="0.25">
      <c r="B623" s="1220" t="s">
        <v>485</v>
      </c>
      <c r="C623" s="1220">
        <v>1</v>
      </c>
      <c r="D623" s="1244">
        <f>'Prec Materia Prima y Empaq'!$H$138</f>
        <v>650</v>
      </c>
      <c r="E623" s="1240">
        <v>0</v>
      </c>
      <c r="F623" s="1241">
        <f t="shared" si="220"/>
        <v>650</v>
      </c>
      <c r="G623" s="1253">
        <f t="shared" ref="G623:G628" si="227">F623*H623</f>
        <v>273000</v>
      </c>
      <c r="H623" s="1245">
        <f>$C$608</f>
        <v>420</v>
      </c>
      <c r="I623" s="1245" t="s">
        <v>453</v>
      </c>
      <c r="K623" s="1242">
        <f t="shared" si="222"/>
        <v>1</v>
      </c>
      <c r="L623" s="1243">
        <f t="shared" si="223"/>
        <v>650</v>
      </c>
    </row>
    <row r="624" spans="1:29" ht="15" customHeight="1" x14ac:dyDescent="0.25">
      <c r="B624" s="1220" t="s">
        <v>614</v>
      </c>
      <c r="C624" s="1220">
        <v>1</v>
      </c>
      <c r="D624" s="1244">
        <f>'Prec Materia Prima y Empaq'!$H$144</f>
        <v>70</v>
      </c>
      <c r="E624" s="1240">
        <v>0</v>
      </c>
      <c r="F624" s="1241">
        <f t="shared" si="220"/>
        <v>70</v>
      </c>
      <c r="G624" s="1253">
        <f t="shared" si="227"/>
        <v>29400</v>
      </c>
      <c r="H624" s="1245">
        <f t="shared" ref="H624:H628" si="228">$C$608</f>
        <v>420</v>
      </c>
      <c r="I624" s="1245" t="s">
        <v>453</v>
      </c>
      <c r="K624" s="1242">
        <f t="shared" si="222"/>
        <v>1</v>
      </c>
      <c r="L624" s="1243">
        <f t="shared" si="223"/>
        <v>70</v>
      </c>
    </row>
    <row r="625" spans="2:12" ht="50.25" customHeight="1" x14ac:dyDescent="0.25">
      <c r="B625" s="1220" t="s">
        <v>695</v>
      </c>
      <c r="C625" s="1245">
        <v>1</v>
      </c>
      <c r="D625" s="1272">
        <f>'Prec Materia Prima y Empaq'!$H$161</f>
        <v>300</v>
      </c>
      <c r="E625" s="1240">
        <v>0</v>
      </c>
      <c r="F625" s="1241">
        <f t="shared" si="220"/>
        <v>300</v>
      </c>
      <c r="G625" s="1253">
        <f t="shared" si="227"/>
        <v>126000</v>
      </c>
      <c r="H625" s="1245">
        <f t="shared" si="228"/>
        <v>420</v>
      </c>
      <c r="I625" s="1245" t="s">
        <v>453</v>
      </c>
      <c r="K625" s="1242">
        <f t="shared" si="222"/>
        <v>1</v>
      </c>
      <c r="L625" s="1243">
        <f t="shared" si="223"/>
        <v>300</v>
      </c>
    </row>
    <row r="626" spans="2:12" ht="15" customHeight="1" x14ac:dyDescent="0.25">
      <c r="B626" s="1279" t="s">
        <v>675</v>
      </c>
      <c r="C626" s="1245">
        <v>1</v>
      </c>
      <c r="D626" s="1272">
        <f>'Prec Materia Prima y Empaq'!$H$162</f>
        <v>100</v>
      </c>
      <c r="E626" s="1240"/>
      <c r="F626" s="1241">
        <f t="shared" si="220"/>
        <v>100</v>
      </c>
      <c r="G626" s="1253">
        <f t="shared" si="227"/>
        <v>42000</v>
      </c>
      <c r="H626" s="1245">
        <f t="shared" si="228"/>
        <v>420</v>
      </c>
      <c r="I626" s="1245"/>
      <c r="K626" s="1242">
        <f t="shared" si="222"/>
        <v>1</v>
      </c>
      <c r="L626" s="1243">
        <f t="shared" si="223"/>
        <v>100</v>
      </c>
    </row>
    <row r="627" spans="2:12" ht="15" customHeight="1" x14ac:dyDescent="0.25">
      <c r="B627" s="1220" t="s">
        <v>310</v>
      </c>
      <c r="C627" s="1245">
        <v>1</v>
      </c>
      <c r="D627" s="1272">
        <f>'Prec Materia Prima y Empaq'!$H$130</f>
        <v>100</v>
      </c>
      <c r="E627" s="1240">
        <v>0</v>
      </c>
      <c r="F627" s="1241">
        <f t="shared" si="220"/>
        <v>100</v>
      </c>
      <c r="G627" s="1253">
        <f t="shared" si="227"/>
        <v>42000</v>
      </c>
      <c r="H627" s="1245">
        <f t="shared" si="228"/>
        <v>420</v>
      </c>
      <c r="I627" s="1245" t="s">
        <v>453</v>
      </c>
      <c r="K627" s="1242">
        <f t="shared" si="222"/>
        <v>1</v>
      </c>
      <c r="L627" s="1243">
        <f t="shared" si="223"/>
        <v>100</v>
      </c>
    </row>
    <row r="628" spans="2:12" ht="15" customHeight="1" x14ac:dyDescent="0.25">
      <c r="B628" s="1245" t="s">
        <v>309</v>
      </c>
      <c r="C628" s="1245">
        <v>1</v>
      </c>
      <c r="D628" s="1272">
        <f>'Prec Materia Prima y Empaq'!$H$129</f>
        <v>800</v>
      </c>
      <c r="E628" s="1240">
        <v>0</v>
      </c>
      <c r="F628" s="1241">
        <f t="shared" ref="F628" si="229">+E628+D628</f>
        <v>800</v>
      </c>
      <c r="G628" s="1253">
        <f t="shared" si="227"/>
        <v>336000</v>
      </c>
      <c r="H628" s="1245">
        <f t="shared" si="228"/>
        <v>420</v>
      </c>
      <c r="I628" s="1245" t="s">
        <v>453</v>
      </c>
      <c r="K628" s="1242">
        <f t="shared" si="222"/>
        <v>1</v>
      </c>
      <c r="L628" s="1243">
        <f t="shared" si="223"/>
        <v>800</v>
      </c>
    </row>
    <row r="629" spans="2:12" ht="19.5" customHeight="1" thickBot="1" x14ac:dyDescent="0.3">
      <c r="B629" s="1255"/>
      <c r="C629" s="857"/>
      <c r="D629" s="1256"/>
      <c r="E629" s="1248"/>
      <c r="F629" s="1257"/>
      <c r="G629" s="1258">
        <f>SUM(G614:G628)/C608</f>
        <v>2115.1796642634331</v>
      </c>
      <c r="H629" s="1259" t="s">
        <v>454</v>
      </c>
      <c r="I629" s="857"/>
      <c r="L629" s="1260">
        <f>SUM(L614:L628)</f>
        <v>2115.1855291850284</v>
      </c>
    </row>
    <row r="630" spans="2:12" ht="15" customHeight="1" thickTop="1" x14ac:dyDescent="0.25">
      <c r="B630" s="1261" t="s">
        <v>409</v>
      </c>
      <c r="C630" s="1262"/>
      <c r="D630" s="1263">
        <f>+'Gtos Varios'!I14</f>
        <v>3672.93</v>
      </c>
      <c r="E630" s="1262"/>
      <c r="F630" s="1264">
        <f t="shared" ref="F630" si="230">+E630+D630</f>
        <v>3672.93</v>
      </c>
      <c r="G630" s="1265">
        <f>F630</f>
        <v>3672.93</v>
      </c>
      <c r="H630" s="1262" t="str">
        <f>B630</f>
        <v xml:space="preserve">GASTOS VARIOS </v>
      </c>
      <c r="I630" s="1262"/>
      <c r="J630" s="1262"/>
    </row>
    <row r="631" spans="2:12" ht="15" customHeight="1" x14ac:dyDescent="0.25">
      <c r="B631" s="1255"/>
      <c r="C631" s="857"/>
      <c r="D631" s="1256"/>
      <c r="E631" s="1248"/>
      <c r="F631" s="1257"/>
      <c r="G631" s="1266"/>
      <c r="H631" s="857"/>
      <c r="I631" s="857"/>
    </row>
    <row r="632" spans="2:12" ht="15" customHeight="1" x14ac:dyDescent="0.25">
      <c r="B632" s="1255"/>
      <c r="C632" s="857"/>
      <c r="D632" s="1256"/>
      <c r="E632" s="1248"/>
      <c r="F632" s="1257"/>
      <c r="G632" s="1266"/>
      <c r="H632" s="857"/>
      <c r="I632" s="857"/>
    </row>
    <row r="633" spans="2:12" ht="15" customHeight="1" thickBot="1" x14ac:dyDescent="0.3">
      <c r="F633" s="1267">
        <f>SUM(F614:F628)</f>
        <v>305000.91000000003</v>
      </c>
      <c r="G633" s="1268">
        <f>SUM(G629:G630)</f>
        <v>5788.1096642634329</v>
      </c>
      <c r="H633" s="733" t="s">
        <v>412</v>
      </c>
    </row>
    <row r="634" spans="2:12" ht="15" customHeight="1" thickTop="1" x14ac:dyDescent="0.25">
      <c r="G634" s="1295">
        <f>G633*58%</f>
        <v>3357.1036052727909</v>
      </c>
      <c r="H634" s="1274">
        <v>0.57999999999999996</v>
      </c>
      <c r="I634" s="733" t="s">
        <v>539</v>
      </c>
    </row>
    <row r="635" spans="2:12" ht="15" customHeight="1" thickBot="1" x14ac:dyDescent="0.3">
      <c r="G635" s="1270">
        <f>G633+G634</f>
        <v>9145.2132695362234</v>
      </c>
      <c r="H635" s="733" t="s">
        <v>414</v>
      </c>
    </row>
    <row r="636" spans="2:12" ht="15" customHeight="1" thickTop="1" x14ac:dyDescent="0.25">
      <c r="G636" s="1258"/>
    </row>
    <row r="637" spans="2:12" ht="15" customHeight="1" x14ac:dyDescent="0.25">
      <c r="G637" s="1258"/>
    </row>
    <row r="638" spans="2:12" ht="15" customHeight="1" x14ac:dyDescent="0.25">
      <c r="G638" s="1258"/>
    </row>
    <row r="639" spans="2:12" ht="15" customHeight="1" x14ac:dyDescent="0.25">
      <c r="G639" s="1258"/>
    </row>
    <row r="640" spans="2:12" ht="15" customHeight="1" x14ac:dyDescent="0.25">
      <c r="B640" s="1222" t="s">
        <v>61</v>
      </c>
      <c r="C640" s="1219" t="s">
        <v>117</v>
      </c>
      <c r="D640" s="733"/>
      <c r="F640" s="853"/>
      <c r="G640" s="853"/>
      <c r="H640" s="853"/>
    </row>
    <row r="641" spans="1:12" ht="27.75" customHeight="1" x14ac:dyDescent="0.25">
      <c r="A641" s="1223" t="s">
        <v>711</v>
      </c>
      <c r="B641" s="1222" t="s">
        <v>62</v>
      </c>
      <c r="C641" s="1222" t="str">
        <f>VLOOKUP(C640,LISTPROD[],2,FALSE)</f>
        <v>ENFERMEDADES DE LA MUJER</v>
      </c>
      <c r="D641" s="1219" t="s">
        <v>486</v>
      </c>
      <c r="E641" s="856" t="s">
        <v>487</v>
      </c>
      <c r="F641" s="853"/>
      <c r="G641" s="853"/>
      <c r="H641" s="853"/>
    </row>
    <row r="642" spans="1:12" ht="15" customHeight="1" x14ac:dyDescent="0.25">
      <c r="B642" s="1222" t="s">
        <v>234</v>
      </c>
      <c r="C642" s="1219" t="str">
        <f>VLOOKUP(C640,LISTPROD[],9,FALSE)</f>
        <v>500 ML</v>
      </c>
      <c r="D642" s="733"/>
      <c r="E642" s="853"/>
      <c r="F642" s="853"/>
      <c r="G642" s="853"/>
      <c r="H642" s="853"/>
    </row>
    <row r="643" spans="1:12" ht="15" customHeight="1" x14ac:dyDescent="0.25">
      <c r="B643" s="1222" t="s">
        <v>239</v>
      </c>
      <c r="C643" s="1224">
        <v>420</v>
      </c>
      <c r="D643" s="1218"/>
      <c r="E643" s="853"/>
      <c r="F643" s="853"/>
      <c r="G643" s="853"/>
      <c r="H643" s="853"/>
    </row>
    <row r="644" spans="1:12" ht="15" customHeight="1" x14ac:dyDescent="0.25">
      <c r="B644" s="1222" t="s">
        <v>240</v>
      </c>
      <c r="C644" s="1219"/>
      <c r="D644" s="733"/>
    </row>
    <row r="645" spans="1:12" ht="15" customHeight="1" x14ac:dyDescent="0.25">
      <c r="B645" s="1222" t="s">
        <v>238</v>
      </c>
      <c r="C645" s="733" t="s">
        <v>56</v>
      </c>
      <c r="D645" s="857" t="s">
        <v>449</v>
      </c>
    </row>
    <row r="646" spans="1:12" ht="15" customHeight="1" x14ac:dyDescent="0.25">
      <c r="B646" s="1225" t="s">
        <v>410</v>
      </c>
      <c r="C646" s="753">
        <v>500</v>
      </c>
      <c r="D646" s="1226"/>
    </row>
    <row r="647" spans="1:12" ht="15" customHeight="1" x14ac:dyDescent="0.25">
      <c r="A647" s="1227"/>
      <c r="B647" s="1436" t="s">
        <v>404</v>
      </c>
      <c r="C647" s="1436"/>
      <c r="D647" s="1436"/>
      <c r="E647" s="1436"/>
      <c r="F647" s="1436"/>
      <c r="G647" s="1228"/>
      <c r="H647" s="1437" t="s">
        <v>416</v>
      </c>
      <c r="I647" s="1438"/>
    </row>
    <row r="648" spans="1:12" ht="48" customHeight="1" x14ac:dyDescent="0.25">
      <c r="A648" s="1229"/>
      <c r="B648" s="1230" t="s">
        <v>398</v>
      </c>
      <c r="C648" s="1231" t="s">
        <v>441</v>
      </c>
      <c r="D648" s="1232" t="s">
        <v>399</v>
      </c>
      <c r="E648" s="1233" t="s">
        <v>402</v>
      </c>
      <c r="F648" s="1232" t="s">
        <v>399</v>
      </c>
      <c r="G648" s="1232" t="s">
        <v>411</v>
      </c>
      <c r="H648" s="1234" t="s">
        <v>408</v>
      </c>
      <c r="I648" s="1235" t="s">
        <v>415</v>
      </c>
      <c r="K648" s="1236" t="s">
        <v>603</v>
      </c>
      <c r="L648" s="1237" t="s">
        <v>604</v>
      </c>
    </row>
    <row r="649" spans="1:12" ht="15" customHeight="1" x14ac:dyDescent="0.25">
      <c r="A649" s="1238"/>
      <c r="B649" s="1228" t="s">
        <v>248</v>
      </c>
      <c r="C649" s="1228">
        <v>1000</v>
      </c>
      <c r="D649" s="1239">
        <f>'Prec Materia Prima y Empaq'!$H$21</f>
        <v>15400</v>
      </c>
      <c r="E649" s="1240">
        <f>D649*19%</f>
        <v>2926</v>
      </c>
      <c r="F649" s="1241">
        <f>+E649+D649</f>
        <v>18326</v>
      </c>
      <c r="G649" s="1240">
        <f>F649/C649*H649</f>
        <v>16493.400000000001</v>
      </c>
      <c r="H649" s="1242">
        <v>900</v>
      </c>
      <c r="I649" s="1228" t="s">
        <v>450</v>
      </c>
      <c r="K649" s="1242">
        <f>H649/$C$643</f>
        <v>2.1428571428571428</v>
      </c>
      <c r="L649" s="1243">
        <f>F649/C649*K649</f>
        <v>39.270000000000003</v>
      </c>
    </row>
    <row r="650" spans="1:12" ht="15" customHeight="1" x14ac:dyDescent="0.25">
      <c r="A650" s="1238"/>
      <c r="B650" s="1228" t="s">
        <v>443</v>
      </c>
      <c r="C650" s="1228">
        <v>1000</v>
      </c>
      <c r="D650" s="1239">
        <f>'Prec Materia Prima y Empaq'!$H$11</f>
        <v>8000</v>
      </c>
      <c r="E650" s="1240">
        <f t="shared" ref="E650:E656" si="231">D650*19%</f>
        <v>1520</v>
      </c>
      <c r="F650" s="1241">
        <f t="shared" ref="F650:F661" si="232">+E650+D650</f>
        <v>9520</v>
      </c>
      <c r="G650" s="1240">
        <f t="shared" ref="G650:G654" si="233">F650/C650*H650</f>
        <v>5712</v>
      </c>
      <c r="H650" s="1242">
        <v>600</v>
      </c>
      <c r="I650" s="1228" t="s">
        <v>450</v>
      </c>
      <c r="K650" s="1242">
        <f t="shared" ref="K650:K663" si="234">H650/$C$643</f>
        <v>1.4285714285714286</v>
      </c>
      <c r="L650" s="1243">
        <f t="shared" ref="L650:L663" si="235">F650/C650*K650</f>
        <v>13.6</v>
      </c>
    </row>
    <row r="651" spans="1:12" ht="15" customHeight="1" x14ac:dyDescent="0.25">
      <c r="A651" s="1238"/>
      <c r="B651" s="1228" t="s">
        <v>253</v>
      </c>
      <c r="C651" s="1228">
        <v>1000</v>
      </c>
      <c r="D651" s="1239">
        <f>'Prec Materia Prima y Empaq'!$H$9</f>
        <v>5400</v>
      </c>
      <c r="E651" s="1240">
        <f t="shared" si="231"/>
        <v>1026</v>
      </c>
      <c r="F651" s="1241">
        <f t="shared" si="232"/>
        <v>6426</v>
      </c>
      <c r="G651" s="1240">
        <f t="shared" si="233"/>
        <v>6426</v>
      </c>
      <c r="H651" s="1242">
        <v>1000</v>
      </c>
      <c r="I651" s="1228" t="s">
        <v>450</v>
      </c>
      <c r="K651" s="1242">
        <f t="shared" si="234"/>
        <v>2.3809523809523809</v>
      </c>
      <c r="L651" s="1243">
        <f t="shared" si="235"/>
        <v>15.3</v>
      </c>
    </row>
    <row r="652" spans="1:12" ht="15" customHeight="1" x14ac:dyDescent="0.25">
      <c r="A652" s="1238"/>
      <c r="B652" s="1228" t="s">
        <v>269</v>
      </c>
      <c r="C652" s="1228">
        <v>1000</v>
      </c>
      <c r="D652" s="1239">
        <f>'Prec Materia Prima y Empaq'!$H$47</f>
        <v>49240</v>
      </c>
      <c r="E652" s="1240">
        <f t="shared" si="231"/>
        <v>9355.6</v>
      </c>
      <c r="F652" s="1241">
        <f t="shared" si="232"/>
        <v>58595.6</v>
      </c>
      <c r="G652" s="1240">
        <f t="shared" si="233"/>
        <v>5859.5599999999995</v>
      </c>
      <c r="H652" s="1242">
        <v>100</v>
      </c>
      <c r="I652" s="1228" t="s">
        <v>450</v>
      </c>
      <c r="K652" s="1242">
        <f t="shared" si="234"/>
        <v>0.23809523809523808</v>
      </c>
      <c r="L652" s="1243">
        <f t="shared" si="235"/>
        <v>13.951333333333332</v>
      </c>
    </row>
    <row r="653" spans="1:12" ht="15" customHeight="1" x14ac:dyDescent="0.25">
      <c r="A653" s="1238"/>
      <c r="B653" s="1228" t="s">
        <v>261</v>
      </c>
      <c r="C653" s="1228">
        <v>1000</v>
      </c>
      <c r="D653" s="1239">
        <f>'Prec Materia Prima y Empaq'!$H$12</f>
        <v>4700</v>
      </c>
      <c r="E653" s="1240">
        <f t="shared" si="231"/>
        <v>893</v>
      </c>
      <c r="F653" s="1241">
        <f t="shared" si="232"/>
        <v>5593</v>
      </c>
      <c r="G653" s="1240">
        <f t="shared" si="233"/>
        <v>1118.5999999999999</v>
      </c>
      <c r="H653" s="1242">
        <v>200</v>
      </c>
      <c r="I653" s="1228" t="s">
        <v>450</v>
      </c>
      <c r="K653" s="1242">
        <f t="shared" si="234"/>
        <v>0.47619047619047616</v>
      </c>
      <c r="L653" s="1243">
        <f t="shared" si="235"/>
        <v>2.6633333333333331</v>
      </c>
    </row>
    <row r="654" spans="1:12" ht="15" customHeight="1" x14ac:dyDescent="0.25">
      <c r="A654" s="1238"/>
      <c r="B654" s="1228" t="s">
        <v>259</v>
      </c>
      <c r="C654" s="1228">
        <v>1000</v>
      </c>
      <c r="D654" s="1239">
        <f>'Prec Materia Prima y Empaq'!$H$42</f>
        <v>63103</v>
      </c>
      <c r="E654" s="1240">
        <f t="shared" si="231"/>
        <v>11989.57</v>
      </c>
      <c r="F654" s="1241">
        <f t="shared" si="232"/>
        <v>75092.570000000007</v>
      </c>
      <c r="G654" s="1240">
        <f t="shared" si="233"/>
        <v>1501.8514000000002</v>
      </c>
      <c r="H654" s="1242">
        <v>20</v>
      </c>
      <c r="I654" s="1228" t="s">
        <v>450</v>
      </c>
      <c r="K654" s="1242">
        <f t="shared" si="234"/>
        <v>4.7619047619047616E-2</v>
      </c>
      <c r="L654" s="1243">
        <f t="shared" si="235"/>
        <v>3.575836666666667</v>
      </c>
    </row>
    <row r="655" spans="1:12" ht="15" customHeight="1" x14ac:dyDescent="0.25">
      <c r="A655" s="1238"/>
      <c r="B655" s="1228" t="s">
        <v>382</v>
      </c>
      <c r="C655" s="1228">
        <v>3785</v>
      </c>
      <c r="D655" s="1239">
        <f>'Prec Materia Prima y Empaq'!$H$18</f>
        <v>24</v>
      </c>
      <c r="E655" s="1240">
        <f t="shared" si="231"/>
        <v>4.5600000000000005</v>
      </c>
      <c r="F655" s="1241">
        <f t="shared" si="232"/>
        <v>28.560000000000002</v>
      </c>
      <c r="G655" s="1240">
        <f>F655/C655*H655</f>
        <v>0.37727873183619554</v>
      </c>
      <c r="H655" s="1242">
        <v>50</v>
      </c>
      <c r="I655" s="1228" t="s">
        <v>450</v>
      </c>
      <c r="K655" s="1242">
        <f t="shared" ref="K655" si="236">H655/$C$542</f>
        <v>0.11904761904761904</v>
      </c>
      <c r="L655" s="1243">
        <f t="shared" si="235"/>
        <v>8.9828269484808459E-4</v>
      </c>
    </row>
    <row r="656" spans="1:12" ht="15" customHeight="1" x14ac:dyDescent="0.25">
      <c r="A656" s="1238"/>
      <c r="B656" s="1228" t="s">
        <v>251</v>
      </c>
      <c r="C656" s="1228">
        <v>1000</v>
      </c>
      <c r="D656" s="1273">
        <f>'Prec Materia Prima y Empaq'!$H$26</f>
        <v>45404</v>
      </c>
      <c r="E656" s="1240">
        <f t="shared" si="231"/>
        <v>8626.76</v>
      </c>
      <c r="F656" s="1241">
        <f t="shared" si="232"/>
        <v>54030.76</v>
      </c>
      <c r="G656" s="1240">
        <f t="shared" ref="G656" si="237">F656/C656*H656</f>
        <v>8104.6140000000005</v>
      </c>
      <c r="H656" s="1242">
        <v>150</v>
      </c>
      <c r="I656" s="1228" t="s">
        <v>450</v>
      </c>
      <c r="K656" s="1242">
        <f t="shared" ref="K656" si="238">H656/$C$474</f>
        <v>0.35714285714285715</v>
      </c>
      <c r="L656" s="1243">
        <f t="shared" si="235"/>
        <v>19.296700000000001</v>
      </c>
    </row>
    <row r="657" spans="2:29" ht="31.5" customHeight="1" x14ac:dyDescent="0.25">
      <c r="B657" s="1220" t="s">
        <v>247</v>
      </c>
      <c r="C657" s="1228">
        <v>1000</v>
      </c>
      <c r="D657" s="1244">
        <f>'Prec Materia Prima y Empaq'!$H$7</f>
        <v>50000</v>
      </c>
      <c r="E657" s="1240">
        <v>0</v>
      </c>
      <c r="F657" s="1241">
        <f t="shared" si="232"/>
        <v>50000</v>
      </c>
      <c r="G657" s="1240">
        <f>F657/C657*H657</f>
        <v>32.022471910112351</v>
      </c>
      <c r="H657" s="1245">
        <v>0.64044943820224698</v>
      </c>
      <c r="I657" s="1245" t="s">
        <v>453</v>
      </c>
      <c r="K657" s="1242">
        <f t="shared" ref="K657" si="239">H657/$C$378</f>
        <v>1.6421780466724281E-3</v>
      </c>
      <c r="L657" s="1243">
        <f t="shared" si="235"/>
        <v>8.2108902333621406E-2</v>
      </c>
      <c r="N657" s="1220" t="s">
        <v>247</v>
      </c>
      <c r="O657" s="1247">
        <v>1</v>
      </c>
      <c r="P657" s="1240">
        <f>$F$391/$C$391*$O$391</f>
        <v>50</v>
      </c>
      <c r="Q657" s="1248"/>
      <c r="R657" s="1249" t="e">
        <f>P657/O646</f>
        <v>#DIV/0!</v>
      </c>
      <c r="S657" s="1248" t="e">
        <f>R657*1000</f>
        <v>#DIV/0!</v>
      </c>
      <c r="T657" s="1250">
        <f>O657/$O$380*1000</f>
        <v>2.5641025641025641E-3</v>
      </c>
      <c r="U657" s="1238">
        <f>T657*$M$380</f>
        <v>1</v>
      </c>
      <c r="Y657" s="1238"/>
      <c r="Z657" s="1238"/>
      <c r="AA657" s="1251"/>
      <c r="AC657" s="1252"/>
    </row>
    <row r="658" spans="2:29" ht="30.75" customHeight="1" x14ac:dyDescent="0.25">
      <c r="B658" s="1220" t="s">
        <v>485</v>
      </c>
      <c r="C658" s="1220">
        <v>1</v>
      </c>
      <c r="D658" s="1244">
        <f>'Prec Materia Prima y Empaq'!$H$138</f>
        <v>650</v>
      </c>
      <c r="E658" s="1240">
        <v>0</v>
      </c>
      <c r="F658" s="1241">
        <f t="shared" si="232"/>
        <v>650</v>
      </c>
      <c r="G658" s="1253">
        <f t="shared" ref="G658:G663" si="240">F658*H658</f>
        <v>273000</v>
      </c>
      <c r="H658" s="1245">
        <f>$C$643</f>
        <v>420</v>
      </c>
      <c r="I658" s="1245" t="s">
        <v>453</v>
      </c>
      <c r="K658" s="1242">
        <f t="shared" si="234"/>
        <v>1</v>
      </c>
      <c r="L658" s="1243">
        <f t="shared" si="235"/>
        <v>650</v>
      </c>
    </row>
    <row r="659" spans="2:29" ht="15" customHeight="1" x14ac:dyDescent="0.25">
      <c r="B659" s="1220" t="s">
        <v>614</v>
      </c>
      <c r="C659" s="1220">
        <v>1</v>
      </c>
      <c r="D659" s="1244">
        <f>'Prec Materia Prima y Empaq'!$H$144</f>
        <v>70</v>
      </c>
      <c r="E659" s="1240">
        <v>0</v>
      </c>
      <c r="F659" s="1241">
        <f t="shared" si="232"/>
        <v>70</v>
      </c>
      <c r="G659" s="1253">
        <f t="shared" si="240"/>
        <v>29400</v>
      </c>
      <c r="H659" s="1245">
        <f t="shared" ref="H659:H662" si="241">$C$643</f>
        <v>420</v>
      </c>
      <c r="I659" s="1245" t="s">
        <v>453</v>
      </c>
      <c r="K659" s="1242">
        <f t="shared" si="234"/>
        <v>1</v>
      </c>
      <c r="L659" s="1243">
        <f t="shared" si="235"/>
        <v>70</v>
      </c>
    </row>
    <row r="660" spans="2:29" ht="48" customHeight="1" x14ac:dyDescent="0.25">
      <c r="B660" s="1220" t="s">
        <v>695</v>
      </c>
      <c r="C660" s="1245">
        <v>1</v>
      </c>
      <c r="D660" s="1272">
        <f>'Prec Materia Prima y Empaq'!$H$161</f>
        <v>300</v>
      </c>
      <c r="E660" s="1240">
        <v>0</v>
      </c>
      <c r="F660" s="1241">
        <f t="shared" si="232"/>
        <v>300</v>
      </c>
      <c r="G660" s="1253">
        <f t="shared" si="240"/>
        <v>126000</v>
      </c>
      <c r="H660" s="1245">
        <f t="shared" si="241"/>
        <v>420</v>
      </c>
      <c r="I660" s="1245" t="s">
        <v>453</v>
      </c>
      <c r="K660" s="1242">
        <f t="shared" si="234"/>
        <v>1</v>
      </c>
      <c r="L660" s="1243">
        <f t="shared" si="235"/>
        <v>300</v>
      </c>
    </row>
    <row r="661" spans="2:29" ht="15" customHeight="1" x14ac:dyDescent="0.25">
      <c r="B661" s="1279" t="s">
        <v>675</v>
      </c>
      <c r="C661" s="1245">
        <v>1</v>
      </c>
      <c r="D661" s="1272">
        <f>'Prec Materia Prima y Empaq'!$H$162</f>
        <v>100</v>
      </c>
      <c r="E661" s="1240"/>
      <c r="F661" s="1241">
        <f t="shared" si="232"/>
        <v>100</v>
      </c>
      <c r="G661" s="1253">
        <f t="shared" si="240"/>
        <v>42000</v>
      </c>
      <c r="H661" s="1245">
        <f t="shared" si="241"/>
        <v>420</v>
      </c>
      <c r="I661" s="1245" t="s">
        <v>453</v>
      </c>
      <c r="K661" s="1242">
        <f t="shared" si="234"/>
        <v>1</v>
      </c>
      <c r="L661" s="1243">
        <f t="shared" si="235"/>
        <v>100</v>
      </c>
    </row>
    <row r="662" spans="2:29" ht="15" customHeight="1" x14ac:dyDescent="0.25">
      <c r="B662" s="1220" t="s">
        <v>310</v>
      </c>
      <c r="C662" s="1245">
        <v>1</v>
      </c>
      <c r="D662" s="1272">
        <f>'Prec Materia Prima y Empaq'!$H$130</f>
        <v>100</v>
      </c>
      <c r="E662" s="1240">
        <v>0</v>
      </c>
      <c r="F662" s="1241">
        <f t="shared" ref="F662:F663" si="242">+E662+D662</f>
        <v>100</v>
      </c>
      <c r="G662" s="1253">
        <f t="shared" si="240"/>
        <v>42000</v>
      </c>
      <c r="H662" s="1245">
        <f t="shared" si="241"/>
        <v>420</v>
      </c>
      <c r="I662" s="1245" t="s">
        <v>453</v>
      </c>
      <c r="K662" s="1242">
        <f t="shared" si="234"/>
        <v>1</v>
      </c>
      <c r="L662" s="1243">
        <f t="shared" si="235"/>
        <v>100</v>
      </c>
    </row>
    <row r="663" spans="2:29" ht="15" customHeight="1" x14ac:dyDescent="0.25">
      <c r="B663" s="1245" t="s">
        <v>309</v>
      </c>
      <c r="C663" s="1245">
        <v>1</v>
      </c>
      <c r="D663" s="1272">
        <f>'Prec Materia Prima y Empaq'!$H$129</f>
        <v>800</v>
      </c>
      <c r="E663" s="1240">
        <v>0</v>
      </c>
      <c r="F663" s="1241">
        <f t="shared" si="242"/>
        <v>800</v>
      </c>
      <c r="G663" s="1253">
        <f t="shared" si="240"/>
        <v>336000</v>
      </c>
      <c r="H663" s="1245">
        <f t="shared" ref="H663" si="243">$C$507</f>
        <v>420</v>
      </c>
      <c r="I663" s="1245" t="s">
        <v>453</v>
      </c>
      <c r="K663" s="1242">
        <f t="shared" si="234"/>
        <v>1</v>
      </c>
      <c r="L663" s="1243">
        <f t="shared" si="235"/>
        <v>800</v>
      </c>
    </row>
    <row r="664" spans="2:29" ht="19.5" customHeight="1" thickBot="1" x14ac:dyDescent="0.3">
      <c r="B664" s="1255"/>
      <c r="C664" s="857"/>
      <c r="D664" s="1256"/>
      <c r="E664" s="1248"/>
      <c r="F664" s="1257"/>
      <c r="G664" s="1258">
        <f>SUM(G649:G663)/C643</f>
        <v>2127.7343455967666</v>
      </c>
      <c r="H664" s="1259" t="s">
        <v>454</v>
      </c>
      <c r="I664" s="857"/>
      <c r="L664" s="1260">
        <f>SUM(L649:L663)</f>
        <v>2127.7402105183619</v>
      </c>
    </row>
    <row r="665" spans="2:29" ht="15" customHeight="1" thickTop="1" x14ac:dyDescent="0.25">
      <c r="B665" s="1261" t="s">
        <v>409</v>
      </c>
      <c r="C665" s="1262"/>
      <c r="D665" s="1263">
        <f>+'Gtos Varios'!I14</f>
        <v>3672.93</v>
      </c>
      <c r="E665" s="1262"/>
      <c r="F665" s="1264">
        <f t="shared" ref="F665" si="244">+E665+D665</f>
        <v>3672.93</v>
      </c>
      <c r="G665" s="1265">
        <f>F665</f>
        <v>3672.93</v>
      </c>
      <c r="H665" s="1262" t="str">
        <f>B665</f>
        <v xml:space="preserve">GASTOS VARIOS </v>
      </c>
      <c r="I665" s="857"/>
    </row>
    <row r="666" spans="2:29" ht="15" customHeight="1" x14ac:dyDescent="0.25">
      <c r="B666" s="1255"/>
      <c r="C666" s="857"/>
      <c r="D666" s="1256"/>
      <c r="E666" s="1248"/>
      <c r="F666" s="1257"/>
      <c r="G666" s="1266"/>
      <c r="H666" s="857"/>
      <c r="I666" s="857"/>
    </row>
    <row r="667" spans="2:29" ht="15" customHeight="1" x14ac:dyDescent="0.25">
      <c r="B667" s="1255"/>
      <c r="C667" s="857"/>
      <c r="D667" s="1256"/>
      <c r="E667" s="1248"/>
      <c r="F667" s="1257"/>
      <c r="G667" s="1266"/>
      <c r="H667" s="857"/>
      <c r="I667" s="857"/>
    </row>
    <row r="668" spans="2:29" ht="15" customHeight="1" thickBot="1" x14ac:dyDescent="0.3">
      <c r="F668" s="1267">
        <f>SUM(F649:F663)</f>
        <v>279632.49</v>
      </c>
      <c r="G668" s="1268">
        <f>SUM(G664:G665)</f>
        <v>5800.664345596766</v>
      </c>
      <c r="H668" s="733" t="s">
        <v>412</v>
      </c>
    </row>
    <row r="669" spans="2:29" ht="15" customHeight="1" thickTop="1" x14ac:dyDescent="0.25">
      <c r="G669" s="1295">
        <f>G668*58%</f>
        <v>3364.3853204461238</v>
      </c>
      <c r="H669" s="1274">
        <v>0.57999999999999996</v>
      </c>
      <c r="I669" s="733" t="s">
        <v>539</v>
      </c>
    </row>
    <row r="670" spans="2:29" ht="15" customHeight="1" thickBot="1" x14ac:dyDescent="0.3">
      <c r="G670" s="1270">
        <f>G668+G669</f>
        <v>9165.0496660428907</v>
      </c>
      <c r="H670" s="733" t="s">
        <v>414</v>
      </c>
    </row>
    <row r="671" spans="2:29" ht="15" customHeight="1" thickTop="1" x14ac:dyDescent="0.25">
      <c r="G671" s="1258"/>
    </row>
    <row r="672" spans="2:29" ht="15" customHeight="1" x14ac:dyDescent="0.25">
      <c r="G672" s="1258"/>
    </row>
    <row r="673" spans="1:12" ht="15" customHeight="1" x14ac:dyDescent="0.25">
      <c r="G673" s="1258"/>
    </row>
    <row r="674" spans="1:12" ht="15" customHeight="1" x14ac:dyDescent="0.25">
      <c r="G674" s="1258"/>
    </row>
    <row r="675" spans="1:12" ht="15" customHeight="1" x14ac:dyDescent="0.25">
      <c r="B675" s="1222" t="s">
        <v>61</v>
      </c>
      <c r="C675" s="1219" t="s">
        <v>119</v>
      </c>
      <c r="D675" s="733"/>
      <c r="E675" s="853"/>
      <c r="F675" s="853"/>
      <c r="G675" s="853"/>
      <c r="H675" s="853"/>
    </row>
    <row r="676" spans="1:12" ht="15" customHeight="1" x14ac:dyDescent="0.25">
      <c r="A676" s="1223" t="s">
        <v>711</v>
      </c>
      <c r="B676" s="1222" t="s">
        <v>62</v>
      </c>
      <c r="C676" s="1219" t="str">
        <f>VLOOKUP(C675,LISTPROD[],2,FALSE)</f>
        <v>ERECMAX</v>
      </c>
      <c r="D676" s="1219" t="s">
        <v>486</v>
      </c>
      <c r="E676" s="856" t="s">
        <v>487</v>
      </c>
      <c r="F676" s="853"/>
      <c r="G676" s="853"/>
      <c r="H676" s="853"/>
    </row>
    <row r="677" spans="1:12" ht="15" customHeight="1" x14ac:dyDescent="0.25">
      <c r="B677" s="1222" t="s">
        <v>234</v>
      </c>
      <c r="C677" s="1219" t="str">
        <f>VLOOKUP(C675,LISTPROD[],9,FALSE)</f>
        <v>500 ML</v>
      </c>
      <c r="D677" s="733"/>
      <c r="E677" s="853"/>
      <c r="F677" s="853"/>
      <c r="G677" s="853"/>
      <c r="H677" s="853"/>
    </row>
    <row r="678" spans="1:12" ht="15" customHeight="1" x14ac:dyDescent="0.25">
      <c r="B678" s="1222" t="s">
        <v>239</v>
      </c>
      <c r="C678" s="1296">
        <v>420</v>
      </c>
      <c r="D678" s="1218"/>
      <c r="E678" s="853"/>
      <c r="F678" s="853"/>
      <c r="G678" s="853"/>
      <c r="H678" s="853"/>
    </row>
    <row r="679" spans="1:12" ht="15" customHeight="1" x14ac:dyDescent="0.25">
      <c r="B679" s="1222" t="s">
        <v>240</v>
      </c>
      <c r="C679" s="1219"/>
      <c r="D679" s="733"/>
    </row>
    <row r="680" spans="1:12" ht="15" customHeight="1" x14ac:dyDescent="0.25">
      <c r="B680" s="1222" t="s">
        <v>238</v>
      </c>
      <c r="C680" s="733" t="s">
        <v>56</v>
      </c>
      <c r="D680" s="857" t="s">
        <v>449</v>
      </c>
    </row>
    <row r="681" spans="1:12" ht="15" customHeight="1" x14ac:dyDescent="0.25">
      <c r="B681" s="1225" t="s">
        <v>410</v>
      </c>
      <c r="C681" s="753">
        <v>500</v>
      </c>
      <c r="D681" s="1226"/>
    </row>
    <row r="682" spans="1:12" ht="15" customHeight="1" x14ac:dyDescent="0.25">
      <c r="A682" s="1227"/>
      <c r="B682" s="1436" t="s">
        <v>404</v>
      </c>
      <c r="C682" s="1436"/>
      <c r="D682" s="1436"/>
      <c r="E682" s="1436"/>
      <c r="F682" s="1436"/>
      <c r="G682" s="1228"/>
      <c r="H682" s="1437" t="s">
        <v>416</v>
      </c>
      <c r="I682" s="1438"/>
    </row>
    <row r="683" spans="1:12" ht="43.5" customHeight="1" x14ac:dyDescent="0.25">
      <c r="A683" s="1229"/>
      <c r="B683" s="1230" t="s">
        <v>398</v>
      </c>
      <c r="C683" s="1231" t="s">
        <v>441</v>
      </c>
      <c r="D683" s="1232" t="s">
        <v>399</v>
      </c>
      <c r="E683" s="1233" t="s">
        <v>402</v>
      </c>
      <c r="F683" s="1232" t="s">
        <v>399</v>
      </c>
      <c r="G683" s="1232" t="s">
        <v>411</v>
      </c>
      <c r="H683" s="1234" t="s">
        <v>408</v>
      </c>
      <c r="I683" s="1235" t="s">
        <v>415</v>
      </c>
      <c r="K683" s="1236" t="s">
        <v>603</v>
      </c>
      <c r="L683" s="1237" t="s">
        <v>604</v>
      </c>
    </row>
    <row r="684" spans="1:12" ht="15" customHeight="1" x14ac:dyDescent="0.25">
      <c r="A684" s="1238"/>
      <c r="B684" s="1228" t="s">
        <v>248</v>
      </c>
      <c r="C684" s="1228">
        <v>1000</v>
      </c>
      <c r="D684" s="1239">
        <f>'Prec Materia Prima y Empaq'!$H$21</f>
        <v>15400</v>
      </c>
      <c r="E684" s="1240">
        <f>D684*19%</f>
        <v>2926</v>
      </c>
      <c r="F684" s="1241">
        <f>+E684+D684</f>
        <v>18326</v>
      </c>
      <c r="G684" s="1240">
        <f>F684/C684*H684</f>
        <v>12828.2</v>
      </c>
      <c r="H684" s="1242">
        <v>700</v>
      </c>
      <c r="I684" s="1228" t="s">
        <v>450</v>
      </c>
      <c r="K684" s="1242">
        <f>H684/$C$678</f>
        <v>1.6666666666666667</v>
      </c>
      <c r="L684" s="1243">
        <f>F684/C684*K684</f>
        <v>30.543333333333337</v>
      </c>
    </row>
    <row r="685" spans="1:12" ht="15" customHeight="1" x14ac:dyDescent="0.25">
      <c r="A685" s="1238"/>
      <c r="B685" s="1228" t="s">
        <v>443</v>
      </c>
      <c r="C685" s="1228">
        <v>1000</v>
      </c>
      <c r="D685" s="1239">
        <f>'Prec Materia Prima y Empaq'!$H$11</f>
        <v>8000</v>
      </c>
      <c r="E685" s="1240">
        <f t="shared" ref="E685:E691" si="245">D685*19%</f>
        <v>1520</v>
      </c>
      <c r="F685" s="1241">
        <f t="shared" ref="F685:F698" si="246">+E685+D685</f>
        <v>9520</v>
      </c>
      <c r="G685" s="1240">
        <f t="shared" ref="G685:G686" si="247">F685/C685*H685</f>
        <v>5712</v>
      </c>
      <c r="H685" s="1242">
        <v>600</v>
      </c>
      <c r="I685" s="1228" t="s">
        <v>450</v>
      </c>
      <c r="K685" s="1242">
        <f>H685/$C$678</f>
        <v>1.4285714285714286</v>
      </c>
      <c r="L685" s="1243">
        <f t="shared" ref="L685:L698" si="248">F685/C685*K685</f>
        <v>13.6</v>
      </c>
    </row>
    <row r="686" spans="1:12" ht="15" customHeight="1" x14ac:dyDescent="0.25">
      <c r="A686" s="1238"/>
      <c r="B686" s="1228" t="s">
        <v>253</v>
      </c>
      <c r="C686" s="1228">
        <v>1000</v>
      </c>
      <c r="D686" s="1239">
        <f>'Prec Materia Prima y Empaq'!$H$9</f>
        <v>5400</v>
      </c>
      <c r="E686" s="1240">
        <f t="shared" si="245"/>
        <v>1026</v>
      </c>
      <c r="F686" s="1241">
        <f t="shared" si="246"/>
        <v>6426</v>
      </c>
      <c r="G686" s="1240">
        <f t="shared" si="247"/>
        <v>6426</v>
      </c>
      <c r="H686" s="1242">
        <v>1000</v>
      </c>
      <c r="I686" s="1228" t="s">
        <v>450</v>
      </c>
      <c r="K686" s="1242">
        <f>H686/$C$678</f>
        <v>2.3809523809523809</v>
      </c>
      <c r="L686" s="1243">
        <f t="shared" si="248"/>
        <v>15.3</v>
      </c>
    </row>
    <row r="687" spans="1:12" ht="15" customHeight="1" x14ac:dyDescent="0.25">
      <c r="A687" s="1238"/>
      <c r="B687" s="1228" t="s">
        <v>249</v>
      </c>
      <c r="C687" s="1228">
        <v>1000</v>
      </c>
      <c r="D687" s="1273">
        <f>'Prec Materia Prima y Empaq'!$H$59</f>
        <v>65135</v>
      </c>
      <c r="E687" s="1240">
        <f t="shared" si="245"/>
        <v>12375.65</v>
      </c>
      <c r="F687" s="1241">
        <f t="shared" si="246"/>
        <v>77510.649999999994</v>
      </c>
      <c r="G687" s="1240">
        <f t="shared" ref="G687:G688" si="249">F687/C687*H687</f>
        <v>38755.324999999997</v>
      </c>
      <c r="H687" s="1242">
        <v>500</v>
      </c>
      <c r="I687" s="1228" t="s">
        <v>450</v>
      </c>
      <c r="K687" s="1242">
        <f>H687/$C$678</f>
        <v>1.1904761904761905</v>
      </c>
      <c r="L687" s="1243">
        <f t="shared" si="248"/>
        <v>92.274583333333325</v>
      </c>
    </row>
    <row r="688" spans="1:12" ht="15" customHeight="1" x14ac:dyDescent="0.25">
      <c r="A688" s="1238"/>
      <c r="B688" s="1228" t="s">
        <v>246</v>
      </c>
      <c r="C688" s="1228">
        <v>1000</v>
      </c>
      <c r="D688" s="1239">
        <f>'Prec Materia Prima y Empaq'!$H$41</f>
        <v>80268</v>
      </c>
      <c r="E688" s="1240">
        <f t="shared" si="245"/>
        <v>15250.92</v>
      </c>
      <c r="F688" s="1241">
        <f t="shared" si="246"/>
        <v>95518.92</v>
      </c>
      <c r="G688" s="1240">
        <f t="shared" si="249"/>
        <v>4775.9459999999999</v>
      </c>
      <c r="H688" s="1242">
        <v>50</v>
      </c>
      <c r="I688" s="1228" t="s">
        <v>450</v>
      </c>
      <c r="K688" s="1242">
        <f>H688/$C$678</f>
        <v>0.11904761904761904</v>
      </c>
      <c r="L688" s="1243">
        <f t="shared" si="248"/>
        <v>11.371299999999998</v>
      </c>
    </row>
    <row r="689" spans="1:29" ht="15" customHeight="1" x14ac:dyDescent="0.25">
      <c r="A689" s="1238"/>
      <c r="B689" s="1228" t="s">
        <v>382</v>
      </c>
      <c r="C689" s="1228">
        <v>3785</v>
      </c>
      <c r="D689" s="1239">
        <f>'Prec Materia Prima y Empaq'!$H$18</f>
        <v>24</v>
      </c>
      <c r="E689" s="1240">
        <f t="shared" si="245"/>
        <v>4.5600000000000005</v>
      </c>
      <c r="F689" s="1241">
        <f t="shared" si="246"/>
        <v>28.560000000000002</v>
      </c>
      <c r="G689" s="1240">
        <f>F689/C689*H689</f>
        <v>0.37727873183619554</v>
      </c>
      <c r="H689" s="1242">
        <v>50</v>
      </c>
      <c r="I689" s="1228" t="s">
        <v>450</v>
      </c>
      <c r="K689" s="1242">
        <f t="shared" ref="K689" si="250">H689/$C$542</f>
        <v>0.11904761904761904</v>
      </c>
      <c r="L689" s="1243">
        <f t="shared" si="248"/>
        <v>8.9828269484808459E-4</v>
      </c>
    </row>
    <row r="690" spans="1:29" ht="15" customHeight="1" x14ac:dyDescent="0.25">
      <c r="A690" s="1238"/>
      <c r="B690" s="1228" t="s">
        <v>251</v>
      </c>
      <c r="C690" s="1228">
        <v>1000</v>
      </c>
      <c r="D690" s="1273">
        <f>'Prec Materia Prima y Empaq'!$H$26</f>
        <v>45404</v>
      </c>
      <c r="E690" s="1240">
        <f t="shared" si="245"/>
        <v>8626.76</v>
      </c>
      <c r="F690" s="1241">
        <f t="shared" si="246"/>
        <v>54030.76</v>
      </c>
      <c r="G690" s="1240">
        <f t="shared" ref="G690:G691" si="251">F690/C690*H690</f>
        <v>13507.69</v>
      </c>
      <c r="H690" s="1242">
        <v>250</v>
      </c>
      <c r="I690" s="1228" t="s">
        <v>450</v>
      </c>
      <c r="K690" s="1242">
        <f t="shared" ref="K690" si="252">H690/$C$474</f>
        <v>0.59523809523809523</v>
      </c>
      <c r="L690" s="1243">
        <f t="shared" si="248"/>
        <v>32.161166666666666</v>
      </c>
    </row>
    <row r="691" spans="1:29" ht="28.5" customHeight="1" x14ac:dyDescent="0.25">
      <c r="B691" s="1228" t="s">
        <v>712</v>
      </c>
      <c r="C691" s="1228">
        <v>1000</v>
      </c>
      <c r="D691" s="1239">
        <f>'Prec Materia Prima y Empaq'!$H$23</f>
        <v>2000000</v>
      </c>
      <c r="E691" s="1240">
        <f t="shared" si="245"/>
        <v>380000</v>
      </c>
      <c r="F691" s="1241">
        <f t="shared" si="246"/>
        <v>2380000</v>
      </c>
      <c r="G691" s="1241">
        <f t="shared" si="251"/>
        <v>357000</v>
      </c>
      <c r="H691" s="1228">
        <v>150</v>
      </c>
      <c r="I691" s="1228" t="s">
        <v>450</v>
      </c>
      <c r="K691" s="1242">
        <f>H691/$C$12</f>
        <v>0.35714285714285715</v>
      </c>
      <c r="L691" s="1243">
        <f t="shared" si="248"/>
        <v>850</v>
      </c>
    </row>
    <row r="692" spans="1:29" ht="31.5" customHeight="1" x14ac:dyDescent="0.25">
      <c r="B692" s="1220" t="s">
        <v>247</v>
      </c>
      <c r="C692" s="1228">
        <v>1000</v>
      </c>
      <c r="D692" s="1244">
        <f>'Prec Materia Prima y Empaq'!$H$7</f>
        <v>50000</v>
      </c>
      <c r="E692" s="1240">
        <v>0</v>
      </c>
      <c r="F692" s="1241">
        <f t="shared" si="246"/>
        <v>50000</v>
      </c>
      <c r="G692" s="1240">
        <f>F692/C692*H692</f>
        <v>32.022471910112351</v>
      </c>
      <c r="H692" s="1245">
        <v>0.64044943820224698</v>
      </c>
      <c r="I692" s="1245" t="s">
        <v>453</v>
      </c>
      <c r="K692" s="1242">
        <f t="shared" ref="K692" si="253">H692/$C$378</f>
        <v>1.6421780466724281E-3</v>
      </c>
      <c r="L692" s="1243">
        <f t="shared" si="248"/>
        <v>8.2108902333621406E-2</v>
      </c>
      <c r="N692" s="1220" t="s">
        <v>247</v>
      </c>
      <c r="O692" s="1247">
        <v>1</v>
      </c>
      <c r="P692" s="1240">
        <f>$F$391/$C$391*$O$391</f>
        <v>50</v>
      </c>
      <c r="Q692" s="1248"/>
      <c r="R692" s="1249" t="e">
        <f>P692/O681</f>
        <v>#DIV/0!</v>
      </c>
      <c r="S692" s="1248" t="e">
        <f>R692*1000</f>
        <v>#DIV/0!</v>
      </c>
      <c r="T692" s="1250">
        <f>O692/$O$380*1000</f>
        <v>2.5641025641025641E-3</v>
      </c>
      <c r="U692" s="1238">
        <f>T692*$M$380</f>
        <v>1</v>
      </c>
      <c r="Y692" s="1238"/>
      <c r="Z692" s="1238"/>
      <c r="AA692" s="1251"/>
      <c r="AC692" s="1252"/>
    </row>
    <row r="693" spans="1:29" ht="30.75" customHeight="1" x14ac:dyDescent="0.25">
      <c r="B693" s="1220" t="s">
        <v>485</v>
      </c>
      <c r="C693" s="1220">
        <v>1</v>
      </c>
      <c r="D693" s="1244">
        <f>'Prec Materia Prima y Empaq'!$H$138</f>
        <v>650</v>
      </c>
      <c r="E693" s="1240">
        <v>0</v>
      </c>
      <c r="F693" s="1241">
        <f t="shared" si="246"/>
        <v>650</v>
      </c>
      <c r="G693" s="1253">
        <f t="shared" ref="G693:G698" si="254">F693*H693</f>
        <v>273000</v>
      </c>
      <c r="H693" s="1245">
        <f>$C$678</f>
        <v>420</v>
      </c>
      <c r="I693" s="1245" t="s">
        <v>453</v>
      </c>
      <c r="K693" s="1242">
        <f t="shared" ref="K693:K698" si="255">H693/$C$678</f>
        <v>1</v>
      </c>
      <c r="L693" s="1243">
        <f t="shared" si="248"/>
        <v>650</v>
      </c>
    </row>
    <row r="694" spans="1:29" ht="21.75" customHeight="1" x14ac:dyDescent="0.25">
      <c r="B694" s="1220" t="s">
        <v>614</v>
      </c>
      <c r="C694" s="1220">
        <v>1</v>
      </c>
      <c r="D694" s="1244">
        <f>'Prec Materia Prima y Empaq'!$H$144</f>
        <v>70</v>
      </c>
      <c r="E694" s="1240">
        <v>0</v>
      </c>
      <c r="F694" s="1241">
        <f t="shared" si="246"/>
        <v>70</v>
      </c>
      <c r="G694" s="1253">
        <f t="shared" si="254"/>
        <v>29400</v>
      </c>
      <c r="H694" s="1245">
        <f>H693</f>
        <v>420</v>
      </c>
      <c r="I694" s="1245" t="s">
        <v>453</v>
      </c>
      <c r="K694" s="1242">
        <f t="shared" si="255"/>
        <v>1</v>
      </c>
      <c r="L694" s="1243">
        <f t="shared" si="248"/>
        <v>70</v>
      </c>
    </row>
    <row r="695" spans="1:29" ht="42.75" customHeight="1" x14ac:dyDescent="0.25">
      <c r="B695" s="1220" t="s">
        <v>695</v>
      </c>
      <c r="C695" s="1245">
        <v>1</v>
      </c>
      <c r="D695" s="1272">
        <f>'Prec Materia Prima y Empaq'!$H$161</f>
        <v>300</v>
      </c>
      <c r="E695" s="1240">
        <v>0</v>
      </c>
      <c r="F695" s="1241">
        <f t="shared" si="246"/>
        <v>300</v>
      </c>
      <c r="G695" s="1253">
        <f t="shared" si="254"/>
        <v>126000</v>
      </c>
      <c r="H695" s="1245">
        <f>H694</f>
        <v>420</v>
      </c>
      <c r="I695" s="1245" t="s">
        <v>453</v>
      </c>
      <c r="K695" s="1242">
        <f t="shared" si="255"/>
        <v>1</v>
      </c>
      <c r="L695" s="1243">
        <f t="shared" si="248"/>
        <v>300</v>
      </c>
    </row>
    <row r="696" spans="1:29" ht="15" customHeight="1" x14ac:dyDescent="0.25">
      <c r="B696" s="1279" t="s">
        <v>675</v>
      </c>
      <c r="C696" s="1245">
        <v>1</v>
      </c>
      <c r="D696" s="1272">
        <f>'Prec Materia Prima y Empaq'!$H$162</f>
        <v>100</v>
      </c>
      <c r="E696" s="1240">
        <v>0</v>
      </c>
      <c r="F696" s="1241">
        <f t="shared" si="246"/>
        <v>100</v>
      </c>
      <c r="G696" s="1253">
        <f t="shared" si="254"/>
        <v>42000</v>
      </c>
      <c r="H696" s="1245">
        <f>H694</f>
        <v>420</v>
      </c>
      <c r="I696" s="1245" t="s">
        <v>453</v>
      </c>
      <c r="K696" s="1242">
        <f t="shared" si="255"/>
        <v>1</v>
      </c>
      <c r="L696" s="1243">
        <f t="shared" si="248"/>
        <v>100</v>
      </c>
    </row>
    <row r="697" spans="1:29" ht="21" customHeight="1" x14ac:dyDescent="0.25">
      <c r="B697" s="1220" t="s">
        <v>310</v>
      </c>
      <c r="C697" s="1245">
        <v>1</v>
      </c>
      <c r="D697" s="1272">
        <f>'Prec Materia Prima y Empaq'!$H$130</f>
        <v>100</v>
      </c>
      <c r="E697" s="1240">
        <v>0</v>
      </c>
      <c r="F697" s="1241">
        <f t="shared" si="246"/>
        <v>100</v>
      </c>
      <c r="G697" s="1253">
        <f t="shared" si="254"/>
        <v>42000</v>
      </c>
      <c r="H697" s="1245">
        <f>H695</f>
        <v>420</v>
      </c>
      <c r="I697" s="1245" t="s">
        <v>453</v>
      </c>
      <c r="K697" s="1242">
        <f t="shared" si="255"/>
        <v>1</v>
      </c>
      <c r="L697" s="1243">
        <f t="shared" si="248"/>
        <v>100</v>
      </c>
    </row>
    <row r="698" spans="1:29" ht="22.5" customHeight="1" x14ac:dyDescent="0.25">
      <c r="B698" s="1245" t="s">
        <v>309</v>
      </c>
      <c r="C698" s="1245">
        <v>1</v>
      </c>
      <c r="D698" s="1272">
        <f>'Prec Materia Prima y Empaq'!$H$129</f>
        <v>800</v>
      </c>
      <c r="E698" s="1240">
        <v>0</v>
      </c>
      <c r="F698" s="1241">
        <f t="shared" si="246"/>
        <v>800</v>
      </c>
      <c r="G698" s="1253">
        <f t="shared" si="254"/>
        <v>336000</v>
      </c>
      <c r="H698" s="1245">
        <f>H697</f>
        <v>420</v>
      </c>
      <c r="I698" s="1245" t="s">
        <v>453</v>
      </c>
      <c r="K698" s="1242">
        <f t="shared" si="255"/>
        <v>1</v>
      </c>
      <c r="L698" s="1243">
        <f t="shared" si="248"/>
        <v>800</v>
      </c>
    </row>
    <row r="699" spans="1:29" ht="19.5" customHeight="1" thickBot="1" x14ac:dyDescent="0.3">
      <c r="B699" s="1255"/>
      <c r="C699" s="857"/>
      <c r="D699" s="1256"/>
      <c r="E699" s="1248"/>
      <c r="F699" s="1257"/>
      <c r="G699" s="1258">
        <f>SUM(G684:G698)/C678</f>
        <v>3065.3275255967665</v>
      </c>
      <c r="H699" s="1259" t="s">
        <v>454</v>
      </c>
      <c r="I699" s="857"/>
      <c r="L699" s="1260">
        <f>SUM(L684:L698)</f>
        <v>3065.3333905183617</v>
      </c>
    </row>
    <row r="700" spans="1:29" ht="15" customHeight="1" thickTop="1" x14ac:dyDescent="0.25">
      <c r="B700" s="1261" t="s">
        <v>409</v>
      </c>
      <c r="C700" s="1262"/>
      <c r="D700" s="1263">
        <f>'Gtos Varios'!$B$22</f>
        <v>3070.542857142857</v>
      </c>
      <c r="E700" s="1262"/>
      <c r="F700" s="1264">
        <f t="shared" ref="F700" si="256">+E700+D700</f>
        <v>3070.542857142857</v>
      </c>
      <c r="G700" s="1265">
        <f>F700</f>
        <v>3070.542857142857</v>
      </c>
      <c r="H700" s="1262" t="str">
        <f>B700</f>
        <v xml:space="preserve">GASTOS VARIOS </v>
      </c>
      <c r="I700" s="857"/>
    </row>
    <row r="701" spans="1:29" ht="15" customHeight="1" x14ac:dyDescent="0.25">
      <c r="B701" s="1255"/>
      <c r="C701" s="857"/>
      <c r="D701" s="1256"/>
      <c r="E701" s="1248"/>
      <c r="F701" s="1257"/>
      <c r="G701" s="1266"/>
      <c r="H701" s="857"/>
      <c r="I701" s="857"/>
    </row>
    <row r="702" spans="1:29" ht="15" customHeight="1" x14ac:dyDescent="0.25">
      <c r="B702" s="1255"/>
      <c r="C702" s="857"/>
      <c r="D702" s="1256"/>
      <c r="E702" s="1248"/>
      <c r="F702" s="1257"/>
      <c r="G702" s="1266"/>
      <c r="H702" s="857"/>
      <c r="I702" s="857"/>
    </row>
    <row r="703" spans="1:29" ht="15" customHeight="1" thickBot="1" x14ac:dyDescent="0.3">
      <c r="F703" s="1267">
        <f>SUM(F684:F698)</f>
        <v>2693380.89</v>
      </c>
      <c r="G703" s="1268">
        <f>SUM(G699:G700)</f>
        <v>6135.8703827396239</v>
      </c>
      <c r="H703" s="733" t="s">
        <v>412</v>
      </c>
    </row>
    <row r="704" spans="1:29" ht="15" customHeight="1" thickTop="1" x14ac:dyDescent="0.25">
      <c r="G704" s="1257">
        <f>G703*49%</f>
        <v>3006.5764875424156</v>
      </c>
      <c r="H704" s="1274">
        <v>0.49</v>
      </c>
      <c r="I704" s="733" t="s">
        <v>539</v>
      </c>
    </row>
    <row r="705" spans="1:12" ht="15" customHeight="1" thickBot="1" x14ac:dyDescent="0.3">
      <c r="G705" s="1270">
        <f>G703+G704</f>
        <v>9142.4468702820395</v>
      </c>
      <c r="H705" s="733" t="s">
        <v>414</v>
      </c>
    </row>
    <row r="706" spans="1:12" ht="15" customHeight="1" thickTop="1" x14ac:dyDescent="0.25">
      <c r="G706" s="1258"/>
    </row>
    <row r="707" spans="1:12" ht="15" customHeight="1" x14ac:dyDescent="0.25">
      <c r="G707" s="1258"/>
    </row>
    <row r="708" spans="1:12" ht="15" customHeight="1" x14ac:dyDescent="0.25">
      <c r="B708" s="1222" t="s">
        <v>61</v>
      </c>
      <c r="C708" s="1219" t="s">
        <v>122</v>
      </c>
      <c r="D708" s="733"/>
    </row>
    <row r="709" spans="1:12" ht="15" customHeight="1" x14ac:dyDescent="0.25">
      <c r="A709" s="1223" t="s">
        <v>711</v>
      </c>
      <c r="B709" s="1222" t="s">
        <v>62</v>
      </c>
      <c r="C709" s="1219" t="str">
        <f>VLOOKUP(C708,LISTPROD[],2,FALSE)</f>
        <v>FERROVIT LT</v>
      </c>
      <c r="D709" s="1219" t="s">
        <v>486</v>
      </c>
      <c r="E709" s="733" t="s">
        <v>491</v>
      </c>
    </row>
    <row r="710" spans="1:12" ht="15" customHeight="1" x14ac:dyDescent="0.25">
      <c r="B710" s="1222" t="s">
        <v>234</v>
      </c>
      <c r="C710" s="1219" t="str">
        <f>VLOOKUP(C708,LISTPROD[],9,FALSE)</f>
        <v>1000 ML</v>
      </c>
      <c r="D710" s="733"/>
    </row>
    <row r="711" spans="1:12" ht="15" customHeight="1" x14ac:dyDescent="0.25">
      <c r="B711" s="1222" t="s">
        <v>239</v>
      </c>
      <c r="C711" s="1224">
        <v>220</v>
      </c>
      <c r="D711" s="1218"/>
    </row>
    <row r="712" spans="1:12" ht="15" customHeight="1" x14ac:dyDescent="0.25">
      <c r="B712" s="1222" t="s">
        <v>240</v>
      </c>
      <c r="C712" s="1219"/>
      <c r="D712" s="733"/>
    </row>
    <row r="713" spans="1:12" ht="15" customHeight="1" x14ac:dyDescent="0.25">
      <c r="B713" s="1222" t="s">
        <v>238</v>
      </c>
      <c r="C713" s="733" t="s">
        <v>56</v>
      </c>
      <c r="D713" s="857" t="s">
        <v>449</v>
      </c>
    </row>
    <row r="714" spans="1:12" ht="15" customHeight="1" x14ac:dyDescent="0.25">
      <c r="B714" s="1225" t="s">
        <v>410</v>
      </c>
      <c r="C714" s="753">
        <v>1000</v>
      </c>
      <c r="D714" s="1226"/>
    </row>
    <row r="715" spans="1:12" ht="15" customHeight="1" x14ac:dyDescent="0.25">
      <c r="A715" s="1227"/>
      <c r="B715" s="1436" t="s">
        <v>404</v>
      </c>
      <c r="C715" s="1436"/>
      <c r="D715" s="1436"/>
      <c r="E715" s="1436"/>
      <c r="F715" s="1436"/>
      <c r="G715" s="1228"/>
      <c r="H715" s="1437" t="s">
        <v>416</v>
      </c>
      <c r="I715" s="1438"/>
    </row>
    <row r="716" spans="1:12" ht="54.75" customHeight="1" x14ac:dyDescent="0.25">
      <c r="A716" s="1229"/>
      <c r="B716" s="1230" t="s">
        <v>398</v>
      </c>
      <c r="C716" s="1231" t="s">
        <v>441</v>
      </c>
      <c r="D716" s="1232" t="s">
        <v>399</v>
      </c>
      <c r="E716" s="1233" t="s">
        <v>402</v>
      </c>
      <c r="F716" s="1232" t="s">
        <v>399</v>
      </c>
      <c r="G716" s="1232" t="s">
        <v>411</v>
      </c>
      <c r="H716" s="1234" t="s">
        <v>408</v>
      </c>
      <c r="I716" s="1235" t="s">
        <v>415</v>
      </c>
      <c r="K716" s="1236" t="s">
        <v>603</v>
      </c>
      <c r="L716" s="1237" t="s">
        <v>604</v>
      </c>
    </row>
    <row r="717" spans="1:12" ht="15" customHeight="1" x14ac:dyDescent="0.25">
      <c r="A717" s="1238"/>
      <c r="B717" s="1228" t="s">
        <v>248</v>
      </c>
      <c r="C717" s="1228">
        <v>1000</v>
      </c>
      <c r="D717" s="1239">
        <f>'Prec Materia Prima y Empaq'!$H$21</f>
        <v>15400</v>
      </c>
      <c r="E717" s="1240">
        <f>D717*19%</f>
        <v>2926</v>
      </c>
      <c r="F717" s="1241">
        <f>+E717+D717</f>
        <v>18326</v>
      </c>
      <c r="G717" s="1240">
        <f>F717/C717*H717</f>
        <v>14660.800000000001</v>
      </c>
      <c r="H717" s="1242">
        <v>800</v>
      </c>
      <c r="I717" s="1228" t="s">
        <v>450</v>
      </c>
      <c r="K717" s="1242">
        <f>H717/$C$711</f>
        <v>3.6363636363636362</v>
      </c>
      <c r="L717" s="1243">
        <f>F717/C717*K717</f>
        <v>66.64</v>
      </c>
    </row>
    <row r="718" spans="1:12" ht="15" customHeight="1" x14ac:dyDescent="0.25">
      <c r="A718" s="1238"/>
      <c r="B718" s="1228" t="s">
        <v>443</v>
      </c>
      <c r="C718" s="1228">
        <v>1000</v>
      </c>
      <c r="D718" s="1239">
        <f>'Prec Materia Prima y Empaq'!$H$11</f>
        <v>8000</v>
      </c>
      <c r="E718" s="1240">
        <f t="shared" ref="E718:E724" si="257">D718*19%</f>
        <v>1520</v>
      </c>
      <c r="F718" s="1241">
        <f t="shared" ref="F718:F727" si="258">+E718+D718</f>
        <v>9520</v>
      </c>
      <c r="G718" s="1240">
        <f t="shared" ref="G718:G722" si="259">F718/C718*H718</f>
        <v>5712</v>
      </c>
      <c r="H718" s="1242">
        <v>600</v>
      </c>
      <c r="I718" s="1228" t="s">
        <v>450</v>
      </c>
      <c r="K718" s="1242">
        <f t="shared" ref="K718:K729" si="260">H718/$C$711</f>
        <v>2.7272727272727271</v>
      </c>
      <c r="L718" s="1243">
        <f t="shared" ref="L718:L727" si="261">F718/C718*K718</f>
        <v>25.963636363636361</v>
      </c>
    </row>
    <row r="719" spans="1:12" ht="15" customHeight="1" x14ac:dyDescent="0.25">
      <c r="A719" s="1238"/>
      <c r="B719" s="1228" t="s">
        <v>253</v>
      </c>
      <c r="C719" s="1228">
        <v>1000</v>
      </c>
      <c r="D719" s="1239">
        <f>'Prec Materia Prima y Empaq'!$H$9</f>
        <v>5400</v>
      </c>
      <c r="E719" s="1240">
        <f t="shared" si="257"/>
        <v>1026</v>
      </c>
      <c r="F719" s="1241">
        <f t="shared" si="258"/>
        <v>6426</v>
      </c>
      <c r="G719" s="1240">
        <f t="shared" si="259"/>
        <v>1927.8</v>
      </c>
      <c r="H719" s="1242">
        <v>300</v>
      </c>
      <c r="I719" s="1228" t="s">
        <v>450</v>
      </c>
      <c r="K719" s="1242">
        <f t="shared" si="260"/>
        <v>1.3636363636363635</v>
      </c>
      <c r="L719" s="1243">
        <f t="shared" si="261"/>
        <v>8.7627272727272718</v>
      </c>
    </row>
    <row r="720" spans="1:12" ht="15" customHeight="1" x14ac:dyDescent="0.25">
      <c r="A720" s="1238"/>
      <c r="B720" s="1228" t="s">
        <v>262</v>
      </c>
      <c r="C720" s="1228">
        <v>1000</v>
      </c>
      <c r="D720" s="1239">
        <f>'Prec Materia Prima y Empaq'!$H$55</f>
        <v>50522</v>
      </c>
      <c r="E720" s="1240">
        <f t="shared" si="257"/>
        <v>9599.18</v>
      </c>
      <c r="F720" s="1241">
        <f t="shared" si="258"/>
        <v>60121.18</v>
      </c>
      <c r="G720" s="1240">
        <f t="shared" si="259"/>
        <v>12024.236000000001</v>
      </c>
      <c r="H720" s="1242">
        <v>200</v>
      </c>
      <c r="I720" s="1228" t="s">
        <v>450</v>
      </c>
      <c r="K720" s="1242">
        <f t="shared" si="260"/>
        <v>0.90909090909090906</v>
      </c>
      <c r="L720" s="1243">
        <f t="shared" si="261"/>
        <v>54.655618181818184</v>
      </c>
    </row>
    <row r="721" spans="1:29" ht="15" customHeight="1" x14ac:dyDescent="0.25">
      <c r="A721" s="1238"/>
      <c r="B721" s="1228" t="s">
        <v>261</v>
      </c>
      <c r="C721" s="1228">
        <v>1000</v>
      </c>
      <c r="D721" s="1239">
        <f>'Prec Materia Prima y Empaq'!$H$12</f>
        <v>4700</v>
      </c>
      <c r="E721" s="1240">
        <f t="shared" si="257"/>
        <v>893</v>
      </c>
      <c r="F721" s="1241">
        <f t="shared" si="258"/>
        <v>5593</v>
      </c>
      <c r="G721" s="1240">
        <f t="shared" si="259"/>
        <v>1118.5999999999999</v>
      </c>
      <c r="H721" s="1242">
        <v>200</v>
      </c>
      <c r="I721" s="1228" t="s">
        <v>450</v>
      </c>
      <c r="K721" s="1242">
        <f t="shared" si="260"/>
        <v>0.90909090909090906</v>
      </c>
      <c r="L721" s="1243">
        <f t="shared" si="261"/>
        <v>5.084545454545454</v>
      </c>
    </row>
    <row r="722" spans="1:29" ht="15" customHeight="1" x14ac:dyDescent="0.25">
      <c r="A722" s="1238"/>
      <c r="B722" s="1228" t="s">
        <v>246</v>
      </c>
      <c r="C722" s="1228">
        <v>1000</v>
      </c>
      <c r="D722" s="1239">
        <f>'Prec Materia Prima y Empaq'!$H$41</f>
        <v>80268</v>
      </c>
      <c r="E722" s="1240">
        <f t="shared" si="257"/>
        <v>15250.92</v>
      </c>
      <c r="F722" s="1241">
        <f t="shared" si="258"/>
        <v>95518.92</v>
      </c>
      <c r="G722" s="1240">
        <f t="shared" si="259"/>
        <v>5731.1351999999997</v>
      </c>
      <c r="H722" s="1242">
        <v>60</v>
      </c>
      <c r="I722" s="1228" t="s">
        <v>450</v>
      </c>
      <c r="K722" s="1242">
        <f t="shared" si="260"/>
        <v>0.27272727272727271</v>
      </c>
      <c r="L722" s="1243">
        <f t="shared" si="261"/>
        <v>26.050614545454543</v>
      </c>
    </row>
    <row r="723" spans="1:29" ht="15" customHeight="1" x14ac:dyDescent="0.25">
      <c r="A723" s="1238"/>
      <c r="B723" s="1228" t="s">
        <v>382</v>
      </c>
      <c r="C723" s="1228">
        <v>3785</v>
      </c>
      <c r="D723" s="1239">
        <f>'Prec Materia Prima y Empaq'!$H$18</f>
        <v>24</v>
      </c>
      <c r="E723" s="1240">
        <f t="shared" si="257"/>
        <v>4.5600000000000005</v>
      </c>
      <c r="F723" s="1241">
        <f t="shared" si="258"/>
        <v>28.560000000000002</v>
      </c>
      <c r="G723" s="1240">
        <f>F723/C723*H723</f>
        <v>0.37727873183619554</v>
      </c>
      <c r="H723" s="1242">
        <v>50</v>
      </c>
      <c r="I723" s="1228" t="s">
        <v>450</v>
      </c>
      <c r="K723" s="1242">
        <f t="shared" si="260"/>
        <v>0.22727272727272727</v>
      </c>
      <c r="L723" s="1243">
        <f t="shared" si="261"/>
        <v>1.7149033265281615E-3</v>
      </c>
    </row>
    <row r="724" spans="1:29" ht="15" customHeight="1" x14ac:dyDescent="0.25">
      <c r="A724" s="1238"/>
      <c r="B724" s="1228" t="s">
        <v>251</v>
      </c>
      <c r="C724" s="1228">
        <v>1000</v>
      </c>
      <c r="D724" s="1273">
        <f>'Prec Materia Prima y Empaq'!$H$26</f>
        <v>45404</v>
      </c>
      <c r="E724" s="1240">
        <f t="shared" si="257"/>
        <v>8626.76</v>
      </c>
      <c r="F724" s="1241">
        <f t="shared" si="258"/>
        <v>54030.76</v>
      </c>
      <c r="G724" s="1240">
        <f t="shared" ref="G724" si="262">F724/C724*H724</f>
        <v>5403.076</v>
      </c>
      <c r="H724" s="1242">
        <v>100</v>
      </c>
      <c r="I724" s="1228" t="s">
        <v>450</v>
      </c>
      <c r="K724" s="1242">
        <f t="shared" si="260"/>
        <v>0.45454545454545453</v>
      </c>
      <c r="L724" s="1243">
        <f t="shared" si="261"/>
        <v>24.559436363636362</v>
      </c>
    </row>
    <row r="725" spans="1:29" ht="15" customHeight="1" x14ac:dyDescent="0.25">
      <c r="A725" s="1238"/>
      <c r="B725" s="1228" t="s">
        <v>268</v>
      </c>
      <c r="C725" s="1228">
        <v>1000</v>
      </c>
      <c r="D725" s="1239">
        <f>'Prec Materia Prima y Empaq'!$H$31</f>
        <v>20000</v>
      </c>
      <c r="E725" s="1240"/>
      <c r="F725" s="1241">
        <f t="shared" ref="F725:F726" si="263">+E725+D725</f>
        <v>20000</v>
      </c>
      <c r="G725" s="1240">
        <f>F725/C725*H725</f>
        <v>20000</v>
      </c>
      <c r="H725" s="1242">
        <v>1000</v>
      </c>
      <c r="I725" s="1228" t="s">
        <v>450</v>
      </c>
      <c r="K725" s="1242">
        <f t="shared" si="260"/>
        <v>4.5454545454545459</v>
      </c>
      <c r="L725" s="1243">
        <f t="shared" ref="L725:L726" si="264">F725/C725*K725</f>
        <v>90.909090909090921</v>
      </c>
    </row>
    <row r="726" spans="1:29" ht="31.5" customHeight="1" x14ac:dyDescent="0.25">
      <c r="B726" s="1220" t="s">
        <v>247</v>
      </c>
      <c r="C726" s="1228">
        <v>1000</v>
      </c>
      <c r="D726" s="1244">
        <f>'Prec Materia Prima y Empaq'!$H$7</f>
        <v>50000</v>
      </c>
      <c r="E726" s="1240">
        <v>0</v>
      </c>
      <c r="F726" s="1241">
        <f t="shared" si="263"/>
        <v>50000</v>
      </c>
      <c r="G726" s="1240">
        <f>F726/C726*H726</f>
        <v>32.022471910112351</v>
      </c>
      <c r="H726" s="1245">
        <v>0.64044943820224698</v>
      </c>
      <c r="I726" s="1245" t="s">
        <v>453</v>
      </c>
      <c r="K726" s="1242">
        <f t="shared" ref="K726" si="265">H726/$C$378</f>
        <v>1.6421780466724281E-3</v>
      </c>
      <c r="L726" s="1243">
        <f t="shared" si="264"/>
        <v>8.2108902333621406E-2</v>
      </c>
      <c r="N726" s="1220" t="s">
        <v>247</v>
      </c>
      <c r="O726" s="1247">
        <v>1</v>
      </c>
      <c r="P726" s="1240">
        <f>$F$391/$C$391*$O$391</f>
        <v>50</v>
      </c>
      <c r="Q726" s="1248"/>
      <c r="R726" s="1249" t="e">
        <f>P726/O715</f>
        <v>#DIV/0!</v>
      </c>
      <c r="S726" s="1248" t="e">
        <f>R726*1000</f>
        <v>#DIV/0!</v>
      </c>
      <c r="T726" s="1250">
        <f>O726/$O$380*1000</f>
        <v>2.5641025641025641E-3</v>
      </c>
      <c r="U726" s="1238">
        <f>T726*$M$380</f>
        <v>1</v>
      </c>
      <c r="Y726" s="1238"/>
      <c r="Z726" s="1238"/>
      <c r="AA726" s="1251"/>
      <c r="AC726" s="1252"/>
    </row>
    <row r="727" spans="1:29" ht="30.75" customHeight="1" x14ac:dyDescent="0.25">
      <c r="B727" s="1220" t="s">
        <v>494</v>
      </c>
      <c r="C727" s="1220">
        <v>1</v>
      </c>
      <c r="D727" s="1244">
        <f>'Prec Materia Prima y Empaq'!$H$141</f>
        <v>1500</v>
      </c>
      <c r="E727" s="1240">
        <v>0</v>
      </c>
      <c r="F727" s="1241">
        <f t="shared" si="258"/>
        <v>1500</v>
      </c>
      <c r="G727" s="1253">
        <f t="shared" ref="G727:G729" si="266">F727*H727</f>
        <v>330000</v>
      </c>
      <c r="H727" s="1245">
        <f>$C$711</f>
        <v>220</v>
      </c>
      <c r="I727" s="1245" t="s">
        <v>453</v>
      </c>
      <c r="K727" s="1242">
        <f t="shared" si="260"/>
        <v>1</v>
      </c>
      <c r="L727" s="1243">
        <f t="shared" si="261"/>
        <v>1500</v>
      </c>
    </row>
    <row r="728" spans="1:29" ht="43.5" customHeight="1" x14ac:dyDescent="0.25">
      <c r="B728" s="1220" t="s">
        <v>695</v>
      </c>
      <c r="C728" s="1220">
        <v>1</v>
      </c>
      <c r="D728" s="1272">
        <f>'Prec Materia Prima y Empaq'!$H$161</f>
        <v>300</v>
      </c>
      <c r="E728" s="1240">
        <v>0</v>
      </c>
      <c r="F728" s="1241">
        <f t="shared" ref="F728:F729" si="267">+E728+D728</f>
        <v>300</v>
      </c>
      <c r="G728" s="1253">
        <f t="shared" si="266"/>
        <v>66000</v>
      </c>
      <c r="H728" s="1245">
        <f t="shared" ref="H728:H729" si="268">$C$711</f>
        <v>220</v>
      </c>
      <c r="I728" s="1245" t="s">
        <v>453</v>
      </c>
      <c r="K728" s="1242">
        <f t="shared" si="260"/>
        <v>1</v>
      </c>
      <c r="L728" s="1243">
        <f t="shared" ref="L728:L729" si="269">F728/C728*K728</f>
        <v>300</v>
      </c>
    </row>
    <row r="729" spans="1:29" ht="27.75" customHeight="1" x14ac:dyDescent="0.25">
      <c r="B729" s="1254" t="s">
        <v>310</v>
      </c>
      <c r="C729" s="1245">
        <v>1</v>
      </c>
      <c r="D729" s="1244">
        <f>'Prec Materia Prima y Empaq'!$H$130</f>
        <v>100</v>
      </c>
      <c r="E729" s="1240">
        <v>0</v>
      </c>
      <c r="F729" s="1241">
        <f t="shared" si="267"/>
        <v>100</v>
      </c>
      <c r="G729" s="1253">
        <f t="shared" si="266"/>
        <v>22000</v>
      </c>
      <c r="H729" s="1245">
        <f t="shared" si="268"/>
        <v>220</v>
      </c>
      <c r="I729" s="1245" t="s">
        <v>453</v>
      </c>
      <c r="K729" s="1242">
        <f t="shared" si="260"/>
        <v>1</v>
      </c>
      <c r="L729" s="1243">
        <f t="shared" si="269"/>
        <v>100</v>
      </c>
    </row>
    <row r="730" spans="1:29" ht="19.5" customHeight="1" thickBot="1" x14ac:dyDescent="0.3">
      <c r="B730" s="1255"/>
      <c r="C730" s="857"/>
      <c r="D730" s="1256"/>
      <c r="E730" s="1248"/>
      <c r="F730" s="1257"/>
      <c r="G730" s="1258">
        <f>SUM(G717:G729)/C711</f>
        <v>2202.7729406847361</v>
      </c>
      <c r="H730" s="1259" t="s">
        <v>454</v>
      </c>
      <c r="I730" s="857"/>
      <c r="L730" s="1260">
        <f>SUM(L717:L729)</f>
        <v>2202.7094928965694</v>
      </c>
    </row>
    <row r="731" spans="1:29" ht="15" customHeight="1" thickTop="1" x14ac:dyDescent="0.25">
      <c r="B731" s="1261" t="s">
        <v>409</v>
      </c>
      <c r="C731" s="1262"/>
      <c r="D731" s="1263">
        <f>'Gtos Varios'!$B$22</f>
        <v>3070.542857142857</v>
      </c>
      <c r="E731" s="1262"/>
      <c r="F731" s="1264">
        <f t="shared" ref="F731" si="270">+E731+D731</f>
        <v>3070.542857142857</v>
      </c>
      <c r="G731" s="1265">
        <f>F731</f>
        <v>3070.542857142857</v>
      </c>
      <c r="H731" s="1262" t="str">
        <f>B731</f>
        <v xml:space="preserve">GASTOS VARIOS </v>
      </c>
      <c r="I731" s="1262"/>
    </row>
    <row r="732" spans="1:29" ht="15" customHeight="1" x14ac:dyDescent="0.25">
      <c r="B732" s="1297"/>
      <c r="C732" s="1262"/>
      <c r="D732" s="1263"/>
      <c r="E732" s="1298"/>
      <c r="F732" s="1265"/>
      <c r="G732" s="1298"/>
      <c r="H732" s="1262"/>
      <c r="I732" s="1262"/>
    </row>
    <row r="733" spans="1:29" ht="15" customHeight="1" x14ac:dyDescent="0.25">
      <c r="B733" s="1255"/>
      <c r="C733" s="857"/>
      <c r="D733" s="1256"/>
      <c r="E733" s="1248"/>
      <c r="F733" s="1257"/>
      <c r="G733" s="1266"/>
      <c r="H733" s="857"/>
      <c r="I733" s="857"/>
    </row>
    <row r="734" spans="1:29" ht="15" customHeight="1" thickBot="1" x14ac:dyDescent="0.3">
      <c r="F734" s="1267">
        <f>SUM(F717:F729)</f>
        <v>321464.42</v>
      </c>
      <c r="G734" s="1268">
        <f>SUM(G730:G731)</f>
        <v>5273.3157978275931</v>
      </c>
      <c r="H734" s="733" t="s">
        <v>412</v>
      </c>
    </row>
    <row r="735" spans="1:29" ht="15" customHeight="1" thickTop="1" x14ac:dyDescent="0.25">
      <c r="G735" s="1295">
        <f>G734*57%</f>
        <v>3005.7900047617277</v>
      </c>
      <c r="H735" s="1274">
        <v>0.56999999999999995</v>
      </c>
      <c r="I735" s="733" t="s">
        <v>539</v>
      </c>
    </row>
    <row r="736" spans="1:29" ht="15" customHeight="1" thickBot="1" x14ac:dyDescent="0.3">
      <c r="G736" s="1270">
        <f>G734+G735</f>
        <v>8279.1058025893217</v>
      </c>
      <c r="H736" s="733" t="s">
        <v>414</v>
      </c>
    </row>
    <row r="737" spans="1:12" ht="15" customHeight="1" thickTop="1" x14ac:dyDescent="0.25">
      <c r="G737" s="1258"/>
    </row>
    <row r="738" spans="1:12" ht="15" customHeight="1" x14ac:dyDescent="0.25">
      <c r="G738" s="1258"/>
    </row>
    <row r="739" spans="1:12" ht="15" customHeight="1" x14ac:dyDescent="0.25">
      <c r="B739" s="1222" t="s">
        <v>61</v>
      </c>
      <c r="C739" s="1219" t="s">
        <v>124</v>
      </c>
      <c r="D739" s="733"/>
    </row>
    <row r="740" spans="1:12" ht="15" customHeight="1" x14ac:dyDescent="0.25">
      <c r="A740" s="1223" t="s">
        <v>711</v>
      </c>
      <c r="B740" s="1222" t="s">
        <v>62</v>
      </c>
      <c r="C740" s="1219" t="str">
        <f>VLOOKUP(C739,LISTPROD[],2,FALSE)</f>
        <v>FERRUM LT</v>
      </c>
      <c r="D740" s="1219" t="s">
        <v>486</v>
      </c>
      <c r="E740" s="733" t="s">
        <v>491</v>
      </c>
    </row>
    <row r="741" spans="1:12" ht="15" customHeight="1" x14ac:dyDescent="0.25">
      <c r="B741" s="1222" t="s">
        <v>234</v>
      </c>
      <c r="C741" s="1219" t="str">
        <f>VLOOKUP(C739,LISTPROD[],9,FALSE)</f>
        <v>1000 ML</v>
      </c>
      <c r="D741" s="733"/>
    </row>
    <row r="742" spans="1:12" ht="15" customHeight="1" x14ac:dyDescent="0.25">
      <c r="B742" s="1222" t="s">
        <v>239</v>
      </c>
      <c r="C742" s="1224">
        <v>220</v>
      </c>
      <c r="D742" s="1218"/>
    </row>
    <row r="743" spans="1:12" ht="15" customHeight="1" x14ac:dyDescent="0.25">
      <c r="B743" s="1222" t="s">
        <v>240</v>
      </c>
      <c r="C743" s="1219"/>
      <c r="D743" s="733"/>
    </row>
    <row r="744" spans="1:12" ht="15" customHeight="1" x14ac:dyDescent="0.25">
      <c r="B744" s="1222" t="s">
        <v>238</v>
      </c>
      <c r="C744" s="733" t="s">
        <v>56</v>
      </c>
      <c r="D744" s="857" t="s">
        <v>449</v>
      </c>
    </row>
    <row r="745" spans="1:12" ht="24.75" customHeight="1" x14ac:dyDescent="0.25">
      <c r="B745" s="1225" t="s">
        <v>410</v>
      </c>
      <c r="C745" s="1299">
        <v>1000</v>
      </c>
      <c r="D745" s="1226"/>
    </row>
    <row r="746" spans="1:12" ht="15" customHeight="1" x14ac:dyDescent="0.25">
      <c r="A746" s="1227"/>
      <c r="B746" s="1436" t="s">
        <v>404</v>
      </c>
      <c r="C746" s="1436"/>
      <c r="D746" s="1436"/>
      <c r="E746" s="1436"/>
      <c r="F746" s="1436"/>
      <c r="G746" s="1228"/>
      <c r="H746" s="1437" t="s">
        <v>416</v>
      </c>
      <c r="I746" s="1438"/>
    </row>
    <row r="747" spans="1:12" ht="34.5" customHeight="1" x14ac:dyDescent="0.25">
      <c r="A747" s="1229"/>
      <c r="B747" s="1230" t="s">
        <v>398</v>
      </c>
      <c r="C747" s="1231" t="s">
        <v>441</v>
      </c>
      <c r="D747" s="1232" t="s">
        <v>399</v>
      </c>
      <c r="E747" s="1233" t="s">
        <v>402</v>
      </c>
      <c r="F747" s="1232" t="s">
        <v>399</v>
      </c>
      <c r="G747" s="1232" t="s">
        <v>411</v>
      </c>
      <c r="H747" s="1234" t="s">
        <v>408</v>
      </c>
      <c r="I747" s="1235" t="s">
        <v>415</v>
      </c>
      <c r="K747" s="1236" t="s">
        <v>603</v>
      </c>
      <c r="L747" s="1237" t="s">
        <v>604</v>
      </c>
    </row>
    <row r="748" spans="1:12" ht="15" customHeight="1" x14ac:dyDescent="0.25">
      <c r="A748" s="1238"/>
      <c r="B748" s="1228" t="s">
        <v>248</v>
      </c>
      <c r="C748" s="1228">
        <v>1000</v>
      </c>
      <c r="D748" s="1239">
        <f>'Prec Materia Prima y Empaq'!$H$21</f>
        <v>15400</v>
      </c>
      <c r="E748" s="1240">
        <f>D748*19%</f>
        <v>2926</v>
      </c>
      <c r="F748" s="1241">
        <f>+E748+D748</f>
        <v>18326</v>
      </c>
      <c r="G748" s="1240">
        <f>F748/C748*H748</f>
        <v>14660.800000000001</v>
      </c>
      <c r="H748" s="1242">
        <v>800</v>
      </c>
      <c r="I748" s="1228" t="s">
        <v>450</v>
      </c>
      <c r="K748" s="1242">
        <f>H748/$C$742</f>
        <v>3.6363636363636362</v>
      </c>
      <c r="L748" s="1243">
        <f>F748/C748*K748</f>
        <v>66.64</v>
      </c>
    </row>
    <row r="749" spans="1:12" ht="15" customHeight="1" x14ac:dyDescent="0.25">
      <c r="A749" s="1238"/>
      <c r="B749" s="1228" t="s">
        <v>443</v>
      </c>
      <c r="C749" s="1228">
        <v>1000</v>
      </c>
      <c r="D749" s="1239">
        <f>'Prec Materia Prima y Empaq'!$H$11</f>
        <v>8000</v>
      </c>
      <c r="E749" s="1240">
        <f t="shared" ref="E749:E755" si="271">D749*19%</f>
        <v>1520</v>
      </c>
      <c r="F749" s="1241">
        <f t="shared" ref="F749:F760" si="272">+E749+D749</f>
        <v>9520</v>
      </c>
      <c r="G749" s="1240">
        <f t="shared" ref="G749:G756" si="273">F749/C749*H749</f>
        <v>5712</v>
      </c>
      <c r="H749" s="1242">
        <v>600</v>
      </c>
      <c r="I749" s="1228" t="s">
        <v>450</v>
      </c>
      <c r="K749" s="1242">
        <f t="shared" ref="K749:K760" si="274">H749/$C$742</f>
        <v>2.7272727272727271</v>
      </c>
      <c r="L749" s="1243">
        <f t="shared" ref="L749:L760" si="275">F749/C749*K749</f>
        <v>25.963636363636361</v>
      </c>
    </row>
    <row r="750" spans="1:12" ht="15" customHeight="1" x14ac:dyDescent="0.25">
      <c r="A750" s="1238"/>
      <c r="B750" s="1228" t="s">
        <v>253</v>
      </c>
      <c r="C750" s="1228">
        <v>1000</v>
      </c>
      <c r="D750" s="1239">
        <f>'Prec Materia Prima y Empaq'!$H$9</f>
        <v>5400</v>
      </c>
      <c r="E750" s="1240">
        <f t="shared" si="271"/>
        <v>1026</v>
      </c>
      <c r="F750" s="1241">
        <f t="shared" si="272"/>
        <v>6426</v>
      </c>
      <c r="G750" s="1240">
        <f t="shared" si="273"/>
        <v>1927.8</v>
      </c>
      <c r="H750" s="1242">
        <v>300</v>
      </c>
      <c r="I750" s="1228" t="s">
        <v>450</v>
      </c>
      <c r="K750" s="1242">
        <f t="shared" si="274"/>
        <v>1.3636363636363635</v>
      </c>
      <c r="L750" s="1243">
        <f t="shared" si="275"/>
        <v>8.7627272727272718</v>
      </c>
    </row>
    <row r="751" spans="1:12" ht="15" customHeight="1" x14ac:dyDescent="0.25">
      <c r="A751" s="1238"/>
      <c r="B751" s="1228" t="s">
        <v>262</v>
      </c>
      <c r="C751" s="1228">
        <v>1000</v>
      </c>
      <c r="D751" s="1239">
        <f>'Prec Materia Prima y Empaq'!$H$55</f>
        <v>50522</v>
      </c>
      <c r="E751" s="1240">
        <f t="shared" si="271"/>
        <v>9599.18</v>
      </c>
      <c r="F751" s="1241">
        <f t="shared" si="272"/>
        <v>60121.18</v>
      </c>
      <c r="G751" s="1240">
        <f t="shared" si="273"/>
        <v>12024.236000000001</v>
      </c>
      <c r="H751" s="1242">
        <v>200</v>
      </c>
      <c r="I751" s="1228" t="s">
        <v>450</v>
      </c>
      <c r="K751" s="1242">
        <f t="shared" si="274"/>
        <v>0.90909090909090906</v>
      </c>
      <c r="L751" s="1243">
        <f t="shared" si="275"/>
        <v>54.655618181818184</v>
      </c>
    </row>
    <row r="752" spans="1:12" ht="15" customHeight="1" x14ac:dyDescent="0.25">
      <c r="A752" s="1238"/>
      <c r="B752" s="1228" t="s">
        <v>261</v>
      </c>
      <c r="C752" s="1228">
        <v>1000</v>
      </c>
      <c r="D752" s="1239">
        <f>'Prec Materia Prima y Empaq'!$H$12</f>
        <v>4700</v>
      </c>
      <c r="E752" s="1240">
        <f t="shared" si="271"/>
        <v>893</v>
      </c>
      <c r="F752" s="1241">
        <f t="shared" si="272"/>
        <v>5593</v>
      </c>
      <c r="G752" s="1240">
        <f t="shared" si="273"/>
        <v>1118.5999999999999</v>
      </c>
      <c r="H752" s="1242">
        <v>200</v>
      </c>
      <c r="I752" s="1228" t="s">
        <v>450</v>
      </c>
      <c r="K752" s="1242">
        <f t="shared" si="274"/>
        <v>0.90909090909090906</v>
      </c>
      <c r="L752" s="1243">
        <f t="shared" si="275"/>
        <v>5.084545454545454</v>
      </c>
    </row>
    <row r="753" spans="1:29" ht="30.75" customHeight="1" x14ac:dyDescent="0.25">
      <c r="B753" s="1228" t="s">
        <v>246</v>
      </c>
      <c r="C753" s="1228">
        <v>1000</v>
      </c>
      <c r="D753" s="1239">
        <f>'Prec Materia Prima y Empaq'!$H$41</f>
        <v>80268</v>
      </c>
      <c r="E753" s="1240">
        <f t="shared" si="271"/>
        <v>15250.92</v>
      </c>
      <c r="F753" s="1241">
        <f t="shared" si="272"/>
        <v>95518.92</v>
      </c>
      <c r="G753" s="1240">
        <f t="shared" si="273"/>
        <v>5731.1351999999997</v>
      </c>
      <c r="H753" s="1242">
        <v>60</v>
      </c>
      <c r="I753" s="1228" t="s">
        <v>450</v>
      </c>
      <c r="K753" s="1242">
        <f t="shared" si="274"/>
        <v>0.27272727272727271</v>
      </c>
      <c r="L753" s="1243">
        <f t="shared" si="275"/>
        <v>26.050614545454543</v>
      </c>
    </row>
    <row r="754" spans="1:29" ht="30.75" customHeight="1" x14ac:dyDescent="0.25">
      <c r="B754" s="1228" t="s">
        <v>382</v>
      </c>
      <c r="C754" s="1228">
        <v>3785</v>
      </c>
      <c r="D754" s="1239">
        <f>'Prec Materia Prima y Empaq'!$H$18</f>
        <v>24</v>
      </c>
      <c r="E754" s="1240">
        <f t="shared" si="271"/>
        <v>4.5600000000000005</v>
      </c>
      <c r="F754" s="1241">
        <f t="shared" si="272"/>
        <v>28.560000000000002</v>
      </c>
      <c r="G754" s="1240">
        <f t="shared" si="273"/>
        <v>0.37727873183619554</v>
      </c>
      <c r="H754" s="1242">
        <v>50</v>
      </c>
      <c r="I754" s="1228" t="s">
        <v>450</v>
      </c>
      <c r="K754" s="1242">
        <f t="shared" si="274"/>
        <v>0.22727272727272727</v>
      </c>
      <c r="L754" s="1243">
        <f t="shared" si="275"/>
        <v>1.7149033265281615E-3</v>
      </c>
    </row>
    <row r="755" spans="1:29" ht="30.75" customHeight="1" x14ac:dyDescent="0.25">
      <c r="B755" s="1228" t="s">
        <v>251</v>
      </c>
      <c r="C755" s="1228">
        <v>1000</v>
      </c>
      <c r="D755" s="1273">
        <f>'Prec Materia Prima y Empaq'!$H$26</f>
        <v>45404</v>
      </c>
      <c r="E755" s="1240">
        <f t="shared" si="271"/>
        <v>8626.76</v>
      </c>
      <c r="F755" s="1241">
        <f t="shared" si="272"/>
        <v>54030.76</v>
      </c>
      <c r="G755" s="1240">
        <f t="shared" si="273"/>
        <v>5403.076</v>
      </c>
      <c r="H755" s="1242">
        <v>100</v>
      </c>
      <c r="I755" s="1228" t="s">
        <v>450</v>
      </c>
      <c r="K755" s="1242">
        <f t="shared" si="274"/>
        <v>0.45454545454545453</v>
      </c>
      <c r="L755" s="1243">
        <f t="shared" ref="L755:L759" si="276">F755/C755*K755</f>
        <v>24.559436363636362</v>
      </c>
    </row>
    <row r="756" spans="1:29" ht="30.75" customHeight="1" x14ac:dyDescent="0.25">
      <c r="B756" s="1228" t="s">
        <v>268</v>
      </c>
      <c r="C756" s="1228">
        <v>1000</v>
      </c>
      <c r="D756" s="1239">
        <f>'Prec Materia Prima y Empaq'!$H$31</f>
        <v>20000</v>
      </c>
      <c r="E756" s="1240"/>
      <c r="F756" s="1241">
        <f t="shared" si="272"/>
        <v>20000</v>
      </c>
      <c r="G756" s="1240">
        <f t="shared" si="273"/>
        <v>20000</v>
      </c>
      <c r="H756" s="1242">
        <v>1000</v>
      </c>
      <c r="I756" s="1228" t="s">
        <v>450</v>
      </c>
      <c r="K756" s="1242">
        <f t="shared" si="274"/>
        <v>4.5454545454545459</v>
      </c>
      <c r="L756" s="1243">
        <f t="shared" si="276"/>
        <v>90.909090909090921</v>
      </c>
    </row>
    <row r="757" spans="1:29" ht="31.5" customHeight="1" x14ac:dyDescent="0.25">
      <c r="B757" s="1220" t="s">
        <v>247</v>
      </c>
      <c r="C757" s="1228">
        <v>1000</v>
      </c>
      <c r="D757" s="1244">
        <f>'Prec Materia Prima y Empaq'!$H$7</f>
        <v>50000</v>
      </c>
      <c r="E757" s="1240">
        <v>0</v>
      </c>
      <c r="F757" s="1241">
        <f t="shared" si="272"/>
        <v>50000</v>
      </c>
      <c r="G757" s="1240">
        <f>F757/C757*H757</f>
        <v>32.022471910112351</v>
      </c>
      <c r="H757" s="1245">
        <v>0.64044943820224698</v>
      </c>
      <c r="I757" s="1245" t="s">
        <v>453</v>
      </c>
      <c r="K757" s="1242">
        <f t="shared" ref="K757" si="277">H757/$C$378</f>
        <v>1.6421780466724281E-3</v>
      </c>
      <c r="L757" s="1243">
        <f t="shared" si="276"/>
        <v>8.2108902333621406E-2</v>
      </c>
      <c r="N757" s="1220" t="s">
        <v>247</v>
      </c>
      <c r="O757" s="1247">
        <v>1</v>
      </c>
      <c r="P757" s="1240">
        <f>$F$391/$C$391*$O$391</f>
        <v>50</v>
      </c>
      <c r="Q757" s="1248"/>
      <c r="R757" s="1249" t="e">
        <f>P757/O746</f>
        <v>#DIV/0!</v>
      </c>
      <c r="S757" s="1248" t="e">
        <f>R757*1000</f>
        <v>#DIV/0!</v>
      </c>
      <c r="T757" s="1250">
        <f>O757/$O$380*1000</f>
        <v>2.5641025641025641E-3</v>
      </c>
      <c r="U757" s="1238">
        <f>T757*$M$380</f>
        <v>1</v>
      </c>
      <c r="Y757" s="1238"/>
      <c r="Z757" s="1238"/>
      <c r="AA757" s="1251"/>
      <c r="AC757" s="1252"/>
    </row>
    <row r="758" spans="1:29" ht="31.5" customHeight="1" x14ac:dyDescent="0.25">
      <c r="A758" s="1218"/>
      <c r="B758" s="1220" t="s">
        <v>494</v>
      </c>
      <c r="C758" s="1220">
        <v>1</v>
      </c>
      <c r="D758" s="1244">
        <f>'Prec Materia Prima y Empaq'!$H$141</f>
        <v>1500</v>
      </c>
      <c r="E758" s="1240">
        <v>0</v>
      </c>
      <c r="F758" s="1241">
        <f t="shared" si="272"/>
        <v>1500</v>
      </c>
      <c r="G758" s="1253">
        <f t="shared" ref="G758:G760" si="278">F758*H758</f>
        <v>330000</v>
      </c>
      <c r="H758" s="1245">
        <f>$C$711</f>
        <v>220</v>
      </c>
      <c r="I758" s="1228" t="s">
        <v>450</v>
      </c>
      <c r="K758" s="1242">
        <f t="shared" si="274"/>
        <v>1</v>
      </c>
      <c r="L758" s="1243">
        <f t="shared" si="276"/>
        <v>1500</v>
      </c>
    </row>
    <row r="759" spans="1:29" ht="66" customHeight="1" x14ac:dyDescent="0.25">
      <c r="B759" s="1220" t="s">
        <v>695</v>
      </c>
      <c r="C759" s="1220">
        <v>1</v>
      </c>
      <c r="D759" s="1272">
        <f>'Prec Materia Prima y Empaq'!$H$161</f>
        <v>300</v>
      </c>
      <c r="E759" s="1240">
        <v>0</v>
      </c>
      <c r="F759" s="1241">
        <f t="shared" si="272"/>
        <v>300</v>
      </c>
      <c r="G759" s="1253">
        <f t="shared" si="278"/>
        <v>66000</v>
      </c>
      <c r="H759" s="1245">
        <f t="shared" ref="H759:H760" si="279">$C$711</f>
        <v>220</v>
      </c>
      <c r="I759" s="1245" t="s">
        <v>453</v>
      </c>
      <c r="K759" s="1242">
        <f t="shared" si="274"/>
        <v>1</v>
      </c>
      <c r="L759" s="1243">
        <f t="shared" si="276"/>
        <v>300</v>
      </c>
    </row>
    <row r="760" spans="1:29" ht="24" customHeight="1" x14ac:dyDescent="0.25">
      <c r="B760" s="1254" t="s">
        <v>310</v>
      </c>
      <c r="C760" s="1245">
        <v>1</v>
      </c>
      <c r="D760" s="1244">
        <f>'Prec Materia Prima y Empaq'!$H$130</f>
        <v>100</v>
      </c>
      <c r="E760" s="1240">
        <v>0</v>
      </c>
      <c r="F760" s="1241">
        <f t="shared" si="272"/>
        <v>100</v>
      </c>
      <c r="G760" s="1253">
        <f t="shared" si="278"/>
        <v>22000</v>
      </c>
      <c r="H760" s="1245">
        <f t="shared" si="279"/>
        <v>220</v>
      </c>
      <c r="I760" s="1245" t="s">
        <v>453</v>
      </c>
      <c r="K760" s="1242">
        <f t="shared" si="274"/>
        <v>1</v>
      </c>
      <c r="L760" s="1243">
        <f t="shared" si="275"/>
        <v>100</v>
      </c>
    </row>
    <row r="761" spans="1:29" ht="19.5" customHeight="1" thickBot="1" x14ac:dyDescent="0.3">
      <c r="B761" s="1255"/>
      <c r="C761" s="857"/>
      <c r="D761" s="1256"/>
      <c r="E761" s="1248"/>
      <c r="F761" s="1257"/>
      <c r="G761" s="1258">
        <f>SUM(G748:G760)/C742</f>
        <v>2202.7729406847361</v>
      </c>
      <c r="H761" s="1259" t="s">
        <v>454</v>
      </c>
      <c r="I761" s="857"/>
      <c r="L761" s="1260">
        <f>SUM(L748:L760)</f>
        <v>2202.7094928965694</v>
      </c>
    </row>
    <row r="762" spans="1:29" ht="15" customHeight="1" thickTop="1" x14ac:dyDescent="0.25">
      <c r="B762" s="1261" t="s">
        <v>409</v>
      </c>
      <c r="C762" s="1262"/>
      <c r="D762" s="1263">
        <f>'Gtos Varios'!$B$22</f>
        <v>3070.542857142857</v>
      </c>
      <c r="E762" s="1262"/>
      <c r="F762" s="1264">
        <f t="shared" ref="F762" si="280">+E762+D762</f>
        <v>3070.542857142857</v>
      </c>
      <c r="G762" s="1265">
        <f>F762</f>
        <v>3070.542857142857</v>
      </c>
      <c r="H762" s="1262" t="str">
        <f>B762</f>
        <v xml:space="preserve">GASTOS VARIOS </v>
      </c>
      <c r="I762" s="1262"/>
    </row>
    <row r="763" spans="1:29" ht="15" customHeight="1" x14ac:dyDescent="0.25">
      <c r="B763" s="1255"/>
      <c r="C763" s="857"/>
      <c r="D763" s="1256"/>
      <c r="E763" s="1248"/>
      <c r="F763" s="1257"/>
      <c r="G763" s="1266"/>
      <c r="H763" s="857"/>
      <c r="I763" s="857"/>
    </row>
    <row r="764" spans="1:29" ht="15" customHeight="1" x14ac:dyDescent="0.25">
      <c r="B764" s="1255"/>
      <c r="C764" s="857"/>
      <c r="D764" s="1256"/>
      <c r="E764" s="1248"/>
      <c r="F764" s="1257"/>
      <c r="G764" s="1266"/>
      <c r="H764" s="857"/>
      <c r="I764" s="857"/>
    </row>
    <row r="765" spans="1:29" ht="15" customHeight="1" thickBot="1" x14ac:dyDescent="0.3">
      <c r="F765" s="1267">
        <f>SUM(F748:F760)</f>
        <v>321464.42</v>
      </c>
      <c r="G765" s="1268">
        <f>SUM(G761:G762)</f>
        <v>5273.3157978275931</v>
      </c>
      <c r="H765" s="733" t="s">
        <v>412</v>
      </c>
    </row>
    <row r="766" spans="1:29" ht="15" customHeight="1" thickTop="1" x14ac:dyDescent="0.25">
      <c r="G766" s="1295">
        <f>G765*57%</f>
        <v>3005.7900047617277</v>
      </c>
      <c r="H766" s="1274">
        <v>0.56999999999999995</v>
      </c>
      <c r="I766" s="733" t="s">
        <v>539</v>
      </c>
    </row>
    <row r="767" spans="1:29" ht="15" customHeight="1" thickBot="1" x14ac:dyDescent="0.3">
      <c r="G767" s="1270">
        <f>G765+G766</f>
        <v>8279.1058025893217</v>
      </c>
      <c r="H767" s="733" t="s">
        <v>414</v>
      </c>
    </row>
    <row r="768" spans="1:29" ht="15" customHeight="1" thickTop="1" x14ac:dyDescent="0.25"/>
    <row r="771" spans="1:12" ht="15" customHeight="1" x14ac:dyDescent="0.25">
      <c r="B771" s="1222" t="s">
        <v>61</v>
      </c>
      <c r="C771" s="1219" t="s">
        <v>128</v>
      </c>
      <c r="D771" s="733"/>
      <c r="E771" s="853"/>
      <c r="F771" s="853"/>
      <c r="G771" s="853"/>
      <c r="H771" s="853"/>
    </row>
    <row r="772" spans="1:12" ht="15" customHeight="1" x14ac:dyDescent="0.25">
      <c r="A772" s="1223" t="s">
        <v>711</v>
      </c>
      <c r="B772" s="1222" t="s">
        <v>62</v>
      </c>
      <c r="C772" s="1219" t="str">
        <f>VLOOKUP(C771,LISTPROD[],2,FALSE)</f>
        <v>FLOR DE CENTELLA</v>
      </c>
      <c r="D772" s="1219" t="s">
        <v>486</v>
      </c>
      <c r="E772" s="733" t="s">
        <v>689</v>
      </c>
      <c r="F772" s="853"/>
      <c r="G772" s="853"/>
      <c r="H772" s="853"/>
    </row>
    <row r="773" spans="1:12" ht="15" customHeight="1" x14ac:dyDescent="0.25">
      <c r="B773" s="1222" t="s">
        <v>234</v>
      </c>
      <c r="C773" s="1219" t="str">
        <f>VLOOKUP(C771,LISTPROD[],9,FALSE)</f>
        <v>500 ML</v>
      </c>
      <c r="D773" s="733"/>
      <c r="E773" s="853"/>
      <c r="F773" s="853"/>
      <c r="G773" s="853"/>
      <c r="H773" s="853"/>
    </row>
    <row r="774" spans="1:12" ht="15" customHeight="1" x14ac:dyDescent="0.25">
      <c r="B774" s="1222" t="s">
        <v>239</v>
      </c>
      <c r="C774" s="1296">
        <v>420</v>
      </c>
      <c r="D774" s="1218"/>
      <c r="E774" s="853"/>
      <c r="F774" s="853"/>
      <c r="G774" s="853"/>
      <c r="H774" s="853"/>
    </row>
    <row r="775" spans="1:12" ht="15" customHeight="1" x14ac:dyDescent="0.25">
      <c r="B775" s="1222" t="s">
        <v>240</v>
      </c>
      <c r="C775" s="1219"/>
      <c r="D775" s="733"/>
    </row>
    <row r="776" spans="1:12" ht="15" customHeight="1" x14ac:dyDescent="0.25">
      <c r="B776" s="1222" t="s">
        <v>238</v>
      </c>
      <c r="C776" s="733" t="s">
        <v>56</v>
      </c>
      <c r="D776" s="857" t="s">
        <v>449</v>
      </c>
    </row>
    <row r="777" spans="1:12" ht="15" customHeight="1" x14ac:dyDescent="0.25">
      <c r="B777" s="1225" t="s">
        <v>410</v>
      </c>
      <c r="C777" s="753">
        <v>500</v>
      </c>
      <c r="D777" s="1226"/>
    </row>
    <row r="778" spans="1:12" ht="15" customHeight="1" x14ac:dyDescent="0.25">
      <c r="A778" s="1227"/>
      <c r="B778" s="1436" t="s">
        <v>404</v>
      </c>
      <c r="C778" s="1436"/>
      <c r="D778" s="1436"/>
      <c r="E778" s="1436"/>
      <c r="F778" s="1436"/>
      <c r="G778" s="1228"/>
      <c r="H778" s="1437" t="s">
        <v>416</v>
      </c>
      <c r="I778" s="1438"/>
    </row>
    <row r="779" spans="1:12" ht="34.5" customHeight="1" x14ac:dyDescent="0.25">
      <c r="A779" s="1229"/>
      <c r="B779" s="1230" t="s">
        <v>398</v>
      </c>
      <c r="C779" s="1231" t="s">
        <v>441</v>
      </c>
      <c r="D779" s="1232" t="s">
        <v>399</v>
      </c>
      <c r="E779" s="1233" t="s">
        <v>402</v>
      </c>
      <c r="F779" s="1232" t="s">
        <v>399</v>
      </c>
      <c r="G779" s="1232" t="s">
        <v>411</v>
      </c>
      <c r="H779" s="1234" t="s">
        <v>408</v>
      </c>
      <c r="I779" s="1235" t="s">
        <v>415</v>
      </c>
      <c r="K779" s="1236" t="s">
        <v>603</v>
      </c>
      <c r="L779" s="1237" t="s">
        <v>604</v>
      </c>
    </row>
    <row r="780" spans="1:12" ht="15" customHeight="1" x14ac:dyDescent="0.25">
      <c r="A780" s="1238"/>
      <c r="B780" s="1228" t="s">
        <v>248</v>
      </c>
      <c r="C780" s="1228">
        <v>1000</v>
      </c>
      <c r="D780" s="1239">
        <f>'Prec Materia Prima y Empaq'!$H$21</f>
        <v>15400</v>
      </c>
      <c r="E780" s="1240">
        <f>D780*19%</f>
        <v>2926</v>
      </c>
      <c r="F780" s="1241">
        <f>+E780+D780</f>
        <v>18326</v>
      </c>
      <c r="G780" s="1240">
        <f t="shared" ref="G780:G782" si="281">F780/C780*H780</f>
        <v>16493.400000000001</v>
      </c>
      <c r="H780" s="1242">
        <v>900</v>
      </c>
      <c r="I780" s="1228" t="s">
        <v>450</v>
      </c>
      <c r="K780" s="1242">
        <f t="shared" ref="K780:K785" si="282">H780/$C$774</f>
        <v>2.1428571428571428</v>
      </c>
      <c r="L780" s="1243">
        <f>F780/C780*K780</f>
        <v>39.270000000000003</v>
      </c>
    </row>
    <row r="781" spans="1:12" ht="15" customHeight="1" x14ac:dyDescent="0.25">
      <c r="A781" s="1238"/>
      <c r="B781" s="1228" t="s">
        <v>443</v>
      </c>
      <c r="C781" s="1228">
        <v>1000</v>
      </c>
      <c r="D781" s="1239">
        <f>'Prec Materia Prima y Empaq'!$H$11</f>
        <v>8000</v>
      </c>
      <c r="E781" s="1240">
        <f t="shared" ref="E781:E786" si="283">D781*19%</f>
        <v>1520</v>
      </c>
      <c r="F781" s="1241">
        <f t="shared" ref="F781:F787" si="284">+E781+D781</f>
        <v>9520</v>
      </c>
      <c r="G781" s="1240">
        <f t="shared" si="281"/>
        <v>5712</v>
      </c>
      <c r="H781" s="1242">
        <v>600</v>
      </c>
      <c r="I781" s="1228" t="s">
        <v>450</v>
      </c>
      <c r="K781" s="1242">
        <f t="shared" si="282"/>
        <v>1.4285714285714286</v>
      </c>
      <c r="L781" s="1243">
        <f t="shared" ref="L781:L791" si="285">F781/C781*K781</f>
        <v>13.6</v>
      </c>
    </row>
    <row r="782" spans="1:12" ht="15" customHeight="1" x14ac:dyDescent="0.25">
      <c r="A782" s="1238"/>
      <c r="B782" s="1228" t="s">
        <v>253</v>
      </c>
      <c r="C782" s="1228">
        <v>1000</v>
      </c>
      <c r="D782" s="1239">
        <f>'Prec Materia Prima y Empaq'!$H$9</f>
        <v>5400</v>
      </c>
      <c r="E782" s="1240">
        <f t="shared" si="283"/>
        <v>1026</v>
      </c>
      <c r="F782" s="1241">
        <f t="shared" si="284"/>
        <v>6426</v>
      </c>
      <c r="G782" s="1240">
        <f t="shared" si="281"/>
        <v>3213</v>
      </c>
      <c r="H782" s="1242">
        <v>500</v>
      </c>
      <c r="I782" s="1228" t="s">
        <v>450</v>
      </c>
      <c r="K782" s="1242">
        <f t="shared" si="282"/>
        <v>1.1904761904761905</v>
      </c>
      <c r="L782" s="1243">
        <f t="shared" si="285"/>
        <v>7.65</v>
      </c>
    </row>
    <row r="783" spans="1:12" ht="15" customHeight="1" x14ac:dyDescent="0.25">
      <c r="A783" s="1238"/>
      <c r="B783" s="1228" t="s">
        <v>382</v>
      </c>
      <c r="C783" s="1228">
        <v>3785</v>
      </c>
      <c r="D783" s="1239">
        <f>'Prec Materia Prima y Empaq'!$H$18</f>
        <v>24</v>
      </c>
      <c r="E783" s="1240">
        <f t="shared" si="283"/>
        <v>4.5600000000000005</v>
      </c>
      <c r="F783" s="1241">
        <f t="shared" si="284"/>
        <v>28.560000000000002</v>
      </c>
      <c r="G783" s="1240">
        <f>F783/C783*H783</f>
        <v>0.37727873183619554</v>
      </c>
      <c r="H783" s="1242">
        <v>50</v>
      </c>
      <c r="I783" s="1228" t="s">
        <v>450</v>
      </c>
      <c r="K783" s="1242">
        <f t="shared" si="282"/>
        <v>0.11904761904761904</v>
      </c>
      <c r="L783" s="1243">
        <f t="shared" si="285"/>
        <v>8.9828269484808459E-4</v>
      </c>
    </row>
    <row r="784" spans="1:12" ht="15" customHeight="1" x14ac:dyDescent="0.25">
      <c r="A784" s="1238"/>
      <c r="B784" s="1228" t="s">
        <v>284</v>
      </c>
      <c r="C784" s="1228">
        <v>1000</v>
      </c>
      <c r="D784" s="1273">
        <f>'Prec Materia Prima y Empaq'!$H$44</f>
        <v>52325</v>
      </c>
      <c r="E784" s="1240">
        <f t="shared" si="283"/>
        <v>9941.75</v>
      </c>
      <c r="F784" s="1241">
        <f t="shared" si="284"/>
        <v>62266.75</v>
      </c>
      <c r="G784" s="1240">
        <f t="shared" ref="G784:G786" si="286">F784/C784*H784</f>
        <v>6226.6750000000002</v>
      </c>
      <c r="H784" s="1242">
        <v>100</v>
      </c>
      <c r="I784" s="1228" t="s">
        <v>450</v>
      </c>
      <c r="K784" s="1242">
        <f t="shared" si="282"/>
        <v>0.23809523809523808</v>
      </c>
      <c r="L784" s="1243">
        <f t="shared" si="285"/>
        <v>14.825416666666666</v>
      </c>
    </row>
    <row r="785" spans="1:29" ht="15" customHeight="1" x14ac:dyDescent="0.25">
      <c r="A785" s="1238"/>
      <c r="B785" s="1228" t="s">
        <v>246</v>
      </c>
      <c r="C785" s="1228">
        <v>1000</v>
      </c>
      <c r="D785" s="1273">
        <f>'Prec Materia Prima y Empaq'!$H$41</f>
        <v>80268</v>
      </c>
      <c r="E785" s="1240">
        <f t="shared" si="283"/>
        <v>15250.92</v>
      </c>
      <c r="F785" s="1241">
        <f t="shared" si="284"/>
        <v>95518.92</v>
      </c>
      <c r="G785" s="1240">
        <f t="shared" si="286"/>
        <v>1910.3783999999998</v>
      </c>
      <c r="H785" s="1242">
        <v>20</v>
      </c>
      <c r="I785" s="1228" t="s">
        <v>450</v>
      </c>
      <c r="K785" s="1242">
        <f t="shared" si="282"/>
        <v>4.7619047619047616E-2</v>
      </c>
      <c r="L785" s="1243">
        <f t="shared" si="285"/>
        <v>4.5485199999999999</v>
      </c>
    </row>
    <row r="786" spans="1:29" ht="15" customHeight="1" x14ac:dyDescent="0.25">
      <c r="A786" s="1238"/>
      <c r="B786" s="1228" t="s">
        <v>261</v>
      </c>
      <c r="C786" s="1228">
        <v>1000</v>
      </c>
      <c r="D786" s="1239">
        <f>'Prec Materia Prima y Empaq'!$H$12</f>
        <v>4700</v>
      </c>
      <c r="E786" s="1240">
        <f t="shared" si="283"/>
        <v>893</v>
      </c>
      <c r="F786" s="1241">
        <f t="shared" si="284"/>
        <v>5593</v>
      </c>
      <c r="G786" s="1241">
        <f t="shared" si="286"/>
        <v>1118.5999999999999</v>
      </c>
      <c r="H786" s="1228">
        <v>200</v>
      </c>
      <c r="I786" s="1228" t="s">
        <v>450</v>
      </c>
      <c r="K786" s="1242">
        <f t="shared" ref="K786" si="287">H786/$C$774</f>
        <v>0.47619047619047616</v>
      </c>
      <c r="L786" s="1243">
        <f t="shared" ref="L786:L788" si="288">F786/C786*K786</f>
        <v>2.6633333333333331</v>
      </c>
    </row>
    <row r="787" spans="1:29" ht="31.5" customHeight="1" x14ac:dyDescent="0.25">
      <c r="B787" s="1220" t="s">
        <v>247</v>
      </c>
      <c r="C787" s="1228">
        <v>1000</v>
      </c>
      <c r="D787" s="1244">
        <f>'Prec Materia Prima y Empaq'!$H$7</f>
        <v>50000</v>
      </c>
      <c r="E787" s="1240">
        <v>0</v>
      </c>
      <c r="F787" s="1241">
        <f t="shared" si="284"/>
        <v>50000</v>
      </c>
      <c r="G787" s="1240">
        <f>F787/C787*H787</f>
        <v>32.022471910112351</v>
      </c>
      <c r="H787" s="1245">
        <v>0.64044943820224698</v>
      </c>
      <c r="I787" s="1245" t="s">
        <v>453</v>
      </c>
      <c r="K787" s="1242">
        <f t="shared" ref="K787" si="289">H787/$C$378</f>
        <v>1.6421780466724281E-3</v>
      </c>
      <c r="L787" s="1243">
        <f t="shared" si="288"/>
        <v>8.2108902333621406E-2</v>
      </c>
      <c r="N787" s="1220" t="s">
        <v>247</v>
      </c>
      <c r="O787" s="1247">
        <v>1</v>
      </c>
      <c r="P787" s="1240">
        <f>$F$391/$C$391*$O$391</f>
        <v>50</v>
      </c>
      <c r="Q787" s="1248"/>
      <c r="R787" s="1249" t="e">
        <f>P787/O776</f>
        <v>#DIV/0!</v>
      </c>
      <c r="S787" s="1248" t="e">
        <f>R787*1000</f>
        <v>#DIV/0!</v>
      </c>
      <c r="T787" s="1250">
        <f>O787/$O$380*1000</f>
        <v>2.5641025641025641E-3</v>
      </c>
      <c r="U787" s="1238">
        <f>T787*$M$380</f>
        <v>1</v>
      </c>
      <c r="Y787" s="1238"/>
      <c r="Z787" s="1238"/>
      <c r="AA787" s="1251"/>
      <c r="AC787" s="1252"/>
    </row>
    <row r="788" spans="1:29" ht="30.75" customHeight="1" x14ac:dyDescent="0.25">
      <c r="B788" s="1220" t="s">
        <v>490</v>
      </c>
      <c r="C788" s="1220">
        <v>1</v>
      </c>
      <c r="D788" s="1244">
        <f>'Preci Comp Prod'!$N$21</f>
        <v>650</v>
      </c>
      <c r="E788" s="1240">
        <v>0</v>
      </c>
      <c r="F788" s="1241">
        <f>+E788+D788</f>
        <v>650</v>
      </c>
      <c r="G788" s="1253">
        <f t="shared" ref="G788:G793" si="290">F788*H788</f>
        <v>273000</v>
      </c>
      <c r="H788" s="1245">
        <f>$C$542</f>
        <v>420</v>
      </c>
      <c r="I788" s="1245" t="s">
        <v>453</v>
      </c>
      <c r="K788" s="1242">
        <f>H788/$C$774</f>
        <v>1</v>
      </c>
      <c r="L788" s="1243">
        <f t="shared" si="288"/>
        <v>650</v>
      </c>
    </row>
    <row r="789" spans="1:29" ht="15" customHeight="1" x14ac:dyDescent="0.25">
      <c r="B789" s="1220" t="s">
        <v>614</v>
      </c>
      <c r="C789" s="1220">
        <v>1</v>
      </c>
      <c r="D789" s="1244">
        <f>'Prec Materia Prima y Empaq'!$H$144</f>
        <v>70</v>
      </c>
      <c r="E789" s="1240">
        <v>0</v>
      </c>
      <c r="F789" s="1241">
        <f t="shared" ref="F789:F793" si="291">+E789+D789</f>
        <v>70</v>
      </c>
      <c r="G789" s="1253">
        <f t="shared" si="290"/>
        <v>29400</v>
      </c>
      <c r="H789" s="1245">
        <f t="shared" ref="H789:H793" si="292">$C$542</f>
        <v>420</v>
      </c>
      <c r="I789" s="1245" t="s">
        <v>453</v>
      </c>
      <c r="K789" s="1242">
        <f>H789/$C$774</f>
        <v>1</v>
      </c>
      <c r="L789" s="1243">
        <f t="shared" si="285"/>
        <v>70</v>
      </c>
    </row>
    <row r="790" spans="1:29" ht="66" customHeight="1" x14ac:dyDescent="0.25">
      <c r="B790" s="1220" t="s">
        <v>695</v>
      </c>
      <c r="C790" s="1245">
        <v>1</v>
      </c>
      <c r="D790" s="1272">
        <f>'Prec Materia Prima y Empaq'!$H$161</f>
        <v>300</v>
      </c>
      <c r="E790" s="1240">
        <v>0</v>
      </c>
      <c r="F790" s="1241">
        <f t="shared" si="291"/>
        <v>300</v>
      </c>
      <c r="G790" s="1253">
        <f t="shared" si="290"/>
        <v>126000</v>
      </c>
      <c r="H790" s="1245">
        <f t="shared" ref="H790" si="293">$C$507</f>
        <v>420</v>
      </c>
      <c r="I790" s="1245" t="s">
        <v>453</v>
      </c>
      <c r="K790" s="1242">
        <f>H790/$C$774</f>
        <v>1</v>
      </c>
      <c r="L790" s="1243">
        <f t="shared" si="285"/>
        <v>300</v>
      </c>
    </row>
    <row r="791" spans="1:29" ht="15" customHeight="1" x14ac:dyDescent="0.25">
      <c r="B791" s="1228" t="s">
        <v>452</v>
      </c>
      <c r="C791" s="1245">
        <v>1</v>
      </c>
      <c r="D791" s="1244">
        <f>'Prec Materia Prima y Empaq'!$H$140</f>
        <v>120</v>
      </c>
      <c r="E791" s="1240">
        <v>0</v>
      </c>
      <c r="F791" s="1241">
        <f t="shared" si="291"/>
        <v>120</v>
      </c>
      <c r="G791" s="1253">
        <f t="shared" si="290"/>
        <v>50400</v>
      </c>
      <c r="H791" s="1245">
        <f t="shared" si="292"/>
        <v>420</v>
      </c>
      <c r="I791" s="1245" t="s">
        <v>453</v>
      </c>
      <c r="K791" s="1242">
        <f>H791/$C$774</f>
        <v>1</v>
      </c>
      <c r="L791" s="1243">
        <f t="shared" si="285"/>
        <v>120</v>
      </c>
    </row>
    <row r="792" spans="1:29" ht="15" customHeight="1" x14ac:dyDescent="0.25">
      <c r="B792" s="1254" t="s">
        <v>310</v>
      </c>
      <c r="C792" s="1245">
        <v>1</v>
      </c>
      <c r="D792" s="1244">
        <f>'Prec Materia Prima y Empaq'!$H$130</f>
        <v>100</v>
      </c>
      <c r="E792" s="1240">
        <v>0</v>
      </c>
      <c r="F792" s="1241">
        <f t="shared" si="291"/>
        <v>100</v>
      </c>
      <c r="G792" s="1253">
        <f t="shared" si="290"/>
        <v>42000</v>
      </c>
      <c r="H792" s="1245">
        <f t="shared" si="292"/>
        <v>420</v>
      </c>
      <c r="I792" s="1245" t="s">
        <v>453</v>
      </c>
      <c r="K792" s="1242">
        <f t="shared" ref="K792:K793" si="294">H792/$C$774</f>
        <v>1</v>
      </c>
      <c r="L792" s="1243">
        <f t="shared" ref="L792:L793" si="295">F792/C792*K792</f>
        <v>100</v>
      </c>
    </row>
    <row r="793" spans="1:29" ht="15" customHeight="1" x14ac:dyDescent="0.25">
      <c r="B793" s="1228" t="s">
        <v>309</v>
      </c>
      <c r="C793" s="1245">
        <v>1</v>
      </c>
      <c r="D793" s="1244">
        <f>'Prec Materia Prima y Empaq'!$H$129</f>
        <v>800</v>
      </c>
      <c r="E793" s="1240">
        <v>0</v>
      </c>
      <c r="F793" s="1241">
        <f t="shared" si="291"/>
        <v>800</v>
      </c>
      <c r="G793" s="1253">
        <f t="shared" si="290"/>
        <v>336000</v>
      </c>
      <c r="H793" s="1245">
        <f t="shared" si="292"/>
        <v>420</v>
      </c>
      <c r="I793" s="1245" t="s">
        <v>453</v>
      </c>
      <c r="K793" s="1242">
        <f t="shared" si="294"/>
        <v>1</v>
      </c>
      <c r="L793" s="1243">
        <f t="shared" si="295"/>
        <v>800</v>
      </c>
    </row>
    <row r="794" spans="1:29" ht="19.5" customHeight="1" thickBot="1" x14ac:dyDescent="0.3">
      <c r="B794" s="1255"/>
      <c r="C794" s="857"/>
      <c r="D794" s="1256"/>
      <c r="E794" s="1248"/>
      <c r="F794" s="1257"/>
      <c r="G794" s="1258">
        <f>SUM(G780:G793)/C774</f>
        <v>2122.6344122634332</v>
      </c>
      <c r="H794" s="1259" t="s">
        <v>454</v>
      </c>
      <c r="I794" s="857"/>
      <c r="L794" s="1260">
        <f>SUM(L780:L793)</f>
        <v>2122.6402771850285</v>
      </c>
    </row>
    <row r="795" spans="1:29" ht="15" customHeight="1" thickTop="1" x14ac:dyDescent="0.25">
      <c r="B795" s="1261" t="s">
        <v>409</v>
      </c>
      <c r="C795" s="1262"/>
      <c r="D795" s="1263">
        <f>'Gtos Varios'!$B$22</f>
        <v>3070.542857142857</v>
      </c>
      <c r="E795" s="1262"/>
      <c r="F795" s="1264">
        <f t="shared" ref="F795" si="296">+E795+D795</f>
        <v>3070.542857142857</v>
      </c>
      <c r="G795" s="1265">
        <f>F795</f>
        <v>3070.542857142857</v>
      </c>
      <c r="H795" s="1262" t="str">
        <f>B795</f>
        <v xml:space="preserve">GASTOS VARIOS </v>
      </c>
      <c r="I795" s="1262"/>
    </row>
    <row r="796" spans="1:29" ht="15" customHeight="1" x14ac:dyDescent="0.25">
      <c r="B796" s="1255"/>
      <c r="C796" s="857"/>
      <c r="D796" s="1256"/>
      <c r="E796" s="1248"/>
      <c r="F796" s="1257"/>
      <c r="G796" s="1266"/>
      <c r="H796" s="857"/>
      <c r="I796" s="857"/>
    </row>
    <row r="797" spans="1:29" ht="15" customHeight="1" x14ac:dyDescent="0.25">
      <c r="B797" s="1255"/>
      <c r="C797" s="857"/>
      <c r="D797" s="1256"/>
      <c r="E797" s="1248"/>
      <c r="F797" s="1257"/>
      <c r="G797" s="1266"/>
      <c r="H797" s="857"/>
      <c r="I797" s="857"/>
    </row>
    <row r="798" spans="1:29" ht="15" customHeight="1" thickBot="1" x14ac:dyDescent="0.3">
      <c r="F798" s="1267">
        <f>SUM(F780:F793)</f>
        <v>249719.22999999998</v>
      </c>
      <c r="G798" s="1268">
        <f>SUM(G794:G795)</f>
        <v>5193.1772694062902</v>
      </c>
      <c r="H798" s="733" t="s">
        <v>412</v>
      </c>
    </row>
    <row r="799" spans="1:29" ht="15" customHeight="1" thickTop="1" x14ac:dyDescent="0.25">
      <c r="G799" s="1257">
        <f>G798*57%</f>
        <v>2960.1110435615851</v>
      </c>
      <c r="H799" s="1274">
        <v>0.56999999999999995</v>
      </c>
      <c r="I799" s="733" t="s">
        <v>539</v>
      </c>
    </row>
    <row r="800" spans="1:29" ht="15" customHeight="1" thickBot="1" x14ac:dyDescent="0.3">
      <c r="G800" s="1270">
        <f>G798+G799</f>
        <v>8153.2883129678758</v>
      </c>
      <c r="H800" s="733" t="s">
        <v>414</v>
      </c>
    </row>
    <row r="801" spans="1:12" ht="15" customHeight="1" thickTop="1" x14ac:dyDescent="0.25"/>
    <row r="804" spans="1:12" ht="15" customHeight="1" x14ac:dyDescent="0.25">
      <c r="B804" s="1222" t="s">
        <v>61</v>
      </c>
      <c r="C804" s="1219" t="s">
        <v>130</v>
      </c>
      <c r="D804" s="733"/>
      <c r="E804" s="853"/>
      <c r="F804" s="853"/>
      <c r="G804" s="853"/>
      <c r="H804" s="853"/>
    </row>
    <row r="805" spans="1:12" ht="45.75" customHeight="1" x14ac:dyDescent="0.25">
      <c r="A805" s="1223" t="s">
        <v>715</v>
      </c>
      <c r="B805" s="1222" t="s">
        <v>62</v>
      </c>
      <c r="C805" s="1222" t="str">
        <f>VLOOKUP(C804,LISTPROD[],2,FALSE)</f>
        <v>FLOR DE CENTELLA NUEVA</v>
      </c>
      <c r="D805" s="1219" t="s">
        <v>486</v>
      </c>
      <c r="E805" s="733" t="s">
        <v>689</v>
      </c>
      <c r="F805" s="853"/>
      <c r="G805" s="853"/>
      <c r="H805" s="853"/>
    </row>
    <row r="806" spans="1:12" ht="15" customHeight="1" x14ac:dyDescent="0.25">
      <c r="B806" s="1222" t="s">
        <v>234</v>
      </c>
      <c r="C806" s="1219" t="str">
        <f>VLOOKUP(C804,LISTPROD[],9,FALSE)</f>
        <v>500 ML</v>
      </c>
      <c r="D806" s="733"/>
      <c r="E806" s="853"/>
      <c r="F806" s="853"/>
      <c r="G806" s="853"/>
      <c r="H806" s="853"/>
    </row>
    <row r="807" spans="1:12" ht="15" customHeight="1" x14ac:dyDescent="0.25">
      <c r="B807" s="1222" t="s">
        <v>239</v>
      </c>
      <c r="C807" s="1296">
        <v>420</v>
      </c>
      <c r="D807" s="1218"/>
      <c r="E807" s="853"/>
      <c r="F807" s="853"/>
      <c r="G807" s="853"/>
      <c r="H807" s="853"/>
    </row>
    <row r="808" spans="1:12" ht="15" customHeight="1" x14ac:dyDescent="0.25">
      <c r="B808" s="1222" t="s">
        <v>240</v>
      </c>
      <c r="C808" s="1219"/>
      <c r="D808" s="733"/>
    </row>
    <row r="809" spans="1:12" ht="15" customHeight="1" x14ac:dyDescent="0.25">
      <c r="B809" s="1222" t="s">
        <v>238</v>
      </c>
      <c r="C809" s="733" t="s">
        <v>56</v>
      </c>
      <c r="D809" s="857" t="s">
        <v>449</v>
      </c>
    </row>
    <row r="810" spans="1:12" ht="15" customHeight="1" x14ac:dyDescent="0.25">
      <c r="B810" s="1225" t="s">
        <v>410</v>
      </c>
      <c r="C810" s="753">
        <v>500</v>
      </c>
      <c r="D810" s="1226"/>
    </row>
    <row r="811" spans="1:12" ht="15" customHeight="1" x14ac:dyDescent="0.25">
      <c r="A811" s="1227"/>
      <c r="B811" s="1436" t="s">
        <v>404</v>
      </c>
      <c r="C811" s="1436"/>
      <c r="D811" s="1436"/>
      <c r="E811" s="1436"/>
      <c r="F811" s="1436"/>
      <c r="G811" s="1228"/>
      <c r="H811" s="1437" t="s">
        <v>416</v>
      </c>
      <c r="I811" s="1438"/>
    </row>
    <row r="812" spans="1:12" ht="34.5" customHeight="1" x14ac:dyDescent="0.25">
      <c r="A812" s="1229"/>
      <c r="B812" s="1230" t="s">
        <v>398</v>
      </c>
      <c r="C812" s="1231" t="s">
        <v>441</v>
      </c>
      <c r="D812" s="1232" t="s">
        <v>399</v>
      </c>
      <c r="E812" s="1233" t="s">
        <v>402</v>
      </c>
      <c r="F812" s="1232" t="s">
        <v>399</v>
      </c>
      <c r="G812" s="1232" t="s">
        <v>411</v>
      </c>
      <c r="H812" s="1234" t="s">
        <v>408</v>
      </c>
      <c r="I812" s="1235" t="s">
        <v>415</v>
      </c>
      <c r="K812" s="1236" t="s">
        <v>603</v>
      </c>
      <c r="L812" s="1237" t="s">
        <v>604</v>
      </c>
    </row>
    <row r="813" spans="1:12" ht="15" customHeight="1" x14ac:dyDescent="0.25">
      <c r="A813" s="1238"/>
      <c r="B813" s="1228" t="s">
        <v>248</v>
      </c>
      <c r="C813" s="1228">
        <v>1000</v>
      </c>
      <c r="D813" s="1239">
        <f>'Prec Materia Prima y Empaq'!$H$21</f>
        <v>15400</v>
      </c>
      <c r="E813" s="1240">
        <f>D813*19%</f>
        <v>2926</v>
      </c>
      <c r="F813" s="1241">
        <f>+E813+D813</f>
        <v>18326</v>
      </c>
      <c r="G813" s="1240">
        <f>F813/C813*H813</f>
        <v>12828.2</v>
      </c>
      <c r="H813" s="1242">
        <v>700</v>
      </c>
      <c r="I813" s="1228" t="s">
        <v>450</v>
      </c>
      <c r="K813" s="1242">
        <f>H813/$C$807</f>
        <v>1.6666666666666667</v>
      </c>
      <c r="L813" s="1243">
        <f>F813/C813*K813</f>
        <v>30.543333333333337</v>
      </c>
    </row>
    <row r="814" spans="1:12" ht="15" customHeight="1" x14ac:dyDescent="0.25">
      <c r="A814" s="1238"/>
      <c r="B814" s="1228" t="s">
        <v>443</v>
      </c>
      <c r="C814" s="1228">
        <v>1000</v>
      </c>
      <c r="D814" s="1239">
        <f>'Prec Materia Prima y Empaq'!$H$11</f>
        <v>8000</v>
      </c>
      <c r="E814" s="1240">
        <f t="shared" ref="E814:E819" si="297">D814*19%</f>
        <v>1520</v>
      </c>
      <c r="F814" s="1241">
        <f t="shared" ref="F814:F825" si="298">+E814+D814</f>
        <v>9520</v>
      </c>
      <c r="G814" s="1240">
        <f t="shared" ref="G814:G816" si="299">F814/C814*H814</f>
        <v>5712</v>
      </c>
      <c r="H814" s="1242">
        <v>600</v>
      </c>
      <c r="I814" s="1228" t="s">
        <v>450</v>
      </c>
      <c r="K814" s="1242">
        <f t="shared" ref="K814:K819" si="300">H814/$C$807</f>
        <v>1.4285714285714286</v>
      </c>
      <c r="L814" s="1243">
        <f t="shared" ref="L814:L820" si="301">F814/C814*K814</f>
        <v>13.6</v>
      </c>
    </row>
    <row r="815" spans="1:12" ht="15" customHeight="1" x14ac:dyDescent="0.25">
      <c r="A815" s="1238"/>
      <c r="B815" s="1228" t="s">
        <v>253</v>
      </c>
      <c r="C815" s="1228">
        <v>1000</v>
      </c>
      <c r="D815" s="1239">
        <f>'Prec Materia Prima y Empaq'!$H$9</f>
        <v>5400</v>
      </c>
      <c r="E815" s="1240">
        <f t="shared" si="297"/>
        <v>1026</v>
      </c>
      <c r="F815" s="1241">
        <f t="shared" si="298"/>
        <v>6426</v>
      </c>
      <c r="G815" s="1240">
        <f t="shared" si="299"/>
        <v>6426</v>
      </c>
      <c r="H815" s="1242">
        <v>1000</v>
      </c>
      <c r="I815" s="1228" t="s">
        <v>450</v>
      </c>
      <c r="K815" s="1242">
        <f t="shared" si="300"/>
        <v>2.3809523809523809</v>
      </c>
      <c r="L815" s="1243">
        <f t="shared" si="301"/>
        <v>15.3</v>
      </c>
    </row>
    <row r="816" spans="1:12" ht="15" customHeight="1" x14ac:dyDescent="0.25">
      <c r="A816" s="1238"/>
      <c r="B816" s="1228" t="s">
        <v>255</v>
      </c>
      <c r="C816" s="1228">
        <v>1000</v>
      </c>
      <c r="D816" s="1239">
        <f>'Prec Materia Prima y Empaq'!$H$26</f>
        <v>45404</v>
      </c>
      <c r="E816" s="1240">
        <f t="shared" si="297"/>
        <v>8626.76</v>
      </c>
      <c r="F816" s="1241">
        <f t="shared" si="298"/>
        <v>54030.76</v>
      </c>
      <c r="G816" s="1240">
        <f t="shared" si="299"/>
        <v>13507.69</v>
      </c>
      <c r="H816" s="1242">
        <v>250</v>
      </c>
      <c r="I816" s="1228" t="s">
        <v>450</v>
      </c>
      <c r="K816" s="1242">
        <f t="shared" si="300"/>
        <v>0.59523809523809523</v>
      </c>
      <c r="L816" s="1243">
        <f t="shared" si="301"/>
        <v>32.161166666666666</v>
      </c>
    </row>
    <row r="817" spans="1:29" ht="15" customHeight="1" x14ac:dyDescent="0.25">
      <c r="A817" s="1238"/>
      <c r="B817" s="1228" t="s">
        <v>382</v>
      </c>
      <c r="C817" s="1228">
        <v>3785</v>
      </c>
      <c r="D817" s="1239">
        <f>'Prec Materia Prima y Empaq'!$H$18</f>
        <v>24</v>
      </c>
      <c r="E817" s="1240">
        <f t="shared" si="297"/>
        <v>4.5600000000000005</v>
      </c>
      <c r="F817" s="1241">
        <f t="shared" si="298"/>
        <v>28.560000000000002</v>
      </c>
      <c r="G817" s="1240">
        <f>F817/C817*H817</f>
        <v>0.37727873183619554</v>
      </c>
      <c r="H817" s="1242">
        <v>50</v>
      </c>
      <c r="I817" s="1228" t="s">
        <v>450</v>
      </c>
      <c r="K817" s="1242">
        <f t="shared" si="300"/>
        <v>0.11904761904761904</v>
      </c>
      <c r="L817" s="1243">
        <f t="shared" si="301"/>
        <v>8.9828269484808459E-4</v>
      </c>
    </row>
    <row r="818" spans="1:29" ht="15" customHeight="1" x14ac:dyDescent="0.25">
      <c r="A818" s="1238"/>
      <c r="B818" s="1228" t="s">
        <v>249</v>
      </c>
      <c r="C818" s="1228">
        <v>1000</v>
      </c>
      <c r="D818" s="1239">
        <f>'Prec Materia Prima y Empaq'!$H$59</f>
        <v>65135</v>
      </c>
      <c r="E818" s="1240">
        <f t="shared" si="297"/>
        <v>12375.65</v>
      </c>
      <c r="F818" s="1241">
        <f t="shared" si="298"/>
        <v>77510.649999999994</v>
      </c>
      <c r="G818" s="1240">
        <f t="shared" ref="G818:G819" si="302">F818/C818*H818</f>
        <v>38755.324999999997</v>
      </c>
      <c r="H818" s="1242">
        <v>500</v>
      </c>
      <c r="I818" s="1228" t="s">
        <v>450</v>
      </c>
      <c r="K818" s="1242">
        <f t="shared" si="300"/>
        <v>1.1904761904761905</v>
      </c>
      <c r="L818" s="1243">
        <f t="shared" si="301"/>
        <v>92.274583333333325</v>
      </c>
    </row>
    <row r="819" spans="1:29" ht="15" customHeight="1" x14ac:dyDescent="0.25">
      <c r="A819" s="1238"/>
      <c r="B819" s="1228" t="s">
        <v>300</v>
      </c>
      <c r="C819" s="1228">
        <v>1000</v>
      </c>
      <c r="D819" s="1239">
        <f>'Prec Materia Prima y Empaq'!$H$25</f>
        <v>30041</v>
      </c>
      <c r="E819" s="1240">
        <f t="shared" si="297"/>
        <v>5707.79</v>
      </c>
      <c r="F819" s="1241">
        <f t="shared" si="298"/>
        <v>35748.79</v>
      </c>
      <c r="G819" s="1240">
        <f t="shared" si="302"/>
        <v>17874.395</v>
      </c>
      <c r="H819" s="1242">
        <v>500</v>
      </c>
      <c r="I819" s="1228" t="s">
        <v>450</v>
      </c>
      <c r="K819" s="1242">
        <f t="shared" si="300"/>
        <v>1.1904761904761905</v>
      </c>
      <c r="L819" s="1243">
        <f t="shared" si="301"/>
        <v>42.558083333333336</v>
      </c>
    </row>
    <row r="820" spans="1:29" ht="31.5" customHeight="1" x14ac:dyDescent="0.25">
      <c r="B820" s="1220" t="s">
        <v>247</v>
      </c>
      <c r="C820" s="1228">
        <v>1000</v>
      </c>
      <c r="D820" s="1244">
        <f>'Prec Materia Prima y Empaq'!$H$7</f>
        <v>50000</v>
      </c>
      <c r="E820" s="1240">
        <v>0</v>
      </c>
      <c r="F820" s="1241">
        <f t="shared" si="298"/>
        <v>50000</v>
      </c>
      <c r="G820" s="1240">
        <f>F820/C820*H820</f>
        <v>32.022471910112351</v>
      </c>
      <c r="H820" s="1245">
        <v>0.64044943820224698</v>
      </c>
      <c r="I820" s="1245" t="s">
        <v>453</v>
      </c>
      <c r="K820" s="1242">
        <f t="shared" ref="K820" si="303">H820/$C$378</f>
        <v>1.6421780466724281E-3</v>
      </c>
      <c r="L820" s="1243">
        <f t="shared" si="301"/>
        <v>8.2108902333621406E-2</v>
      </c>
      <c r="N820" s="1220" t="s">
        <v>247</v>
      </c>
      <c r="O820" s="1247">
        <v>1</v>
      </c>
      <c r="P820" s="1240">
        <f>$F$391/$C$391*$O$391</f>
        <v>50</v>
      </c>
      <c r="Q820" s="1248"/>
      <c r="R820" s="1249" t="e">
        <f>P820/O809</f>
        <v>#DIV/0!</v>
      </c>
      <c r="S820" s="1248" t="e">
        <f>R820*1000</f>
        <v>#DIV/0!</v>
      </c>
      <c r="T820" s="1250">
        <f>O820/$O$380*1000</f>
        <v>2.5641025641025641E-3</v>
      </c>
      <c r="U820" s="1238">
        <f>T820*$M$380</f>
        <v>1</v>
      </c>
      <c r="Y820" s="1238"/>
      <c r="Z820" s="1238"/>
      <c r="AA820" s="1251"/>
      <c r="AC820" s="1252"/>
    </row>
    <row r="821" spans="1:29" ht="43.5" customHeight="1" x14ac:dyDescent="0.25">
      <c r="B821" s="1220" t="s">
        <v>451</v>
      </c>
      <c r="C821" s="1220">
        <v>1</v>
      </c>
      <c r="D821" s="1244">
        <f>'Prec Materia Prima y Empaq'!$H$126</f>
        <v>700</v>
      </c>
      <c r="E821" s="1240">
        <v>0</v>
      </c>
      <c r="F821" s="1241">
        <f t="shared" si="298"/>
        <v>700</v>
      </c>
      <c r="G821" s="1253">
        <f t="shared" ref="G821:G825" si="304">F821*H821</f>
        <v>294000</v>
      </c>
      <c r="H821" s="1245">
        <f>$C$12</f>
        <v>420</v>
      </c>
      <c r="I821" s="1245" t="s">
        <v>453</v>
      </c>
      <c r="K821" s="1242">
        <f t="shared" ref="K821:K825" si="305">H821/$C$807</f>
        <v>1</v>
      </c>
      <c r="L821" s="1243">
        <f t="shared" ref="L821:L825" si="306">F821/C821*K821</f>
        <v>700</v>
      </c>
    </row>
    <row r="822" spans="1:29" ht="15" customHeight="1" x14ac:dyDescent="0.25">
      <c r="B822" s="1220" t="s">
        <v>614</v>
      </c>
      <c r="C822" s="1220">
        <v>1</v>
      </c>
      <c r="D822" s="1244">
        <f>'Prec Materia Prima y Empaq'!$H$144</f>
        <v>70</v>
      </c>
      <c r="E822" s="1240">
        <v>0</v>
      </c>
      <c r="F822" s="1241">
        <f t="shared" si="298"/>
        <v>70</v>
      </c>
      <c r="G822" s="1253">
        <f t="shared" si="304"/>
        <v>29400</v>
      </c>
      <c r="H822" s="1245">
        <f t="shared" ref="H822:H825" si="307">$C$12</f>
        <v>420</v>
      </c>
      <c r="I822" s="1245" t="s">
        <v>453</v>
      </c>
      <c r="K822" s="1242">
        <f t="shared" si="305"/>
        <v>1</v>
      </c>
      <c r="L822" s="1243">
        <f t="shared" si="306"/>
        <v>70</v>
      </c>
    </row>
    <row r="823" spans="1:29" ht="15" customHeight="1" x14ac:dyDescent="0.25">
      <c r="B823" s="1245" t="s">
        <v>452</v>
      </c>
      <c r="C823" s="1245">
        <v>1</v>
      </c>
      <c r="D823" s="1244">
        <f>'Prec Materia Prima y Empaq'!$H$140</f>
        <v>120</v>
      </c>
      <c r="E823" s="1240">
        <v>0</v>
      </c>
      <c r="F823" s="1241">
        <f t="shared" si="298"/>
        <v>120</v>
      </c>
      <c r="G823" s="1253">
        <f t="shared" si="304"/>
        <v>50400</v>
      </c>
      <c r="H823" s="1245">
        <f t="shared" si="307"/>
        <v>420</v>
      </c>
      <c r="I823" s="1245" t="s">
        <v>453</v>
      </c>
      <c r="K823" s="1242">
        <f t="shared" si="305"/>
        <v>1</v>
      </c>
      <c r="L823" s="1243">
        <f t="shared" si="306"/>
        <v>120</v>
      </c>
    </row>
    <row r="824" spans="1:29" ht="15" customHeight="1" x14ac:dyDescent="0.25">
      <c r="B824" s="1254" t="s">
        <v>310</v>
      </c>
      <c r="C824" s="1245">
        <v>1</v>
      </c>
      <c r="D824" s="1244">
        <f>'Prec Materia Prima y Empaq'!$H$130</f>
        <v>100</v>
      </c>
      <c r="E824" s="1240">
        <v>0</v>
      </c>
      <c r="F824" s="1241">
        <f t="shared" si="298"/>
        <v>100</v>
      </c>
      <c r="G824" s="1253">
        <f t="shared" si="304"/>
        <v>42000</v>
      </c>
      <c r="H824" s="1245">
        <f t="shared" si="307"/>
        <v>420</v>
      </c>
      <c r="I824" s="1245" t="s">
        <v>453</v>
      </c>
      <c r="K824" s="1242">
        <f t="shared" si="305"/>
        <v>1</v>
      </c>
      <c r="L824" s="1243">
        <f t="shared" si="306"/>
        <v>100</v>
      </c>
    </row>
    <row r="825" spans="1:29" ht="16.5" customHeight="1" x14ac:dyDescent="0.25">
      <c r="B825" s="1245" t="s">
        <v>309</v>
      </c>
      <c r="C825" s="1245">
        <v>1</v>
      </c>
      <c r="D825" s="1244">
        <f>'Prec Materia Prima y Empaq'!$H$129</f>
        <v>800</v>
      </c>
      <c r="E825" s="1240">
        <v>0</v>
      </c>
      <c r="F825" s="1241">
        <f t="shared" si="298"/>
        <v>800</v>
      </c>
      <c r="G825" s="1253">
        <f t="shared" si="304"/>
        <v>336000</v>
      </c>
      <c r="H825" s="1245">
        <f t="shared" si="307"/>
        <v>420</v>
      </c>
      <c r="I825" s="1245" t="s">
        <v>453</v>
      </c>
      <c r="K825" s="1242">
        <f t="shared" si="305"/>
        <v>1</v>
      </c>
      <c r="L825" s="1243">
        <f t="shared" si="306"/>
        <v>800</v>
      </c>
    </row>
    <row r="826" spans="1:29" ht="19.5" customHeight="1" thickBot="1" x14ac:dyDescent="0.3">
      <c r="B826" s="1255"/>
      <c r="C826" s="857"/>
      <c r="D826" s="1256"/>
      <c r="E826" s="1248"/>
      <c r="F826" s="1257"/>
      <c r="G826" s="1258">
        <f>SUM(G813:G825)/C807</f>
        <v>2016.5143089300998</v>
      </c>
      <c r="H826" s="1259" t="s">
        <v>454</v>
      </c>
      <c r="I826" s="857"/>
      <c r="L826" s="1260">
        <f>SUM(L813:L825)</f>
        <v>2016.5201738516953</v>
      </c>
    </row>
    <row r="827" spans="1:29" ht="15" customHeight="1" thickTop="1" x14ac:dyDescent="0.25">
      <c r="B827" s="1261" t="s">
        <v>409</v>
      </c>
      <c r="C827" s="1262"/>
      <c r="D827" s="1263">
        <f>'Gtos Varios'!$B$22</f>
        <v>3070.542857142857</v>
      </c>
      <c r="E827" s="1262"/>
      <c r="F827" s="1264">
        <f t="shared" ref="F827" si="308">+E827+D827</f>
        <v>3070.542857142857</v>
      </c>
      <c r="G827" s="1265">
        <f>F827</f>
        <v>3070.542857142857</v>
      </c>
      <c r="H827" s="1262" t="str">
        <f>B827</f>
        <v xml:space="preserve">GASTOS VARIOS </v>
      </c>
      <c r="I827" s="1262"/>
    </row>
    <row r="828" spans="1:29" ht="15" customHeight="1" x14ac:dyDescent="0.25">
      <c r="B828" s="1255"/>
      <c r="C828" s="857"/>
      <c r="D828" s="1256"/>
      <c r="E828" s="1248"/>
      <c r="F828" s="1257"/>
      <c r="G828" s="1266"/>
      <c r="H828" s="857"/>
      <c r="I828" s="857"/>
    </row>
    <row r="829" spans="1:29" ht="15" customHeight="1" x14ac:dyDescent="0.25">
      <c r="B829" s="1255"/>
      <c r="C829" s="857"/>
      <c r="D829" s="1256"/>
      <c r="E829" s="1248"/>
      <c r="F829" s="1257"/>
      <c r="G829" s="1266"/>
      <c r="H829" s="857"/>
      <c r="I829" s="857"/>
    </row>
    <row r="830" spans="1:29" ht="15" customHeight="1" thickBot="1" x14ac:dyDescent="0.3">
      <c r="F830" s="1267">
        <f>SUM(F813:F825)</f>
        <v>253380.76</v>
      </c>
      <c r="G830" s="1268">
        <f>SUM(G826:G827)</f>
        <v>5087.0571660729565</v>
      </c>
      <c r="H830" s="733" t="s">
        <v>412</v>
      </c>
    </row>
    <row r="831" spans="1:29" ht="15" customHeight="1" thickTop="1" x14ac:dyDescent="0.25">
      <c r="G831" s="1257">
        <f>G830*57%</f>
        <v>2899.6225846615848</v>
      </c>
      <c r="H831" s="1274">
        <v>0.56999999999999995</v>
      </c>
      <c r="I831" s="733" t="s">
        <v>539</v>
      </c>
    </row>
    <row r="832" spans="1:29" ht="15" customHeight="1" thickBot="1" x14ac:dyDescent="0.3">
      <c r="G832" s="1270">
        <f>G830+G831</f>
        <v>7986.6797507345418</v>
      </c>
      <c r="H832" s="733" t="s">
        <v>414</v>
      </c>
    </row>
    <row r="833" spans="1:12" ht="15" customHeight="1" thickTop="1" x14ac:dyDescent="0.25"/>
    <row r="836" spans="1:12" ht="15" customHeight="1" x14ac:dyDescent="0.25">
      <c r="B836" s="1222" t="s">
        <v>61</v>
      </c>
      <c r="C836" s="1219" t="s">
        <v>132</v>
      </c>
      <c r="D836" s="733"/>
      <c r="E836" s="853"/>
      <c r="F836" s="853"/>
      <c r="G836" s="853"/>
      <c r="H836" s="853"/>
    </row>
    <row r="837" spans="1:12" ht="15" customHeight="1" x14ac:dyDescent="0.25">
      <c r="A837" s="1223" t="s">
        <v>718</v>
      </c>
      <c r="B837" s="1222" t="s">
        <v>62</v>
      </c>
      <c r="C837" s="1219" t="str">
        <f>VLOOKUP(C836,LISTPROD[],2,FALSE)</f>
        <v>GASTRIUL</v>
      </c>
      <c r="D837" s="1219" t="s">
        <v>486</v>
      </c>
      <c r="E837" s="856" t="s">
        <v>487</v>
      </c>
      <c r="F837" s="853"/>
      <c r="G837" s="853"/>
      <c r="H837" s="853"/>
    </row>
    <row r="838" spans="1:12" ht="15" customHeight="1" x14ac:dyDescent="0.25">
      <c r="B838" s="1222" t="s">
        <v>234</v>
      </c>
      <c r="C838" s="1219" t="str">
        <f>VLOOKUP(C836,LISTPROD[],9,FALSE)</f>
        <v>500 ML</v>
      </c>
      <c r="D838" s="733"/>
      <c r="E838" s="853"/>
      <c r="F838" s="853"/>
      <c r="G838" s="853"/>
      <c r="H838" s="853"/>
    </row>
    <row r="839" spans="1:12" ht="15" customHeight="1" x14ac:dyDescent="0.25">
      <c r="B839" s="1222" t="s">
        <v>239</v>
      </c>
      <c r="C839" s="1224">
        <v>420</v>
      </c>
      <c r="D839" s="1218"/>
      <c r="E839" s="853"/>
      <c r="F839" s="853"/>
      <c r="G839" s="853"/>
      <c r="H839" s="853"/>
    </row>
    <row r="840" spans="1:12" ht="15" customHeight="1" x14ac:dyDescent="0.25">
      <c r="B840" s="1222" t="s">
        <v>240</v>
      </c>
      <c r="C840" s="1219"/>
      <c r="D840" s="733"/>
    </row>
    <row r="841" spans="1:12" ht="15" customHeight="1" x14ac:dyDescent="0.25">
      <c r="B841" s="1222" t="s">
        <v>238</v>
      </c>
      <c r="C841" s="733" t="s">
        <v>56</v>
      </c>
      <c r="D841" s="1218" t="s">
        <v>449</v>
      </c>
    </row>
    <row r="842" spans="1:12" ht="15" customHeight="1" x14ac:dyDescent="0.25">
      <c r="B842" s="1225" t="s">
        <v>410</v>
      </c>
      <c r="C842" s="753">
        <v>500</v>
      </c>
      <c r="D842" s="1226"/>
    </row>
    <row r="843" spans="1:12" ht="15" customHeight="1" x14ac:dyDescent="0.25">
      <c r="A843" s="1227"/>
      <c r="B843" s="1436" t="s">
        <v>404</v>
      </c>
      <c r="C843" s="1436"/>
      <c r="D843" s="1436"/>
      <c r="E843" s="1436"/>
      <c r="F843" s="1436"/>
      <c r="G843" s="1228"/>
      <c r="H843" s="1437" t="s">
        <v>416</v>
      </c>
      <c r="I843" s="1438"/>
    </row>
    <row r="844" spans="1:12" ht="34.5" customHeight="1" x14ac:dyDescent="0.25">
      <c r="A844" s="1229"/>
      <c r="B844" s="1230" t="s">
        <v>398</v>
      </c>
      <c r="C844" s="1231" t="s">
        <v>441</v>
      </c>
      <c r="D844" s="1232" t="s">
        <v>399</v>
      </c>
      <c r="E844" s="1233" t="s">
        <v>402</v>
      </c>
      <c r="F844" s="1232" t="s">
        <v>399</v>
      </c>
      <c r="G844" s="1232" t="s">
        <v>411</v>
      </c>
      <c r="H844" s="1234" t="s">
        <v>408</v>
      </c>
      <c r="I844" s="1235" t="s">
        <v>415</v>
      </c>
      <c r="K844" s="1236" t="s">
        <v>603</v>
      </c>
      <c r="L844" s="1237" t="s">
        <v>604</v>
      </c>
    </row>
    <row r="845" spans="1:12" ht="15" customHeight="1" x14ac:dyDescent="0.25">
      <c r="A845" s="1238"/>
      <c r="B845" s="1228" t="s">
        <v>248</v>
      </c>
      <c r="C845" s="1228">
        <v>1000</v>
      </c>
      <c r="D845" s="1239">
        <f>'Prec Materia Prima y Empaq'!$H$21</f>
        <v>15400</v>
      </c>
      <c r="E845" s="1240">
        <f>D845*19%</f>
        <v>2926</v>
      </c>
      <c r="F845" s="1241">
        <f>+E845+D845</f>
        <v>18326</v>
      </c>
      <c r="G845" s="1240">
        <f>F845/C845*H845</f>
        <v>12828.2</v>
      </c>
      <c r="H845" s="1242">
        <v>700</v>
      </c>
      <c r="I845" s="1228" t="s">
        <v>450</v>
      </c>
      <c r="K845" s="1242">
        <f>H845/$C$839</f>
        <v>1.6666666666666667</v>
      </c>
      <c r="L845" s="1243">
        <f>F845/C845*K845</f>
        <v>30.543333333333337</v>
      </c>
    </row>
    <row r="846" spans="1:12" ht="15" customHeight="1" x14ac:dyDescent="0.25">
      <c r="A846" s="1238"/>
      <c r="B846" s="1228" t="s">
        <v>443</v>
      </c>
      <c r="C846" s="1228">
        <v>1000</v>
      </c>
      <c r="D846" s="1239">
        <f>'Prec Materia Prima y Empaq'!$H$11</f>
        <v>8000</v>
      </c>
      <c r="E846" s="1240">
        <f t="shared" ref="E846:E853" si="309">D846*19%</f>
        <v>1520</v>
      </c>
      <c r="F846" s="1241">
        <f t="shared" ref="F846:F860" si="310">+E846+D846</f>
        <v>9520</v>
      </c>
      <c r="G846" s="1240">
        <f t="shared" ref="G846:G851" si="311">F846/C846*H846</f>
        <v>5712</v>
      </c>
      <c r="H846" s="1242">
        <v>600</v>
      </c>
      <c r="I846" s="1228" t="s">
        <v>450</v>
      </c>
      <c r="K846" s="1242">
        <f t="shared" ref="K846:K860" si="312">H846/$C$839</f>
        <v>1.4285714285714286</v>
      </c>
      <c r="L846" s="1243">
        <f t="shared" ref="L846:L860" si="313">F846/C846*K846</f>
        <v>13.6</v>
      </c>
    </row>
    <row r="847" spans="1:12" ht="15" customHeight="1" x14ac:dyDescent="0.25">
      <c r="A847" s="1238"/>
      <c r="B847" s="1228" t="s">
        <v>253</v>
      </c>
      <c r="C847" s="1228">
        <v>1000</v>
      </c>
      <c r="D847" s="1239">
        <f>'Prec Materia Prima y Empaq'!$H$9</f>
        <v>5400</v>
      </c>
      <c r="E847" s="1240">
        <f t="shared" si="309"/>
        <v>1026</v>
      </c>
      <c r="F847" s="1241">
        <f t="shared" si="310"/>
        <v>6426</v>
      </c>
      <c r="G847" s="1240">
        <f t="shared" si="311"/>
        <v>3213</v>
      </c>
      <c r="H847" s="1242">
        <v>500</v>
      </c>
      <c r="I847" s="1228" t="s">
        <v>450</v>
      </c>
      <c r="K847" s="1242">
        <f t="shared" si="312"/>
        <v>1.1904761904761905</v>
      </c>
      <c r="L847" s="1243">
        <f t="shared" si="313"/>
        <v>7.65</v>
      </c>
    </row>
    <row r="848" spans="1:12" ht="15" customHeight="1" x14ac:dyDescent="0.25">
      <c r="A848" s="1238"/>
      <c r="B848" s="1294" t="s">
        <v>257</v>
      </c>
      <c r="C848" s="1228">
        <v>1000</v>
      </c>
      <c r="D848" s="1273">
        <f>'Prec Materia Prima y Empaq'!$H$51</f>
        <v>53393</v>
      </c>
      <c r="E848" s="1240">
        <f t="shared" si="309"/>
        <v>10144.67</v>
      </c>
      <c r="F848" s="1241">
        <f t="shared" si="310"/>
        <v>63537.67</v>
      </c>
      <c r="G848" s="1240">
        <f t="shared" si="311"/>
        <v>6353.7669999999998</v>
      </c>
      <c r="H848" s="1242">
        <v>100</v>
      </c>
      <c r="I848" s="1228" t="s">
        <v>450</v>
      </c>
      <c r="K848" s="1242">
        <f t="shared" si="312"/>
        <v>0.23809523809523808</v>
      </c>
      <c r="L848" s="1243">
        <f t="shared" si="313"/>
        <v>15.128016666666666</v>
      </c>
    </row>
    <row r="849" spans="1:29" ht="25.5" customHeight="1" x14ac:dyDescent="0.25">
      <c r="A849" s="1238"/>
      <c r="B849" s="1228" t="s">
        <v>256</v>
      </c>
      <c r="C849" s="1228">
        <v>1000</v>
      </c>
      <c r="D849" s="1273">
        <f>'Prec Materia Prima y Empaq'!$H$54</f>
        <v>142131</v>
      </c>
      <c r="E849" s="1240">
        <f t="shared" ref="E849" si="314">D849*19%</f>
        <v>27004.89</v>
      </c>
      <c r="F849" s="1241">
        <f t="shared" ref="F849" si="315">+E849+D849</f>
        <v>169135.89</v>
      </c>
      <c r="G849" s="1240">
        <f>F849/C849*H849</f>
        <v>1691.3589000000002</v>
      </c>
      <c r="H849" s="1242">
        <v>10</v>
      </c>
      <c r="I849" s="1228" t="s">
        <v>450</v>
      </c>
      <c r="K849" s="1242">
        <f t="shared" si="312"/>
        <v>2.3809523809523808E-2</v>
      </c>
      <c r="L849" s="1243">
        <f t="shared" si="313"/>
        <v>4.0270450000000002</v>
      </c>
    </row>
    <row r="850" spans="1:29" ht="15" customHeight="1" x14ac:dyDescent="0.25">
      <c r="A850" s="1238"/>
      <c r="B850" s="1228" t="s">
        <v>261</v>
      </c>
      <c r="C850" s="1228">
        <v>1000</v>
      </c>
      <c r="D850" s="1239">
        <f>'Prec Materia Prima y Empaq'!$H$12</f>
        <v>4700</v>
      </c>
      <c r="E850" s="1240">
        <f t="shared" si="309"/>
        <v>893</v>
      </c>
      <c r="F850" s="1241">
        <f t="shared" si="310"/>
        <v>5593</v>
      </c>
      <c r="G850" s="1240">
        <f t="shared" si="311"/>
        <v>1118.5999999999999</v>
      </c>
      <c r="H850" s="1242">
        <v>200</v>
      </c>
      <c r="I850" s="1228" t="s">
        <v>450</v>
      </c>
      <c r="K850" s="1242">
        <f t="shared" si="312"/>
        <v>0.47619047619047616</v>
      </c>
      <c r="L850" s="1243">
        <f t="shared" si="313"/>
        <v>2.6633333333333331</v>
      </c>
    </row>
    <row r="851" spans="1:29" ht="15" customHeight="1" x14ac:dyDescent="0.25">
      <c r="A851" s="1238"/>
      <c r="B851" s="1228" t="s">
        <v>246</v>
      </c>
      <c r="C851" s="1228">
        <v>1000</v>
      </c>
      <c r="D851" s="1239">
        <f>'Prec Materia Prima y Empaq'!$H$41</f>
        <v>80268</v>
      </c>
      <c r="E851" s="1240">
        <f t="shared" si="309"/>
        <v>15250.92</v>
      </c>
      <c r="F851" s="1241">
        <f t="shared" si="310"/>
        <v>95518.92</v>
      </c>
      <c r="G851" s="1240">
        <f t="shared" si="311"/>
        <v>19103.784</v>
      </c>
      <c r="H851" s="1242">
        <v>200</v>
      </c>
      <c r="I851" s="1228" t="s">
        <v>450</v>
      </c>
      <c r="K851" s="1242">
        <f t="shared" si="312"/>
        <v>0.47619047619047616</v>
      </c>
      <c r="L851" s="1243">
        <f t="shared" si="313"/>
        <v>45.485199999999992</v>
      </c>
    </row>
    <row r="852" spans="1:29" ht="15" customHeight="1" x14ac:dyDescent="0.25">
      <c r="A852" s="1238"/>
      <c r="B852" s="1228" t="s">
        <v>382</v>
      </c>
      <c r="C852" s="1228">
        <v>3785</v>
      </c>
      <c r="D852" s="1239">
        <f>'Prec Materia Prima y Empaq'!$H$18</f>
        <v>24</v>
      </c>
      <c r="E852" s="1240">
        <f t="shared" si="309"/>
        <v>4.5600000000000005</v>
      </c>
      <c r="F852" s="1241">
        <f t="shared" si="310"/>
        <v>28.560000000000002</v>
      </c>
      <c r="G852" s="1240">
        <f>F852/C852*H852</f>
        <v>0.37727873183619554</v>
      </c>
      <c r="H852" s="1242">
        <v>50</v>
      </c>
      <c r="I852" s="1228" t="s">
        <v>450</v>
      </c>
      <c r="K852" s="1242">
        <f t="shared" si="312"/>
        <v>0.11904761904761904</v>
      </c>
      <c r="L852" s="1243">
        <f t="shared" si="313"/>
        <v>8.9828269484808459E-4</v>
      </c>
    </row>
    <row r="853" spans="1:29" ht="15" customHeight="1" x14ac:dyDescent="0.25">
      <c r="A853" s="1238"/>
      <c r="B853" s="1228" t="s">
        <v>251</v>
      </c>
      <c r="C853" s="1228">
        <v>1000</v>
      </c>
      <c r="D853" s="1239">
        <f>'Prec Materia Prima y Empaq'!$H$26</f>
        <v>45404</v>
      </c>
      <c r="E853" s="1240">
        <f t="shared" si="309"/>
        <v>8626.76</v>
      </c>
      <c r="F853" s="1241">
        <f t="shared" si="310"/>
        <v>54030.76</v>
      </c>
      <c r="G853" s="1240">
        <f>F853/C853*H853</f>
        <v>8104.6140000000005</v>
      </c>
      <c r="H853" s="1242">
        <v>150</v>
      </c>
      <c r="I853" s="1228" t="s">
        <v>450</v>
      </c>
      <c r="K853" s="1242">
        <f t="shared" si="312"/>
        <v>0.35714285714285715</v>
      </c>
      <c r="L853" s="1243">
        <f t="shared" si="313"/>
        <v>19.296700000000001</v>
      </c>
    </row>
    <row r="854" spans="1:29" ht="31.5" customHeight="1" x14ac:dyDescent="0.25">
      <c r="B854" s="1220" t="s">
        <v>247</v>
      </c>
      <c r="C854" s="1228">
        <v>1000</v>
      </c>
      <c r="D854" s="1244">
        <f>'Prec Materia Prima y Empaq'!$H$7</f>
        <v>50000</v>
      </c>
      <c r="E854" s="1240">
        <v>0</v>
      </c>
      <c r="F854" s="1241">
        <f t="shared" si="310"/>
        <v>50000</v>
      </c>
      <c r="G854" s="1240">
        <f>F854/C854*H854</f>
        <v>32.022471910112351</v>
      </c>
      <c r="H854" s="1245">
        <v>0.64044943820224698</v>
      </c>
      <c r="I854" s="1245" t="s">
        <v>453</v>
      </c>
      <c r="K854" s="1242">
        <f t="shared" si="312"/>
        <v>1.5248796147672547E-3</v>
      </c>
      <c r="L854" s="1243">
        <f t="shared" si="313"/>
        <v>7.6243980738362735E-2</v>
      </c>
      <c r="N854" s="1220" t="s">
        <v>247</v>
      </c>
      <c r="O854" s="1247">
        <v>1</v>
      </c>
      <c r="P854" s="1240">
        <f>$F$391/$C$391*$O$391</f>
        <v>50</v>
      </c>
      <c r="Q854" s="1248"/>
      <c r="R854" s="1249" t="e">
        <f>P854/O843</f>
        <v>#DIV/0!</v>
      </c>
      <c r="S854" s="1248" t="e">
        <f>R854*1000</f>
        <v>#DIV/0!</v>
      </c>
      <c r="T854" s="1250">
        <f>O854/$O$380*1000</f>
        <v>2.5641025641025641E-3</v>
      </c>
      <c r="U854" s="1238">
        <f>T854*$M$380</f>
        <v>1</v>
      </c>
      <c r="Y854" s="1238"/>
      <c r="Z854" s="1238"/>
      <c r="AA854" s="1251"/>
      <c r="AC854" s="1252"/>
    </row>
    <row r="855" spans="1:29" ht="30.75" customHeight="1" x14ac:dyDescent="0.25">
      <c r="B855" s="1220" t="s">
        <v>485</v>
      </c>
      <c r="C855" s="1220">
        <v>1</v>
      </c>
      <c r="D855" s="1244">
        <f>'Prec Materia Prima y Empaq'!$H$138</f>
        <v>650</v>
      </c>
      <c r="E855" s="1240">
        <v>0</v>
      </c>
      <c r="F855" s="1241">
        <f t="shared" si="310"/>
        <v>650</v>
      </c>
      <c r="G855" s="1253">
        <f t="shared" ref="G855:G860" si="316">F855*H855</f>
        <v>273000</v>
      </c>
      <c r="H855" s="1245">
        <f>$C$839</f>
        <v>420</v>
      </c>
      <c r="I855" s="1245" t="s">
        <v>453</v>
      </c>
      <c r="K855" s="1242">
        <f t="shared" si="312"/>
        <v>1</v>
      </c>
      <c r="L855" s="1243">
        <f t="shared" si="313"/>
        <v>650</v>
      </c>
    </row>
    <row r="856" spans="1:29" ht="15" customHeight="1" x14ac:dyDescent="0.25">
      <c r="B856" s="1220" t="s">
        <v>614</v>
      </c>
      <c r="C856" s="1220">
        <v>1</v>
      </c>
      <c r="D856" s="1244">
        <f>'Prec Materia Prima y Empaq'!$H$144</f>
        <v>70</v>
      </c>
      <c r="E856" s="1240">
        <v>0</v>
      </c>
      <c r="F856" s="1241">
        <f t="shared" si="310"/>
        <v>70</v>
      </c>
      <c r="G856" s="1253">
        <f t="shared" si="316"/>
        <v>29400</v>
      </c>
      <c r="H856" s="1245">
        <f t="shared" ref="H856:H860" si="317">$C$839</f>
        <v>420</v>
      </c>
      <c r="I856" s="1245" t="s">
        <v>453</v>
      </c>
      <c r="K856" s="1242">
        <f t="shared" si="312"/>
        <v>1</v>
      </c>
      <c r="L856" s="1243">
        <f t="shared" si="313"/>
        <v>70</v>
      </c>
    </row>
    <row r="857" spans="1:29" ht="49.5" customHeight="1" x14ac:dyDescent="0.25">
      <c r="B857" s="1220" t="s">
        <v>695</v>
      </c>
      <c r="C857" s="1245">
        <v>1</v>
      </c>
      <c r="D857" s="1272">
        <f>'Prec Materia Prima y Empaq'!$H$161</f>
        <v>300</v>
      </c>
      <c r="E857" s="1240">
        <v>0</v>
      </c>
      <c r="F857" s="1241">
        <f t="shared" si="310"/>
        <v>300</v>
      </c>
      <c r="G857" s="1253">
        <f t="shared" si="316"/>
        <v>126000</v>
      </c>
      <c r="H857" s="1245">
        <f t="shared" si="317"/>
        <v>420</v>
      </c>
      <c r="I857" s="1245" t="s">
        <v>453</v>
      </c>
      <c r="K857" s="1242">
        <f t="shared" si="312"/>
        <v>1</v>
      </c>
      <c r="L857" s="1243">
        <f t="shared" si="313"/>
        <v>300</v>
      </c>
    </row>
    <row r="858" spans="1:29" ht="23.25" customHeight="1" x14ac:dyDescent="0.25">
      <c r="B858" s="1279" t="s">
        <v>675</v>
      </c>
      <c r="C858" s="1245">
        <v>1</v>
      </c>
      <c r="D858" s="1272">
        <f>'Prec Materia Prima y Empaq'!$H$162</f>
        <v>100</v>
      </c>
      <c r="E858" s="1240">
        <v>0</v>
      </c>
      <c r="F858" s="1241">
        <f t="shared" si="310"/>
        <v>100</v>
      </c>
      <c r="G858" s="1253">
        <f t="shared" si="316"/>
        <v>42000</v>
      </c>
      <c r="H858" s="1245">
        <f t="shared" si="317"/>
        <v>420</v>
      </c>
      <c r="I858" s="1245" t="s">
        <v>453</v>
      </c>
      <c r="K858" s="1242">
        <f t="shared" si="312"/>
        <v>1</v>
      </c>
      <c r="L858" s="1243">
        <f t="shared" si="313"/>
        <v>100</v>
      </c>
    </row>
    <row r="859" spans="1:29" ht="15" customHeight="1" x14ac:dyDescent="0.25">
      <c r="B859" s="1220" t="s">
        <v>310</v>
      </c>
      <c r="C859" s="1245">
        <v>1</v>
      </c>
      <c r="D859" s="1272">
        <f>'Prec Materia Prima y Empaq'!$H$130</f>
        <v>100</v>
      </c>
      <c r="E859" s="1240">
        <v>0</v>
      </c>
      <c r="F859" s="1241">
        <f t="shared" si="310"/>
        <v>100</v>
      </c>
      <c r="G859" s="1253">
        <f t="shared" si="316"/>
        <v>42000</v>
      </c>
      <c r="H859" s="1245">
        <f t="shared" si="317"/>
        <v>420</v>
      </c>
      <c r="I859" s="1245" t="s">
        <v>453</v>
      </c>
      <c r="K859" s="1242">
        <f t="shared" si="312"/>
        <v>1</v>
      </c>
      <c r="L859" s="1243">
        <f t="shared" si="313"/>
        <v>100</v>
      </c>
    </row>
    <row r="860" spans="1:29" ht="15" customHeight="1" x14ac:dyDescent="0.25">
      <c r="B860" s="1245" t="s">
        <v>309</v>
      </c>
      <c r="C860" s="1245">
        <v>1</v>
      </c>
      <c r="D860" s="1272">
        <f>'Prec Materia Prima y Empaq'!$H$129</f>
        <v>800</v>
      </c>
      <c r="E860" s="1240">
        <v>0</v>
      </c>
      <c r="F860" s="1241">
        <f t="shared" si="310"/>
        <v>800</v>
      </c>
      <c r="G860" s="1253">
        <f t="shared" si="316"/>
        <v>336000</v>
      </c>
      <c r="H860" s="1245">
        <f t="shared" si="317"/>
        <v>420</v>
      </c>
      <c r="I860" s="1245" t="s">
        <v>453</v>
      </c>
      <c r="K860" s="1242">
        <f t="shared" si="312"/>
        <v>1</v>
      </c>
      <c r="L860" s="1243">
        <f t="shared" si="313"/>
        <v>800</v>
      </c>
    </row>
    <row r="861" spans="1:29" ht="19.5" customHeight="1" thickBot="1" x14ac:dyDescent="0.3">
      <c r="B861" s="1255"/>
      <c r="C861" s="857"/>
      <c r="D861" s="1256"/>
      <c r="E861" s="1248"/>
      <c r="F861" s="1257"/>
      <c r="G861" s="1258">
        <f>SUM(G845:G860)/C839</f>
        <v>2158.4707705967667</v>
      </c>
      <c r="H861" s="1259" t="s">
        <v>454</v>
      </c>
      <c r="I861" s="857"/>
      <c r="L861" s="1260">
        <f>SUM(L845:L860)</f>
        <v>2158.4707705967667</v>
      </c>
    </row>
    <row r="862" spans="1:29" ht="15" customHeight="1" thickTop="1" x14ac:dyDescent="0.25">
      <c r="B862" s="1261" t="s">
        <v>409</v>
      </c>
      <c r="C862" s="1262"/>
      <c r="D862" s="1263">
        <f>'Gtos Varios'!$B$22</f>
        <v>3070.542857142857</v>
      </c>
      <c r="E862" s="1262"/>
      <c r="F862" s="1264">
        <f t="shared" ref="F862" si="318">+E862+D862</f>
        <v>3070.542857142857</v>
      </c>
      <c r="G862" s="1265">
        <f>F862</f>
        <v>3070.542857142857</v>
      </c>
      <c r="H862" s="1262" t="str">
        <f>B862</f>
        <v xml:space="preserve">GASTOS VARIOS </v>
      </c>
      <c r="I862" s="857"/>
    </row>
    <row r="863" spans="1:29" ht="15" customHeight="1" x14ac:dyDescent="0.25">
      <c r="B863" s="1255"/>
      <c r="C863" s="857"/>
      <c r="D863" s="1256"/>
      <c r="E863" s="1248"/>
      <c r="F863" s="1257"/>
      <c r="G863" s="1266"/>
      <c r="H863" s="857"/>
      <c r="I863" s="857"/>
    </row>
    <row r="864" spans="1:29" ht="15" customHeight="1" x14ac:dyDescent="0.25">
      <c r="B864" s="1255"/>
      <c r="C864" s="857"/>
      <c r="D864" s="1256"/>
      <c r="E864" s="1248"/>
      <c r="F864" s="1257"/>
      <c r="G864" s="1266"/>
      <c r="H864" s="857"/>
      <c r="I864" s="857"/>
    </row>
    <row r="865" spans="1:12" ht="15" customHeight="1" thickBot="1" x14ac:dyDescent="0.3">
      <c r="F865" s="1267">
        <f>SUM(F845:F859)</f>
        <v>473336.8</v>
      </c>
      <c r="G865" s="1268">
        <f>SUM(G861:G862)</f>
        <v>5229.0136277396232</v>
      </c>
      <c r="H865" s="733" t="s">
        <v>412</v>
      </c>
    </row>
    <row r="866" spans="1:12" ht="15" customHeight="1" thickTop="1" x14ac:dyDescent="0.25">
      <c r="G866" s="1257">
        <f>G865*58%</f>
        <v>3032.8279040889811</v>
      </c>
      <c r="H866" s="1274">
        <v>0.57999999999999996</v>
      </c>
      <c r="I866" s="733" t="s">
        <v>539</v>
      </c>
    </row>
    <row r="867" spans="1:12" ht="15" customHeight="1" thickBot="1" x14ac:dyDescent="0.3">
      <c r="G867" s="1270">
        <f>G865+G866</f>
        <v>8261.8415318286043</v>
      </c>
      <c r="H867" s="733" t="s">
        <v>414</v>
      </c>
    </row>
    <row r="868" spans="1:12" ht="15" customHeight="1" thickTop="1" x14ac:dyDescent="0.25"/>
    <row r="872" spans="1:12" ht="15" customHeight="1" x14ac:dyDescent="0.25">
      <c r="B872" s="1222" t="s">
        <v>61</v>
      </c>
      <c r="C872" s="1219" t="s">
        <v>134</v>
      </c>
      <c r="D872" s="733"/>
      <c r="E872" s="853"/>
      <c r="F872" s="853"/>
      <c r="G872" s="853"/>
      <c r="H872" s="853"/>
    </row>
    <row r="873" spans="1:12" ht="15" customHeight="1" x14ac:dyDescent="0.25">
      <c r="A873" s="1223" t="s">
        <v>718</v>
      </c>
      <c r="B873" s="1222" t="s">
        <v>62</v>
      </c>
      <c r="C873" s="1219" t="str">
        <f>VLOOKUP(C872,LISTPROD[],2,FALSE)</f>
        <v>GASTROBELL</v>
      </c>
      <c r="D873" s="733" t="s">
        <v>486</v>
      </c>
      <c r="E873" s="857" t="s">
        <v>491</v>
      </c>
      <c r="F873" s="853"/>
      <c r="G873" s="853"/>
      <c r="H873" s="853"/>
    </row>
    <row r="874" spans="1:12" ht="15" customHeight="1" x14ac:dyDescent="0.25">
      <c r="B874" s="1222" t="s">
        <v>234</v>
      </c>
      <c r="C874" s="1219" t="str">
        <f>VLOOKUP(C872,LISTPROD[],9,FALSE)</f>
        <v>500 ML</v>
      </c>
      <c r="D874" s="733"/>
      <c r="E874" s="853"/>
      <c r="F874" s="853"/>
      <c r="G874" s="853"/>
      <c r="H874" s="853"/>
    </row>
    <row r="875" spans="1:12" ht="15" customHeight="1" x14ac:dyDescent="0.25">
      <c r="B875" s="1222" t="s">
        <v>239</v>
      </c>
      <c r="C875" s="1296">
        <v>420</v>
      </c>
      <c r="D875" s="1218"/>
      <c r="E875" s="853"/>
      <c r="F875" s="853"/>
      <c r="G875" s="853"/>
      <c r="H875" s="853"/>
    </row>
    <row r="876" spans="1:12" ht="15" customHeight="1" x14ac:dyDescent="0.25">
      <c r="B876" s="1222" t="s">
        <v>240</v>
      </c>
      <c r="C876" s="1219"/>
      <c r="D876" s="733"/>
    </row>
    <row r="877" spans="1:12" ht="15" customHeight="1" x14ac:dyDescent="0.25">
      <c r="B877" s="1222" t="s">
        <v>238</v>
      </c>
      <c r="C877" s="733" t="s">
        <v>56</v>
      </c>
      <c r="D877" s="1218" t="s">
        <v>449</v>
      </c>
    </row>
    <row r="878" spans="1:12" ht="15" customHeight="1" x14ac:dyDescent="0.25">
      <c r="B878" s="1225" t="s">
        <v>410</v>
      </c>
      <c r="C878" s="753">
        <v>500</v>
      </c>
      <c r="D878" s="1226"/>
    </row>
    <row r="879" spans="1:12" ht="15" customHeight="1" x14ac:dyDescent="0.25">
      <c r="A879" s="1227"/>
      <c r="B879" s="1436" t="s">
        <v>404</v>
      </c>
      <c r="C879" s="1436"/>
      <c r="D879" s="1436"/>
      <c r="E879" s="1436"/>
      <c r="F879" s="1436"/>
      <c r="G879" s="1228"/>
      <c r="H879" s="1437" t="s">
        <v>416</v>
      </c>
      <c r="I879" s="1438"/>
    </row>
    <row r="880" spans="1:12" ht="34.5" customHeight="1" x14ac:dyDescent="0.25">
      <c r="A880" s="1229"/>
      <c r="B880" s="1230" t="s">
        <v>398</v>
      </c>
      <c r="C880" s="1231" t="s">
        <v>441</v>
      </c>
      <c r="D880" s="1232" t="s">
        <v>399</v>
      </c>
      <c r="E880" s="1233" t="s">
        <v>402</v>
      </c>
      <c r="F880" s="1232" t="s">
        <v>399</v>
      </c>
      <c r="G880" s="1232" t="s">
        <v>411</v>
      </c>
      <c r="H880" s="1234" t="s">
        <v>408</v>
      </c>
      <c r="I880" s="1235" t="s">
        <v>415</v>
      </c>
      <c r="K880" s="1236" t="s">
        <v>603</v>
      </c>
      <c r="L880" s="1237" t="s">
        <v>604</v>
      </c>
    </row>
    <row r="881" spans="1:29" ht="15" customHeight="1" x14ac:dyDescent="0.25">
      <c r="A881" s="1238"/>
      <c r="B881" s="1228" t="s">
        <v>248</v>
      </c>
      <c r="C881" s="1228">
        <v>1000</v>
      </c>
      <c r="D881" s="1239">
        <f>'Prec Materia Prima y Empaq'!$H$21</f>
        <v>15400</v>
      </c>
      <c r="E881" s="1240">
        <f>D881*19%</f>
        <v>2926</v>
      </c>
      <c r="F881" s="1241">
        <f>+E881+D881</f>
        <v>18326</v>
      </c>
      <c r="G881" s="1240">
        <f>F881/C881*H881</f>
        <v>16493.400000000001</v>
      </c>
      <c r="H881" s="1242">
        <v>900</v>
      </c>
      <c r="I881" s="1228" t="s">
        <v>450</v>
      </c>
      <c r="K881" s="1242">
        <f>H881/$C$875</f>
        <v>2.1428571428571428</v>
      </c>
      <c r="L881" s="1243">
        <f>F881/C881*K881</f>
        <v>39.270000000000003</v>
      </c>
    </row>
    <row r="882" spans="1:29" ht="15" customHeight="1" x14ac:dyDescent="0.25">
      <c r="A882" s="1238"/>
      <c r="B882" s="1228" t="s">
        <v>443</v>
      </c>
      <c r="C882" s="1228">
        <v>1000</v>
      </c>
      <c r="D882" s="1239">
        <f>'Prec Materia Prima y Empaq'!$H$11</f>
        <v>8000</v>
      </c>
      <c r="E882" s="1240">
        <f t="shared" ref="E882:E888" si="319">D882*19%</f>
        <v>1520</v>
      </c>
      <c r="F882" s="1241">
        <f t="shared" ref="F882:F889" si="320">+E882+D882</f>
        <v>9520</v>
      </c>
      <c r="G882" s="1240">
        <f t="shared" ref="G882:G886" si="321">F882/C882*H882</f>
        <v>5712</v>
      </c>
      <c r="H882" s="1242">
        <v>600</v>
      </c>
      <c r="I882" s="1228" t="s">
        <v>450</v>
      </c>
      <c r="K882" s="1242">
        <f t="shared" ref="K882:K895" si="322">H882/$C$875</f>
        <v>1.4285714285714286</v>
      </c>
      <c r="L882" s="1243">
        <f t="shared" ref="L882:L895" si="323">F882/C882*K882</f>
        <v>13.6</v>
      </c>
    </row>
    <row r="883" spans="1:29" ht="15" customHeight="1" x14ac:dyDescent="0.25">
      <c r="A883" s="1238"/>
      <c r="B883" s="1228" t="s">
        <v>253</v>
      </c>
      <c r="C883" s="1228">
        <v>1000</v>
      </c>
      <c r="D883" s="1239">
        <f>'Prec Materia Prima y Empaq'!$H$9</f>
        <v>5400</v>
      </c>
      <c r="E883" s="1240">
        <f t="shared" si="319"/>
        <v>1026</v>
      </c>
      <c r="F883" s="1241">
        <f t="shared" si="320"/>
        <v>6426</v>
      </c>
      <c r="G883" s="1240">
        <f t="shared" si="321"/>
        <v>6426</v>
      </c>
      <c r="H883" s="1242">
        <v>1000</v>
      </c>
      <c r="I883" s="1228" t="s">
        <v>450</v>
      </c>
      <c r="K883" s="1242">
        <f t="shared" si="322"/>
        <v>2.3809523809523809</v>
      </c>
      <c r="L883" s="1243">
        <f t="shared" si="323"/>
        <v>15.3</v>
      </c>
    </row>
    <row r="884" spans="1:29" ht="15" customHeight="1" x14ac:dyDescent="0.25">
      <c r="A884" s="1238"/>
      <c r="B884" s="1294" t="s">
        <v>257</v>
      </c>
      <c r="C884" s="1228">
        <v>1000</v>
      </c>
      <c r="D884" s="1273">
        <f>'Prec Materia Prima y Empaq'!$H$51</f>
        <v>53393</v>
      </c>
      <c r="E884" s="1240">
        <f t="shared" si="319"/>
        <v>10144.67</v>
      </c>
      <c r="F884" s="1241">
        <f t="shared" si="320"/>
        <v>63537.67</v>
      </c>
      <c r="G884" s="1240">
        <f t="shared" si="321"/>
        <v>6353.7669999999998</v>
      </c>
      <c r="H884" s="1242">
        <v>100</v>
      </c>
      <c r="I884" s="1228" t="s">
        <v>450</v>
      </c>
      <c r="K884" s="1242">
        <f t="shared" si="322"/>
        <v>0.23809523809523808</v>
      </c>
      <c r="L884" s="1243">
        <f t="shared" si="323"/>
        <v>15.128016666666666</v>
      </c>
    </row>
    <row r="885" spans="1:29" ht="15" customHeight="1" x14ac:dyDescent="0.25">
      <c r="A885" s="1238"/>
      <c r="B885" s="1228" t="s">
        <v>261</v>
      </c>
      <c r="C885" s="1228">
        <v>1000</v>
      </c>
      <c r="D885" s="1239">
        <f>'Prec Materia Prima y Empaq'!$H$12</f>
        <v>4700</v>
      </c>
      <c r="E885" s="1240">
        <f t="shared" si="319"/>
        <v>893</v>
      </c>
      <c r="F885" s="1241">
        <f t="shared" si="320"/>
        <v>5593</v>
      </c>
      <c r="G885" s="1240">
        <f t="shared" si="321"/>
        <v>1118.5999999999999</v>
      </c>
      <c r="H885" s="1242">
        <v>200</v>
      </c>
      <c r="I885" s="1228" t="s">
        <v>450</v>
      </c>
      <c r="K885" s="1242">
        <f t="shared" si="322"/>
        <v>0.47619047619047616</v>
      </c>
      <c r="L885" s="1243">
        <f t="shared" si="323"/>
        <v>2.6633333333333331</v>
      </c>
    </row>
    <row r="886" spans="1:29" ht="15" customHeight="1" x14ac:dyDescent="0.25">
      <c r="A886" s="1238"/>
      <c r="B886" s="1228" t="s">
        <v>246</v>
      </c>
      <c r="C886" s="1228">
        <v>1000</v>
      </c>
      <c r="D886" s="1239">
        <f>'Prec Materia Prima y Empaq'!$H$41</f>
        <v>80268</v>
      </c>
      <c r="E886" s="1240">
        <f t="shared" si="319"/>
        <v>15250.92</v>
      </c>
      <c r="F886" s="1241">
        <f t="shared" si="320"/>
        <v>95518.92</v>
      </c>
      <c r="G886" s="1240">
        <f t="shared" si="321"/>
        <v>1910.3783999999998</v>
      </c>
      <c r="H886" s="1242">
        <v>20</v>
      </c>
      <c r="I886" s="1228" t="s">
        <v>450</v>
      </c>
      <c r="K886" s="1242">
        <f t="shared" si="322"/>
        <v>4.7619047619047616E-2</v>
      </c>
      <c r="L886" s="1243">
        <f t="shared" si="323"/>
        <v>4.5485199999999999</v>
      </c>
    </row>
    <row r="887" spans="1:29" ht="15" customHeight="1" x14ac:dyDescent="0.25">
      <c r="A887" s="1238"/>
      <c r="B887" s="1228" t="s">
        <v>382</v>
      </c>
      <c r="C887" s="1228">
        <v>3785</v>
      </c>
      <c r="D887" s="1239">
        <f>'Prec Materia Prima y Empaq'!$H$18</f>
        <v>24</v>
      </c>
      <c r="E887" s="1240">
        <f t="shared" si="319"/>
        <v>4.5600000000000005</v>
      </c>
      <c r="F887" s="1241">
        <f t="shared" si="320"/>
        <v>28.560000000000002</v>
      </c>
      <c r="G887" s="1240">
        <f>F887/C887*H887</f>
        <v>0.37727873183619554</v>
      </c>
      <c r="H887" s="1242">
        <v>50</v>
      </c>
      <c r="I887" s="1228" t="s">
        <v>450</v>
      </c>
      <c r="K887" s="1242">
        <f t="shared" si="322"/>
        <v>0.11904761904761904</v>
      </c>
      <c r="L887" s="1243">
        <f t="shared" si="323"/>
        <v>8.9828269484808459E-4</v>
      </c>
    </row>
    <row r="888" spans="1:29" ht="15" customHeight="1" x14ac:dyDescent="0.25">
      <c r="A888" s="1238"/>
      <c r="B888" s="1228" t="s">
        <v>251</v>
      </c>
      <c r="C888" s="1228">
        <v>1000</v>
      </c>
      <c r="D888" s="1239">
        <f>'Prec Materia Prima y Empaq'!$H$26</f>
        <v>45404</v>
      </c>
      <c r="E888" s="1240">
        <f t="shared" si="319"/>
        <v>8626.76</v>
      </c>
      <c r="F888" s="1241">
        <f t="shared" si="320"/>
        <v>54030.76</v>
      </c>
      <c r="G888" s="1240">
        <f>F888/C888*H888</f>
        <v>8104.6140000000005</v>
      </c>
      <c r="H888" s="1242">
        <v>150</v>
      </c>
      <c r="I888" s="1228" t="s">
        <v>450</v>
      </c>
      <c r="K888" s="1242">
        <f t="shared" si="322"/>
        <v>0.35714285714285715</v>
      </c>
      <c r="L888" s="1243">
        <f t="shared" si="323"/>
        <v>19.296700000000001</v>
      </c>
    </row>
    <row r="889" spans="1:29" ht="31.5" customHeight="1" x14ac:dyDescent="0.25">
      <c r="B889" s="1220" t="s">
        <v>247</v>
      </c>
      <c r="C889" s="1228">
        <v>1000</v>
      </c>
      <c r="D889" s="1244">
        <f>'Prec Materia Prima y Empaq'!$H$7</f>
        <v>50000</v>
      </c>
      <c r="E889" s="1240">
        <v>0</v>
      </c>
      <c r="F889" s="1241">
        <f t="shared" si="320"/>
        <v>50000</v>
      </c>
      <c r="G889" s="1240">
        <f>F889/C889*H889</f>
        <v>32.022471910112351</v>
      </c>
      <c r="H889" s="1245">
        <v>0.64044943820224698</v>
      </c>
      <c r="I889" s="1245" t="s">
        <v>453</v>
      </c>
      <c r="K889" s="1242">
        <f t="shared" ref="K889" si="324">H889/$C$378</f>
        <v>1.6421780466724281E-3</v>
      </c>
      <c r="L889" s="1243">
        <f t="shared" si="323"/>
        <v>8.2108902333621406E-2</v>
      </c>
      <c r="N889" s="1220" t="s">
        <v>247</v>
      </c>
      <c r="O889" s="1247">
        <v>1</v>
      </c>
      <c r="P889" s="1240">
        <f>$F$391/$C$391*$O$391</f>
        <v>50</v>
      </c>
      <c r="Q889" s="1248"/>
      <c r="R889" s="1249" t="e">
        <f>P889/O878</f>
        <v>#DIV/0!</v>
      </c>
      <c r="S889" s="1248" t="e">
        <f>R889*1000</f>
        <v>#DIV/0!</v>
      </c>
      <c r="T889" s="1250">
        <f>O889/$O$380*1000</f>
        <v>2.5641025641025641E-3</v>
      </c>
      <c r="U889" s="1238">
        <f>T889*$M$380</f>
        <v>1</v>
      </c>
      <c r="Y889" s="1238"/>
      <c r="Z889" s="1238"/>
      <c r="AA889" s="1251"/>
      <c r="AC889" s="1252"/>
    </row>
    <row r="890" spans="1:29" ht="15" customHeight="1" x14ac:dyDescent="0.25">
      <c r="A890" s="1238"/>
      <c r="B890" s="1220" t="s">
        <v>490</v>
      </c>
      <c r="C890" s="1220">
        <v>1</v>
      </c>
      <c r="D890" s="1244">
        <f>'Preci Comp Prod'!$N$21</f>
        <v>650</v>
      </c>
      <c r="E890" s="1240">
        <v>0</v>
      </c>
      <c r="F890" s="1241">
        <f>+E890+D890</f>
        <v>650</v>
      </c>
      <c r="G890" s="1253">
        <f t="shared" ref="G890:G895" si="325">F890*H890</f>
        <v>273000</v>
      </c>
      <c r="H890" s="1245">
        <f>$C$875</f>
        <v>420</v>
      </c>
      <c r="I890" s="1245" t="s">
        <v>453</v>
      </c>
      <c r="K890" s="1242">
        <f t="shared" si="322"/>
        <v>1</v>
      </c>
      <c r="L890" s="1243">
        <f t="shared" si="323"/>
        <v>650</v>
      </c>
    </row>
    <row r="891" spans="1:29" ht="15" customHeight="1" x14ac:dyDescent="0.25">
      <c r="A891" s="1238"/>
      <c r="B891" s="1220" t="s">
        <v>614</v>
      </c>
      <c r="C891" s="1220">
        <v>1</v>
      </c>
      <c r="D891" s="1244">
        <f>'Prec Materia Prima y Empaq'!$H$144</f>
        <v>70</v>
      </c>
      <c r="E891" s="1240">
        <v>0</v>
      </c>
      <c r="F891" s="1241">
        <f t="shared" ref="F891:F895" si="326">+E891+D891</f>
        <v>70</v>
      </c>
      <c r="G891" s="1253">
        <f t="shared" si="325"/>
        <v>29400</v>
      </c>
      <c r="H891" s="1245">
        <f t="shared" ref="H891:H895" si="327">$C$875</f>
        <v>420</v>
      </c>
      <c r="I891" s="1245" t="s">
        <v>453</v>
      </c>
      <c r="K891" s="1242">
        <f t="shared" si="322"/>
        <v>1</v>
      </c>
      <c r="L891" s="1243">
        <f t="shared" si="323"/>
        <v>70</v>
      </c>
    </row>
    <row r="892" spans="1:29" ht="48.75" customHeight="1" x14ac:dyDescent="0.25">
      <c r="B892" s="1220" t="s">
        <v>695</v>
      </c>
      <c r="C892" s="1245">
        <v>1</v>
      </c>
      <c r="D892" s="1272">
        <f>'Prec Materia Prima y Empaq'!$H$161</f>
        <v>300</v>
      </c>
      <c r="E892" s="1240">
        <v>0</v>
      </c>
      <c r="F892" s="1241">
        <f t="shared" si="326"/>
        <v>300</v>
      </c>
      <c r="G892" s="1253">
        <f t="shared" si="325"/>
        <v>126000</v>
      </c>
      <c r="H892" s="1245">
        <f t="shared" si="327"/>
        <v>420</v>
      </c>
      <c r="I892" s="1245" t="s">
        <v>453</v>
      </c>
      <c r="K892" s="1242">
        <f t="shared" si="322"/>
        <v>1</v>
      </c>
      <c r="L892" s="1243">
        <f t="shared" si="323"/>
        <v>300</v>
      </c>
    </row>
    <row r="893" spans="1:29" ht="15" customHeight="1" x14ac:dyDescent="0.25">
      <c r="B893" s="1228" t="s">
        <v>452</v>
      </c>
      <c r="C893" s="1245">
        <v>1</v>
      </c>
      <c r="D893" s="1244">
        <f>'Prec Materia Prima y Empaq'!$H$140</f>
        <v>120</v>
      </c>
      <c r="E893" s="1240">
        <v>0</v>
      </c>
      <c r="F893" s="1241">
        <f t="shared" si="326"/>
        <v>120</v>
      </c>
      <c r="G893" s="1253">
        <f t="shared" si="325"/>
        <v>50400</v>
      </c>
      <c r="H893" s="1245">
        <f t="shared" si="327"/>
        <v>420</v>
      </c>
      <c r="I893" s="1245" t="s">
        <v>453</v>
      </c>
      <c r="K893" s="1242">
        <f t="shared" si="322"/>
        <v>1</v>
      </c>
      <c r="L893" s="1243">
        <f t="shared" si="323"/>
        <v>120</v>
      </c>
    </row>
    <row r="894" spans="1:29" ht="15" customHeight="1" x14ac:dyDescent="0.25">
      <c r="B894" s="1254" t="s">
        <v>310</v>
      </c>
      <c r="C894" s="1245">
        <v>1</v>
      </c>
      <c r="D894" s="1244">
        <f>'Prec Materia Prima y Empaq'!$H$130</f>
        <v>100</v>
      </c>
      <c r="E894" s="1240">
        <v>0</v>
      </c>
      <c r="F894" s="1241">
        <f t="shared" si="326"/>
        <v>100</v>
      </c>
      <c r="G894" s="1253">
        <f t="shared" si="325"/>
        <v>42000</v>
      </c>
      <c r="H894" s="1245">
        <f t="shared" si="327"/>
        <v>420</v>
      </c>
      <c r="I894" s="1245" t="s">
        <v>453</v>
      </c>
      <c r="K894" s="1242">
        <f t="shared" si="322"/>
        <v>1</v>
      </c>
      <c r="L894" s="1243">
        <f t="shared" si="323"/>
        <v>100</v>
      </c>
    </row>
    <row r="895" spans="1:29" ht="15" customHeight="1" x14ac:dyDescent="0.25">
      <c r="B895" s="1228" t="s">
        <v>309</v>
      </c>
      <c r="C895" s="1245">
        <v>1</v>
      </c>
      <c r="D895" s="1244">
        <f>'Prec Materia Prima y Empaq'!$H$129</f>
        <v>800</v>
      </c>
      <c r="E895" s="1240">
        <v>0</v>
      </c>
      <c r="F895" s="1241">
        <f t="shared" si="326"/>
        <v>800</v>
      </c>
      <c r="G895" s="1253">
        <f t="shared" si="325"/>
        <v>336000</v>
      </c>
      <c r="H895" s="1245">
        <f t="shared" si="327"/>
        <v>420</v>
      </c>
      <c r="I895" s="1245" t="s">
        <v>453</v>
      </c>
      <c r="K895" s="1242">
        <f t="shared" si="322"/>
        <v>1</v>
      </c>
      <c r="L895" s="1243">
        <f t="shared" si="323"/>
        <v>800</v>
      </c>
    </row>
    <row r="896" spans="1:29" ht="19.5" customHeight="1" thickBot="1" x14ac:dyDescent="0.3">
      <c r="B896" s="1255"/>
      <c r="C896" s="857"/>
      <c r="D896" s="1256"/>
      <c r="E896" s="1248"/>
      <c r="F896" s="1257"/>
      <c r="G896" s="1258">
        <f>SUM(G881:G895)/C875</f>
        <v>2149.8837122634332</v>
      </c>
      <c r="H896" s="1259" t="s">
        <v>454</v>
      </c>
      <c r="I896" s="857"/>
      <c r="L896" s="1260">
        <f>SUM(L881:L895)</f>
        <v>2149.8895771850284</v>
      </c>
    </row>
    <row r="897" spans="1:9" ht="15" customHeight="1" thickTop="1" x14ac:dyDescent="0.25">
      <c r="B897" s="1261" t="s">
        <v>409</v>
      </c>
      <c r="C897" s="1262"/>
      <c r="D897" s="1263">
        <f>'Gtos Varios'!$B$22</f>
        <v>3070.542857142857</v>
      </c>
      <c r="E897" s="1262"/>
      <c r="F897" s="1264">
        <f t="shared" ref="F897" si="328">+E897+D897</f>
        <v>3070.542857142857</v>
      </c>
      <c r="G897" s="1265">
        <f>F897</f>
        <v>3070.542857142857</v>
      </c>
      <c r="H897" s="1262" t="str">
        <f>B897</f>
        <v xml:space="preserve">GASTOS VARIOS </v>
      </c>
      <c r="I897" s="1262"/>
    </row>
    <row r="898" spans="1:9" ht="15" customHeight="1" x14ac:dyDescent="0.25">
      <c r="B898" s="1255"/>
      <c r="C898" s="857"/>
      <c r="D898" s="1256"/>
      <c r="E898" s="1248"/>
      <c r="F898" s="1257"/>
      <c r="G898" s="1266"/>
      <c r="H898" s="857"/>
      <c r="I898" s="857"/>
    </row>
    <row r="899" spans="1:9" ht="15" customHeight="1" x14ac:dyDescent="0.25">
      <c r="B899" s="1255"/>
      <c r="C899" s="857"/>
      <c r="D899" s="1256"/>
      <c r="E899" s="1248"/>
      <c r="F899" s="1257"/>
      <c r="G899" s="1266"/>
      <c r="H899" s="857"/>
      <c r="I899" s="857"/>
    </row>
    <row r="900" spans="1:9" ht="15" customHeight="1" thickBot="1" x14ac:dyDescent="0.3">
      <c r="F900" s="1267">
        <f>SUM(F881:F895)</f>
        <v>305020.91000000003</v>
      </c>
      <c r="G900" s="1268">
        <f>SUM(G896:G897)</f>
        <v>5220.4265694062906</v>
      </c>
      <c r="H900" s="733" t="s">
        <v>412</v>
      </c>
    </row>
    <row r="901" spans="1:9" ht="15" customHeight="1" thickTop="1" x14ac:dyDescent="0.25">
      <c r="G901" s="1257">
        <f>G900*57%</f>
        <v>2975.6431445615854</v>
      </c>
      <c r="H901" s="1274">
        <v>0.56999999999999995</v>
      </c>
      <c r="I901" s="733" t="s">
        <v>539</v>
      </c>
    </row>
    <row r="902" spans="1:9" ht="15" customHeight="1" thickBot="1" x14ac:dyDescent="0.3">
      <c r="G902" s="1270">
        <f>G900+G901</f>
        <v>8196.0697139678759</v>
      </c>
      <c r="H902" s="733" t="s">
        <v>414</v>
      </c>
    </row>
    <row r="903" spans="1:9" ht="15" customHeight="1" thickTop="1" x14ac:dyDescent="0.25"/>
    <row r="906" spans="1:9" ht="15" customHeight="1" x14ac:dyDescent="0.25">
      <c r="B906" s="1222" t="s">
        <v>61</v>
      </c>
      <c r="C906" s="1219" t="s">
        <v>136</v>
      </c>
      <c r="D906" s="733"/>
      <c r="E906" s="847"/>
      <c r="F906" s="847"/>
      <c r="G906" s="847"/>
      <c r="H906" s="847"/>
    </row>
    <row r="907" spans="1:9" ht="15" customHeight="1" x14ac:dyDescent="0.25">
      <c r="A907" s="1288" t="s">
        <v>711</v>
      </c>
      <c r="B907" s="1222" t="s">
        <v>62</v>
      </c>
      <c r="C907" s="1219" t="str">
        <f>VLOOKUP(C906,LISTPROD[],2,FALSE)</f>
        <v>GOLDEN PLUS</v>
      </c>
      <c r="D907" s="733" t="s">
        <v>486</v>
      </c>
      <c r="E907" s="858"/>
      <c r="F907" s="847"/>
      <c r="G907" s="847"/>
      <c r="H907" s="847"/>
    </row>
    <row r="908" spans="1:9" ht="15" customHeight="1" x14ac:dyDescent="0.25">
      <c r="B908" s="1222" t="s">
        <v>234</v>
      </c>
      <c r="C908" s="1219" t="str">
        <f>VLOOKUP(C906,LISTPROD[],9,FALSE)</f>
        <v>500 ML</v>
      </c>
      <c r="D908" s="733"/>
      <c r="E908" s="847"/>
      <c r="F908" s="847"/>
      <c r="G908" s="847"/>
      <c r="H908" s="847"/>
    </row>
    <row r="909" spans="1:9" ht="15" customHeight="1" x14ac:dyDescent="0.25">
      <c r="B909" s="1222" t="s">
        <v>239</v>
      </c>
      <c r="C909" s="1300">
        <v>420</v>
      </c>
      <c r="D909" s="1218"/>
      <c r="E909" s="847"/>
      <c r="F909" s="847"/>
      <c r="G909" s="847"/>
      <c r="H909" s="847"/>
    </row>
    <row r="910" spans="1:9" ht="15" customHeight="1" x14ac:dyDescent="0.25">
      <c r="B910" s="1222" t="s">
        <v>240</v>
      </c>
      <c r="C910" s="1219"/>
      <c r="D910" s="733"/>
    </row>
    <row r="911" spans="1:9" ht="15" customHeight="1" x14ac:dyDescent="0.25">
      <c r="B911" s="1222" t="s">
        <v>238</v>
      </c>
      <c r="C911" s="733" t="s">
        <v>56</v>
      </c>
      <c r="D911" s="857" t="s">
        <v>449</v>
      </c>
    </row>
    <row r="912" spans="1:9" ht="15" customHeight="1" x14ac:dyDescent="0.25">
      <c r="B912" s="1225" t="s">
        <v>410</v>
      </c>
      <c r="C912" s="753">
        <v>500</v>
      </c>
      <c r="D912" s="1226"/>
    </row>
    <row r="913" spans="1:29" ht="15" customHeight="1" x14ac:dyDescent="0.25">
      <c r="A913" s="1227"/>
      <c r="B913" s="1436" t="s">
        <v>404</v>
      </c>
      <c r="C913" s="1436"/>
      <c r="D913" s="1436"/>
      <c r="E913" s="1436"/>
      <c r="F913" s="1436"/>
      <c r="G913" s="1228"/>
      <c r="H913" s="1437" t="s">
        <v>416</v>
      </c>
      <c r="I913" s="1438"/>
    </row>
    <row r="914" spans="1:29" ht="43.5" customHeight="1" x14ac:dyDescent="0.25">
      <c r="A914" s="1229"/>
      <c r="B914" s="1230" t="s">
        <v>398</v>
      </c>
      <c r="C914" s="1231" t="s">
        <v>441</v>
      </c>
      <c r="D914" s="1232" t="s">
        <v>399</v>
      </c>
      <c r="E914" s="1233" t="s">
        <v>402</v>
      </c>
      <c r="F914" s="1232" t="s">
        <v>399</v>
      </c>
      <c r="G914" s="1232" t="s">
        <v>411</v>
      </c>
      <c r="H914" s="1234" t="s">
        <v>408</v>
      </c>
      <c r="I914" s="1235" t="s">
        <v>415</v>
      </c>
      <c r="K914" s="1236" t="s">
        <v>603</v>
      </c>
      <c r="L914" s="1237" t="s">
        <v>604</v>
      </c>
    </row>
    <row r="915" spans="1:29" ht="15" customHeight="1" x14ac:dyDescent="0.25">
      <c r="A915" s="1238"/>
      <c r="B915" s="1228" t="s">
        <v>248</v>
      </c>
      <c r="C915" s="1228">
        <v>1000</v>
      </c>
      <c r="D915" s="1239">
        <f>'Prec Materia Prima y Empaq'!$H$21</f>
        <v>15400</v>
      </c>
      <c r="E915" s="1240">
        <f>D915*19%</f>
        <v>2926</v>
      </c>
      <c r="F915" s="1241">
        <f>+E915+D915</f>
        <v>18326</v>
      </c>
      <c r="G915" s="1240">
        <f>F915/C915*H915</f>
        <v>12828.2</v>
      </c>
      <c r="H915" s="1242">
        <v>700</v>
      </c>
      <c r="I915" s="1228" t="s">
        <v>450</v>
      </c>
      <c r="K915" s="1242">
        <f t="shared" ref="K915:K920" si="329">H915/$C$909</f>
        <v>1.6666666666666667</v>
      </c>
      <c r="L915" s="1243">
        <f>F915/C915*K915</f>
        <v>30.543333333333337</v>
      </c>
    </row>
    <row r="916" spans="1:29" ht="15" customHeight="1" x14ac:dyDescent="0.25">
      <c r="A916" s="1238"/>
      <c r="B916" s="1228" t="s">
        <v>443</v>
      </c>
      <c r="C916" s="1228">
        <v>1000</v>
      </c>
      <c r="D916" s="1239">
        <f>'Prec Materia Prima y Empaq'!$H$11</f>
        <v>8000</v>
      </c>
      <c r="E916" s="1240">
        <f t="shared" ref="E916:E923" si="330">D916*19%</f>
        <v>1520</v>
      </c>
      <c r="F916" s="1241">
        <f t="shared" ref="F916:F929" si="331">+E916+D916</f>
        <v>9520</v>
      </c>
      <c r="G916" s="1240">
        <f t="shared" ref="G916:G918" si="332">F916/C916*H916</f>
        <v>5712</v>
      </c>
      <c r="H916" s="1242">
        <v>600</v>
      </c>
      <c r="I916" s="1228" t="s">
        <v>450</v>
      </c>
      <c r="K916" s="1242">
        <f t="shared" si="329"/>
        <v>1.4285714285714286</v>
      </c>
      <c r="L916" s="1243">
        <f t="shared" ref="L916:L920" si="333">F916/C916*K916</f>
        <v>13.6</v>
      </c>
    </row>
    <row r="917" spans="1:29" ht="15" customHeight="1" x14ac:dyDescent="0.25">
      <c r="A917" s="1238"/>
      <c r="B917" s="1228" t="s">
        <v>253</v>
      </c>
      <c r="C917" s="1228">
        <v>1000</v>
      </c>
      <c r="D917" s="1239">
        <f>'Prec Materia Prima y Empaq'!$H$9</f>
        <v>5400</v>
      </c>
      <c r="E917" s="1240">
        <f t="shared" si="330"/>
        <v>1026</v>
      </c>
      <c r="F917" s="1241">
        <f t="shared" si="331"/>
        <v>6426</v>
      </c>
      <c r="G917" s="1240">
        <f t="shared" si="332"/>
        <v>6426</v>
      </c>
      <c r="H917" s="1242">
        <v>1000</v>
      </c>
      <c r="I917" s="1228" t="s">
        <v>450</v>
      </c>
      <c r="K917" s="1242">
        <f t="shared" si="329"/>
        <v>2.3809523809523809</v>
      </c>
      <c r="L917" s="1243">
        <f t="shared" si="333"/>
        <v>15.3</v>
      </c>
    </row>
    <row r="918" spans="1:29" ht="15" customHeight="1" x14ac:dyDescent="0.25">
      <c r="A918" s="1238"/>
      <c r="B918" s="1228" t="s">
        <v>255</v>
      </c>
      <c r="C918" s="1228">
        <v>1000</v>
      </c>
      <c r="D918" s="1239">
        <f>'Prec Materia Prima y Empaq'!$H$26</f>
        <v>45404</v>
      </c>
      <c r="E918" s="1240">
        <f t="shared" si="330"/>
        <v>8626.76</v>
      </c>
      <c r="F918" s="1241">
        <f t="shared" si="331"/>
        <v>54030.76</v>
      </c>
      <c r="G918" s="1240">
        <f t="shared" si="332"/>
        <v>13507.69</v>
      </c>
      <c r="H918" s="1242">
        <v>250</v>
      </c>
      <c r="I918" s="1228" t="s">
        <v>450</v>
      </c>
      <c r="K918" s="1242">
        <f t="shared" si="329"/>
        <v>0.59523809523809523</v>
      </c>
      <c r="L918" s="1243">
        <f t="shared" si="333"/>
        <v>32.161166666666666</v>
      </c>
    </row>
    <row r="919" spans="1:29" ht="15" customHeight="1" x14ac:dyDescent="0.25">
      <c r="A919" s="1238"/>
      <c r="B919" s="1228" t="s">
        <v>382</v>
      </c>
      <c r="C919" s="1228">
        <v>3785</v>
      </c>
      <c r="D919" s="1239">
        <f>'Prec Materia Prima y Empaq'!$H$18</f>
        <v>24</v>
      </c>
      <c r="E919" s="1240">
        <f t="shared" si="330"/>
        <v>4.5600000000000005</v>
      </c>
      <c r="F919" s="1241">
        <f t="shared" si="331"/>
        <v>28.560000000000002</v>
      </c>
      <c r="G919" s="1240">
        <f>F919/C919*H919</f>
        <v>0.37727873183619554</v>
      </c>
      <c r="H919" s="1242">
        <v>50</v>
      </c>
      <c r="I919" s="1228" t="s">
        <v>450</v>
      </c>
      <c r="K919" s="1242">
        <f t="shared" si="329"/>
        <v>0.11904761904761904</v>
      </c>
      <c r="L919" s="1243">
        <f t="shared" si="333"/>
        <v>8.9828269484808459E-4</v>
      </c>
    </row>
    <row r="920" spans="1:29" ht="15" customHeight="1" x14ac:dyDescent="0.25">
      <c r="A920" s="1238"/>
      <c r="B920" s="1228" t="s">
        <v>249</v>
      </c>
      <c r="C920" s="1228">
        <v>1000</v>
      </c>
      <c r="D920" s="1239">
        <f>'Prec Materia Prima y Empaq'!$H$59</f>
        <v>65135</v>
      </c>
      <c r="E920" s="1240">
        <f t="shared" si="330"/>
        <v>12375.65</v>
      </c>
      <c r="F920" s="1241">
        <f t="shared" si="331"/>
        <v>77510.649999999994</v>
      </c>
      <c r="G920" s="1240">
        <f t="shared" ref="G920:G923" si="334">F920/C920*H920</f>
        <v>38755.324999999997</v>
      </c>
      <c r="H920" s="1242">
        <v>500</v>
      </c>
      <c r="I920" s="1228" t="s">
        <v>450</v>
      </c>
      <c r="K920" s="1242">
        <f t="shared" si="329"/>
        <v>1.1904761904761905</v>
      </c>
      <c r="L920" s="1243">
        <f t="shared" si="333"/>
        <v>92.274583333333325</v>
      </c>
    </row>
    <row r="921" spans="1:29" ht="30.75" customHeight="1" x14ac:dyDescent="0.25">
      <c r="B921" s="1228" t="s">
        <v>300</v>
      </c>
      <c r="C921" s="1228">
        <v>1000</v>
      </c>
      <c r="D921" s="1239">
        <f>'Prec Materia Prima y Empaq'!$H$25</f>
        <v>30041</v>
      </c>
      <c r="E921" s="1240">
        <f t="shared" si="330"/>
        <v>5707.79</v>
      </c>
      <c r="F921" s="1241">
        <f t="shared" si="331"/>
        <v>35748.79</v>
      </c>
      <c r="G921" s="1240">
        <f t="shared" si="334"/>
        <v>17874.395</v>
      </c>
      <c r="H921" s="1242">
        <v>500</v>
      </c>
      <c r="I921" s="1228" t="s">
        <v>450</v>
      </c>
      <c r="K921" s="1242">
        <f t="shared" ref="K921:K929" si="335">H921/$C$909</f>
        <v>1.1904761904761905</v>
      </c>
      <c r="L921" s="1243">
        <f t="shared" ref="L921:L929" si="336">F921/C921*K921</f>
        <v>42.558083333333336</v>
      </c>
    </row>
    <row r="922" spans="1:29" ht="15" customHeight="1" x14ac:dyDescent="0.25">
      <c r="B922" s="1228" t="s">
        <v>713</v>
      </c>
      <c r="C922" s="1228">
        <v>1000</v>
      </c>
      <c r="D922" s="1239">
        <f>'Prec Materia Prima y Empaq'!$H$27</f>
        <v>120000</v>
      </c>
      <c r="E922" s="1240">
        <f t="shared" si="330"/>
        <v>22800</v>
      </c>
      <c r="F922" s="1241">
        <f t="shared" si="331"/>
        <v>142800</v>
      </c>
      <c r="G922" s="1240">
        <f t="shared" si="334"/>
        <v>71400</v>
      </c>
      <c r="H922" s="1242">
        <v>500</v>
      </c>
      <c r="I922" s="1228" t="s">
        <v>450</v>
      </c>
      <c r="K922" s="1242">
        <f t="shared" si="335"/>
        <v>1.1904761904761905</v>
      </c>
      <c r="L922" s="1243">
        <f t="shared" si="336"/>
        <v>170</v>
      </c>
    </row>
    <row r="923" spans="1:29" ht="15" customHeight="1" x14ac:dyDescent="0.25">
      <c r="B923" s="1228" t="s">
        <v>712</v>
      </c>
      <c r="C923" s="1228">
        <v>1000</v>
      </c>
      <c r="D923" s="1239">
        <f>'Prec Materia Prima y Empaq'!$H$23</f>
        <v>2000000</v>
      </c>
      <c r="E923" s="1240">
        <f t="shared" si="330"/>
        <v>380000</v>
      </c>
      <c r="F923" s="1241">
        <f t="shared" si="331"/>
        <v>2380000</v>
      </c>
      <c r="G923" s="1241">
        <f t="shared" si="334"/>
        <v>357000</v>
      </c>
      <c r="H923" s="1228">
        <v>150</v>
      </c>
      <c r="I923" s="1228" t="s">
        <v>450</v>
      </c>
      <c r="K923" s="1242">
        <f t="shared" si="335"/>
        <v>0.35714285714285715</v>
      </c>
      <c r="L923" s="1243">
        <f t="shared" si="336"/>
        <v>850</v>
      </c>
    </row>
    <row r="924" spans="1:29" ht="31.5" customHeight="1" x14ac:dyDescent="0.25">
      <c r="B924" s="1220" t="s">
        <v>247</v>
      </c>
      <c r="C924" s="1228">
        <v>1000</v>
      </c>
      <c r="D924" s="1244">
        <f>'Prec Materia Prima y Empaq'!$H$7</f>
        <v>50000</v>
      </c>
      <c r="E924" s="1240">
        <v>0</v>
      </c>
      <c r="F924" s="1241">
        <f t="shared" si="331"/>
        <v>50000</v>
      </c>
      <c r="G924" s="1240">
        <f>F924/C924*H924</f>
        <v>32.022471910112351</v>
      </c>
      <c r="H924" s="1245">
        <v>0.64044943820224698</v>
      </c>
      <c r="I924" s="1245" t="s">
        <v>453</v>
      </c>
      <c r="K924" s="1242">
        <f t="shared" ref="K924" si="337">H924/$C$378</f>
        <v>1.6421780466724281E-3</v>
      </c>
      <c r="L924" s="1243">
        <f t="shared" si="336"/>
        <v>8.2108902333621406E-2</v>
      </c>
      <c r="N924" s="1220" t="s">
        <v>247</v>
      </c>
      <c r="O924" s="1247">
        <v>1</v>
      </c>
      <c r="P924" s="1240">
        <f>$F$391/$C$391*$O$391</f>
        <v>50</v>
      </c>
      <c r="Q924" s="1248"/>
      <c r="R924" s="1249" t="e">
        <f>P924/O913</f>
        <v>#DIV/0!</v>
      </c>
      <c r="S924" s="1248" t="e">
        <f>R924*1000</f>
        <v>#DIV/0!</v>
      </c>
      <c r="T924" s="1250">
        <f>O924/$O$380*1000</f>
        <v>2.5641025641025641E-3</v>
      </c>
      <c r="U924" s="1238">
        <f>T924*$M$380</f>
        <v>1</v>
      </c>
      <c r="Y924" s="1238"/>
      <c r="Z924" s="1238"/>
      <c r="AA924" s="1251"/>
      <c r="AC924" s="1252"/>
    </row>
    <row r="925" spans="1:29" ht="41.25" customHeight="1" x14ac:dyDescent="0.25">
      <c r="B925" s="1220" t="s">
        <v>677</v>
      </c>
      <c r="C925" s="1220">
        <v>1</v>
      </c>
      <c r="D925" s="1244">
        <f>'Prec Materia Prima y Empaq'!$H$127</f>
        <v>750</v>
      </c>
      <c r="E925" s="1240">
        <v>0</v>
      </c>
      <c r="F925" s="1241">
        <f t="shared" si="331"/>
        <v>750</v>
      </c>
      <c r="G925" s="1253">
        <f t="shared" ref="G925:G929" si="338">F925*H925</f>
        <v>315000</v>
      </c>
      <c r="H925" s="1245">
        <f>C909</f>
        <v>420</v>
      </c>
      <c r="I925" s="1245" t="s">
        <v>453</v>
      </c>
      <c r="K925" s="1242">
        <f t="shared" si="335"/>
        <v>1</v>
      </c>
      <c r="L925" s="1243">
        <f t="shared" si="336"/>
        <v>750</v>
      </c>
    </row>
    <row r="926" spans="1:29" ht="15" customHeight="1" x14ac:dyDescent="0.25">
      <c r="B926" s="1220" t="s">
        <v>614</v>
      </c>
      <c r="C926" s="1220">
        <v>1</v>
      </c>
      <c r="D926" s="1244">
        <f>'Prec Materia Prima y Empaq'!$H$144</f>
        <v>70</v>
      </c>
      <c r="E926" s="1240">
        <v>0</v>
      </c>
      <c r="F926" s="1241">
        <f t="shared" si="331"/>
        <v>70</v>
      </c>
      <c r="G926" s="1253">
        <f t="shared" si="338"/>
        <v>29400</v>
      </c>
      <c r="H926" s="1245">
        <f>H925</f>
        <v>420</v>
      </c>
      <c r="I926" s="1245" t="s">
        <v>453</v>
      </c>
      <c r="K926" s="1242">
        <f t="shared" si="335"/>
        <v>1</v>
      </c>
      <c r="L926" s="1243">
        <f t="shared" si="336"/>
        <v>70</v>
      </c>
    </row>
    <row r="927" spans="1:29" ht="15" customHeight="1" x14ac:dyDescent="0.25">
      <c r="B927" s="1245" t="s">
        <v>452</v>
      </c>
      <c r="C927" s="1245">
        <v>1</v>
      </c>
      <c r="D927" s="1244">
        <f>'Prec Materia Prima y Empaq'!$H$140</f>
        <v>120</v>
      </c>
      <c r="E927" s="1240">
        <v>0</v>
      </c>
      <c r="F927" s="1241">
        <f t="shared" si="331"/>
        <v>120</v>
      </c>
      <c r="G927" s="1253">
        <f t="shared" si="338"/>
        <v>50400</v>
      </c>
      <c r="H927" s="1245">
        <f>H925</f>
        <v>420</v>
      </c>
      <c r="I927" s="1245" t="s">
        <v>453</v>
      </c>
      <c r="K927" s="1242">
        <f t="shared" si="335"/>
        <v>1</v>
      </c>
      <c r="L927" s="1243">
        <f t="shared" si="336"/>
        <v>120</v>
      </c>
    </row>
    <row r="928" spans="1:29" ht="15" customHeight="1" x14ac:dyDescent="0.25">
      <c r="B928" s="1254" t="s">
        <v>310</v>
      </c>
      <c r="C928" s="1245">
        <v>1</v>
      </c>
      <c r="D928" s="1244">
        <f>'Prec Materia Prima y Empaq'!$H$130</f>
        <v>100</v>
      </c>
      <c r="E928" s="1240">
        <v>0</v>
      </c>
      <c r="F928" s="1241">
        <f t="shared" si="331"/>
        <v>100</v>
      </c>
      <c r="G928" s="1253">
        <f t="shared" si="338"/>
        <v>42000</v>
      </c>
      <c r="H928" s="1245">
        <f>H925</f>
        <v>420</v>
      </c>
      <c r="I928" s="1245" t="s">
        <v>453</v>
      </c>
      <c r="K928" s="1242">
        <f t="shared" si="335"/>
        <v>1</v>
      </c>
      <c r="L928" s="1243">
        <f t="shared" si="336"/>
        <v>100</v>
      </c>
    </row>
    <row r="929" spans="1:12" ht="15" customHeight="1" x14ac:dyDescent="0.25">
      <c r="B929" s="1245" t="s">
        <v>309</v>
      </c>
      <c r="C929" s="1245">
        <v>1</v>
      </c>
      <c r="D929" s="1244">
        <f>'Prec Materia Prima y Empaq'!$H$129</f>
        <v>800</v>
      </c>
      <c r="E929" s="1240">
        <v>0</v>
      </c>
      <c r="F929" s="1241">
        <f t="shared" si="331"/>
        <v>800</v>
      </c>
      <c r="G929" s="1253">
        <f t="shared" si="338"/>
        <v>336000</v>
      </c>
      <c r="H929" s="1245">
        <f>H925</f>
        <v>420</v>
      </c>
      <c r="I929" s="1245" t="s">
        <v>453</v>
      </c>
      <c r="K929" s="1242">
        <f t="shared" si="335"/>
        <v>1</v>
      </c>
      <c r="L929" s="1243">
        <f t="shared" si="336"/>
        <v>800</v>
      </c>
    </row>
    <row r="930" spans="1:12" ht="19.5" customHeight="1" thickBot="1" x14ac:dyDescent="0.3">
      <c r="B930" s="1255"/>
      <c r="C930" s="857"/>
      <c r="D930" s="1256"/>
      <c r="E930" s="1248"/>
      <c r="F930" s="1257"/>
      <c r="G930" s="1258">
        <f>SUM(G915:G929)/C909</f>
        <v>3086.5143089300996</v>
      </c>
      <c r="H930" s="1259" t="s">
        <v>454</v>
      </c>
      <c r="I930" s="857"/>
      <c r="L930" s="1260">
        <f>SUM(L915:L929)</f>
        <v>3086.5201738516953</v>
      </c>
    </row>
    <row r="931" spans="1:12" ht="15" customHeight="1" thickTop="1" x14ac:dyDescent="0.25">
      <c r="B931" s="1261" t="s">
        <v>409</v>
      </c>
      <c r="C931" s="1262"/>
      <c r="D931" s="1263">
        <f>'Gtos Varios'!$B$22</f>
        <v>3070.542857142857</v>
      </c>
      <c r="E931" s="1262"/>
      <c r="F931" s="1264">
        <f t="shared" ref="F931" si="339">+E931+D931</f>
        <v>3070.542857142857</v>
      </c>
      <c r="G931" s="1265">
        <f>F931</f>
        <v>3070.542857142857</v>
      </c>
      <c r="H931" s="1262" t="str">
        <f>B931</f>
        <v xml:space="preserve">GASTOS VARIOS </v>
      </c>
      <c r="I931" s="1262"/>
      <c r="J931" s="1262"/>
    </row>
    <row r="932" spans="1:12" ht="15" customHeight="1" x14ac:dyDescent="0.25">
      <c r="B932" s="1255"/>
      <c r="C932" s="857"/>
      <c r="D932" s="1256"/>
      <c r="E932" s="1248"/>
      <c r="F932" s="1257"/>
      <c r="G932" s="1266"/>
      <c r="H932" s="857"/>
      <c r="I932" s="857"/>
    </row>
    <row r="933" spans="1:12" ht="15" customHeight="1" x14ac:dyDescent="0.25">
      <c r="B933" s="1255"/>
      <c r="C933" s="857"/>
      <c r="D933" s="1256"/>
      <c r="E933" s="1248"/>
      <c r="F933" s="1257"/>
      <c r="G933" s="1266"/>
      <c r="H933" s="857"/>
      <c r="I933" s="857"/>
    </row>
    <row r="934" spans="1:12" ht="15" customHeight="1" thickBot="1" x14ac:dyDescent="0.3">
      <c r="F934" s="1267">
        <f>SUM(F915:F929)</f>
        <v>2776230.76</v>
      </c>
      <c r="G934" s="1268">
        <f>SUM(G930:G931)</f>
        <v>6157.0571660729565</v>
      </c>
      <c r="H934" s="733" t="s">
        <v>412</v>
      </c>
    </row>
    <row r="935" spans="1:12" ht="15" customHeight="1" thickTop="1" x14ac:dyDescent="0.25">
      <c r="G935" s="1295">
        <f>G934*47%</f>
        <v>2893.8168680542894</v>
      </c>
      <c r="H935" s="1274">
        <v>0.47</v>
      </c>
      <c r="I935" s="733" t="s">
        <v>539</v>
      </c>
    </row>
    <row r="936" spans="1:12" ht="15" customHeight="1" thickBot="1" x14ac:dyDescent="0.3">
      <c r="G936" s="1270">
        <f>G934+G935</f>
        <v>9050.874034127246</v>
      </c>
      <c r="H936" s="733" t="s">
        <v>414</v>
      </c>
    </row>
    <row r="937" spans="1:12" ht="15" customHeight="1" thickTop="1" x14ac:dyDescent="0.25"/>
    <row r="941" spans="1:12" ht="15" customHeight="1" x14ac:dyDescent="0.25">
      <c r="B941" s="1222" t="s">
        <v>61</v>
      </c>
      <c r="C941" s="1219" t="s">
        <v>140</v>
      </c>
      <c r="D941" s="733"/>
      <c r="E941" s="853"/>
      <c r="F941" s="853"/>
      <c r="G941" s="853"/>
      <c r="H941" s="853"/>
    </row>
    <row r="942" spans="1:12" ht="15" customHeight="1" x14ac:dyDescent="0.25">
      <c r="A942" s="1223" t="s">
        <v>719</v>
      </c>
      <c r="B942" s="1222" t="s">
        <v>62</v>
      </c>
      <c r="C942" s="1219" t="str">
        <f>VLOOKUP(C941,LISTPROD[],2,FALSE)</f>
        <v>GRAN TAMAKURA</v>
      </c>
      <c r="D942" s="733"/>
      <c r="E942" s="853"/>
      <c r="F942" s="853"/>
      <c r="G942" s="853"/>
      <c r="H942" s="853"/>
    </row>
    <row r="943" spans="1:12" ht="15" customHeight="1" x14ac:dyDescent="0.25">
      <c r="B943" s="1222" t="s">
        <v>234</v>
      </c>
      <c r="C943" s="1219" t="str">
        <f>VLOOKUP(C941,LISTPROD[],9,FALSE)</f>
        <v>500 ML</v>
      </c>
      <c r="D943" s="1219" t="s">
        <v>486</v>
      </c>
      <c r="E943" s="733" t="s">
        <v>689</v>
      </c>
      <c r="F943" s="853"/>
      <c r="G943" s="853"/>
      <c r="H943" s="853"/>
    </row>
    <row r="944" spans="1:12" ht="15" customHeight="1" x14ac:dyDescent="0.25">
      <c r="B944" s="1222" t="s">
        <v>239</v>
      </c>
      <c r="C944" s="1296">
        <v>390</v>
      </c>
      <c r="D944" s="1218"/>
      <c r="E944" s="853"/>
      <c r="F944" s="853"/>
      <c r="G944" s="853"/>
      <c r="H944" s="853"/>
    </row>
    <row r="945" spans="1:29" ht="15" customHeight="1" x14ac:dyDescent="0.25">
      <c r="B945" s="1222" t="s">
        <v>240</v>
      </c>
      <c r="C945" s="1219"/>
      <c r="D945" s="733"/>
    </row>
    <row r="946" spans="1:29" ht="15" customHeight="1" x14ac:dyDescent="0.25">
      <c r="B946" s="1222" t="s">
        <v>238</v>
      </c>
      <c r="C946" s="733" t="s">
        <v>56</v>
      </c>
      <c r="D946" s="1218" t="s">
        <v>449</v>
      </c>
    </row>
    <row r="947" spans="1:29" ht="15" customHeight="1" x14ac:dyDescent="0.25">
      <c r="B947" s="1225" t="s">
        <v>410</v>
      </c>
      <c r="C947" s="753">
        <v>500</v>
      </c>
      <c r="D947" s="1226"/>
    </row>
    <row r="948" spans="1:29" ht="15" customHeight="1" x14ac:dyDescent="0.25">
      <c r="A948" s="1227"/>
      <c r="B948" s="1436" t="s">
        <v>404</v>
      </c>
      <c r="C948" s="1436"/>
      <c r="D948" s="1436"/>
      <c r="E948" s="1436"/>
      <c r="F948" s="1436"/>
      <c r="G948" s="1228"/>
      <c r="H948" s="1437" t="s">
        <v>416</v>
      </c>
      <c r="I948" s="1438"/>
    </row>
    <row r="949" spans="1:29" ht="34.5" customHeight="1" x14ac:dyDescent="0.25">
      <c r="A949" s="1229"/>
      <c r="B949" s="1230" t="s">
        <v>398</v>
      </c>
      <c r="C949" s="1231" t="s">
        <v>441</v>
      </c>
      <c r="D949" s="1232" t="s">
        <v>399</v>
      </c>
      <c r="E949" s="1233" t="s">
        <v>402</v>
      </c>
      <c r="F949" s="1232" t="s">
        <v>399</v>
      </c>
      <c r="G949" s="1232" t="s">
        <v>411</v>
      </c>
      <c r="H949" s="1234" t="s">
        <v>408</v>
      </c>
      <c r="I949" s="1235" t="s">
        <v>415</v>
      </c>
      <c r="K949" s="1236" t="s">
        <v>603</v>
      </c>
      <c r="L949" s="1237" t="s">
        <v>604</v>
      </c>
    </row>
    <row r="950" spans="1:29" ht="15" customHeight="1" x14ac:dyDescent="0.25">
      <c r="A950" s="1238"/>
      <c r="B950" s="1228" t="s">
        <v>248</v>
      </c>
      <c r="C950" s="1228">
        <v>1000</v>
      </c>
      <c r="D950" s="1239">
        <f>'Prec Materia Prima y Empaq'!$H$21</f>
        <v>15400</v>
      </c>
      <c r="E950" s="1240">
        <f>D950*19%</f>
        <v>2926</v>
      </c>
      <c r="F950" s="1241">
        <f>+E950+D950</f>
        <v>18326</v>
      </c>
      <c r="G950" s="1240">
        <f>F950/C950*H950</f>
        <v>9163</v>
      </c>
      <c r="H950" s="1242">
        <v>500</v>
      </c>
      <c r="I950" s="1228" t="s">
        <v>450</v>
      </c>
      <c r="K950" s="1242">
        <f>H950/$C$944</f>
        <v>1.2820512820512822</v>
      </c>
      <c r="L950" s="1243">
        <f>F950/C950*K950</f>
        <v>23.494871794871798</v>
      </c>
    </row>
    <row r="951" spans="1:29" ht="15" customHeight="1" x14ac:dyDescent="0.25">
      <c r="A951" s="1238"/>
      <c r="B951" s="1228" t="s">
        <v>443</v>
      </c>
      <c r="C951" s="1228">
        <v>1000</v>
      </c>
      <c r="D951" s="1239">
        <f>'Prec Materia Prima y Empaq'!$H$11</f>
        <v>8000</v>
      </c>
      <c r="E951" s="1240">
        <f t="shared" ref="E951:E957" si="340">D951*19%</f>
        <v>1520</v>
      </c>
      <c r="F951" s="1241">
        <f t="shared" ref="F951:F963" si="341">+E951+D951</f>
        <v>9520</v>
      </c>
      <c r="G951" s="1240">
        <f t="shared" ref="G951:G955" si="342">F951/C951*H951</f>
        <v>3808</v>
      </c>
      <c r="H951" s="1242">
        <v>400</v>
      </c>
      <c r="I951" s="1228" t="s">
        <v>450</v>
      </c>
      <c r="K951" s="1242">
        <f t="shared" ref="K951:K963" si="343">H951/$C$944</f>
        <v>1.0256410256410255</v>
      </c>
      <c r="L951" s="1243">
        <f t="shared" ref="L951:L963" si="344">F951/C951*K951</f>
        <v>9.7641025641025632</v>
      </c>
    </row>
    <row r="952" spans="1:29" ht="15" customHeight="1" x14ac:dyDescent="0.25">
      <c r="A952" s="1238"/>
      <c r="B952" s="1228" t="s">
        <v>253</v>
      </c>
      <c r="C952" s="1228">
        <v>1000</v>
      </c>
      <c r="D952" s="1239">
        <f>'Prec Materia Prima y Empaq'!$H$9</f>
        <v>5400</v>
      </c>
      <c r="E952" s="1240">
        <f t="shared" si="340"/>
        <v>1026</v>
      </c>
      <c r="F952" s="1241">
        <f t="shared" si="341"/>
        <v>6426</v>
      </c>
      <c r="G952" s="1240">
        <f t="shared" si="342"/>
        <v>4498.2</v>
      </c>
      <c r="H952" s="1242">
        <v>700</v>
      </c>
      <c r="I952" s="1228" t="s">
        <v>450</v>
      </c>
      <c r="K952" s="1242">
        <f t="shared" si="343"/>
        <v>1.7948717948717949</v>
      </c>
      <c r="L952" s="1243">
        <f t="shared" si="344"/>
        <v>11.533846153846154</v>
      </c>
    </row>
    <row r="953" spans="1:29" ht="15" customHeight="1" x14ac:dyDescent="0.25">
      <c r="A953" s="1238"/>
      <c r="B953" s="1228" t="s">
        <v>249</v>
      </c>
      <c r="C953" s="1228">
        <v>1000</v>
      </c>
      <c r="D953" s="1273">
        <f>'Prec Materia Prima y Empaq'!$H$59</f>
        <v>65135</v>
      </c>
      <c r="E953" s="1240">
        <f t="shared" si="340"/>
        <v>12375.65</v>
      </c>
      <c r="F953" s="1241">
        <f t="shared" si="341"/>
        <v>77510.649999999994</v>
      </c>
      <c r="G953" s="1240">
        <f t="shared" si="342"/>
        <v>23253.195</v>
      </c>
      <c r="H953" s="1242">
        <v>300</v>
      </c>
      <c r="I953" s="1228" t="s">
        <v>450</v>
      </c>
      <c r="K953" s="1242">
        <f t="shared" si="343"/>
        <v>0.76923076923076927</v>
      </c>
      <c r="L953" s="1243">
        <f t="shared" si="344"/>
        <v>59.623576923076925</v>
      </c>
    </row>
    <row r="954" spans="1:29" ht="15" customHeight="1" x14ac:dyDescent="0.25">
      <c r="A954" s="1238"/>
      <c r="B954" s="1228" t="s">
        <v>300</v>
      </c>
      <c r="C954" s="1228">
        <v>1000</v>
      </c>
      <c r="D954" s="1273">
        <f>'Prec Materia Prima y Empaq'!$H$25</f>
        <v>30041</v>
      </c>
      <c r="E954" s="1240">
        <f t="shared" ref="E954" si="345">D954*19%</f>
        <v>5707.79</v>
      </c>
      <c r="F954" s="1241">
        <f t="shared" ref="F954" si="346">+E954+D954</f>
        <v>35748.79</v>
      </c>
      <c r="G954" s="1240">
        <f t="shared" ref="G954" si="347">F954/C954*H954</f>
        <v>10724.637000000001</v>
      </c>
      <c r="H954" s="1242">
        <v>300</v>
      </c>
      <c r="I954" s="1228" t="s">
        <v>450</v>
      </c>
      <c r="K954" s="1242">
        <f t="shared" si="343"/>
        <v>0.76923076923076927</v>
      </c>
      <c r="L954" s="1243">
        <f t="shared" si="344"/>
        <v>27.499069230769233</v>
      </c>
    </row>
    <row r="955" spans="1:29" ht="15" customHeight="1" x14ac:dyDescent="0.25">
      <c r="A955" s="1238"/>
      <c r="B955" s="1228" t="s">
        <v>676</v>
      </c>
      <c r="C955" s="1228">
        <v>1000</v>
      </c>
      <c r="D955" s="1239">
        <f>'Prec Materia Prima y Empaq'!$H$27</f>
        <v>120000</v>
      </c>
      <c r="E955" s="1240">
        <f t="shared" si="340"/>
        <v>22800</v>
      </c>
      <c r="F955" s="1241">
        <f t="shared" si="341"/>
        <v>142800</v>
      </c>
      <c r="G955" s="1240">
        <f t="shared" si="342"/>
        <v>42840</v>
      </c>
      <c r="H955" s="1242">
        <v>300</v>
      </c>
      <c r="I955" s="1228" t="s">
        <v>450</v>
      </c>
      <c r="K955" s="1242">
        <f t="shared" si="343"/>
        <v>0.76923076923076927</v>
      </c>
      <c r="L955" s="1243">
        <f t="shared" si="344"/>
        <v>109.84615384615387</v>
      </c>
    </row>
    <row r="956" spans="1:29" ht="15" customHeight="1" x14ac:dyDescent="0.25">
      <c r="A956" s="1238"/>
      <c r="B956" s="1228" t="s">
        <v>382</v>
      </c>
      <c r="C956" s="1228">
        <v>3785</v>
      </c>
      <c r="D956" s="1239">
        <f>'Prec Materia Prima y Empaq'!$H$18</f>
        <v>24</v>
      </c>
      <c r="E956" s="1240">
        <f t="shared" si="340"/>
        <v>4.5600000000000005</v>
      </c>
      <c r="F956" s="1241">
        <f t="shared" si="341"/>
        <v>28.560000000000002</v>
      </c>
      <c r="G956" s="1240">
        <f>F956/C956*H956</f>
        <v>0.37727873183619554</v>
      </c>
      <c r="H956" s="1242">
        <v>50</v>
      </c>
      <c r="I956" s="1228" t="s">
        <v>450</v>
      </c>
      <c r="K956" s="1242">
        <f t="shared" si="343"/>
        <v>0.12820512820512819</v>
      </c>
      <c r="L956" s="1243">
        <f t="shared" si="344"/>
        <v>9.6738136368255262E-4</v>
      </c>
    </row>
    <row r="957" spans="1:29" ht="15" customHeight="1" x14ac:dyDescent="0.25">
      <c r="A957" s="1238"/>
      <c r="B957" s="1228" t="s">
        <v>251</v>
      </c>
      <c r="C957" s="1228">
        <v>1000</v>
      </c>
      <c r="D957" s="1239">
        <f>'Prec Materia Prima y Empaq'!$H$26</f>
        <v>45404</v>
      </c>
      <c r="E957" s="1240">
        <f t="shared" si="340"/>
        <v>8626.76</v>
      </c>
      <c r="F957" s="1241">
        <f t="shared" si="341"/>
        <v>54030.76</v>
      </c>
      <c r="G957" s="1240">
        <f>F957/C957*H957</f>
        <v>8104.6140000000005</v>
      </c>
      <c r="H957" s="1242">
        <v>150</v>
      </c>
      <c r="I957" s="1228" t="s">
        <v>450</v>
      </c>
      <c r="K957" s="1242">
        <f t="shared" si="343"/>
        <v>0.38461538461538464</v>
      </c>
      <c r="L957" s="1243">
        <f t="shared" si="344"/>
        <v>20.78106153846154</v>
      </c>
    </row>
    <row r="958" spans="1:29" ht="31.5" customHeight="1" x14ac:dyDescent="0.25">
      <c r="B958" s="1220" t="s">
        <v>247</v>
      </c>
      <c r="C958" s="1228">
        <v>1000</v>
      </c>
      <c r="D958" s="1244">
        <f>'Prec Materia Prima y Empaq'!$H$7</f>
        <v>50000</v>
      </c>
      <c r="E958" s="1240">
        <v>0</v>
      </c>
      <c r="F958" s="1241">
        <f t="shared" si="341"/>
        <v>50000</v>
      </c>
      <c r="G958" s="1240">
        <f>F958/C958*H958</f>
        <v>32.022471910112351</v>
      </c>
      <c r="H958" s="1245">
        <v>0.64044943820224698</v>
      </c>
      <c r="I958" s="1245" t="s">
        <v>453</v>
      </c>
      <c r="K958" s="1242">
        <f t="shared" ref="K958" si="348">H958/$C$378</f>
        <v>1.6421780466724281E-3</v>
      </c>
      <c r="L958" s="1243">
        <f t="shared" si="344"/>
        <v>8.2108902333621406E-2</v>
      </c>
      <c r="N958" s="1220" t="s">
        <v>247</v>
      </c>
      <c r="O958" s="1247">
        <v>1</v>
      </c>
      <c r="P958" s="1240">
        <f>$F$391/$C$391*$O$391</f>
        <v>50</v>
      </c>
      <c r="Q958" s="1248"/>
      <c r="R958" s="1249" t="e">
        <f>P958/O947</f>
        <v>#DIV/0!</v>
      </c>
      <c r="S958" s="1248" t="e">
        <f>R958*1000</f>
        <v>#DIV/0!</v>
      </c>
      <c r="T958" s="1250">
        <f>O958/$O$380*1000</f>
        <v>2.5641025641025641E-3</v>
      </c>
      <c r="U958" s="1238">
        <f>T958*$M$380</f>
        <v>1</v>
      </c>
      <c r="Y958" s="1238"/>
      <c r="Z958" s="1238"/>
      <c r="AA958" s="1251"/>
      <c r="AC958" s="1252"/>
    </row>
    <row r="959" spans="1:29" ht="30.75" customHeight="1" x14ac:dyDescent="0.25">
      <c r="B959" s="1220" t="s">
        <v>677</v>
      </c>
      <c r="C959" s="1220">
        <v>1</v>
      </c>
      <c r="D959" s="1272">
        <f>'Prec Materia Prima y Empaq'!H127</f>
        <v>750</v>
      </c>
      <c r="E959" s="1240">
        <v>0</v>
      </c>
      <c r="F959" s="1241">
        <f t="shared" si="341"/>
        <v>750</v>
      </c>
      <c r="G959" s="1253">
        <f t="shared" ref="G959:G963" si="349">F959*H959</f>
        <v>292500</v>
      </c>
      <c r="H959" s="1245">
        <f>$C$944</f>
        <v>390</v>
      </c>
      <c r="I959" s="1245" t="s">
        <v>453</v>
      </c>
      <c r="K959" s="1242">
        <f t="shared" si="343"/>
        <v>1</v>
      </c>
      <c r="L959" s="1243">
        <f t="shared" si="344"/>
        <v>750</v>
      </c>
    </row>
    <row r="960" spans="1:29" ht="15" customHeight="1" x14ac:dyDescent="0.25">
      <c r="B960" s="1220" t="s">
        <v>614</v>
      </c>
      <c r="C960" s="1220">
        <v>1</v>
      </c>
      <c r="D960" s="1244">
        <f>'Prec Materia Prima y Empaq'!$H$144</f>
        <v>70</v>
      </c>
      <c r="E960" s="1240">
        <v>0</v>
      </c>
      <c r="F960" s="1241">
        <f t="shared" si="341"/>
        <v>70</v>
      </c>
      <c r="G960" s="1253">
        <f t="shared" si="349"/>
        <v>27300</v>
      </c>
      <c r="H960" s="1245">
        <f t="shared" ref="H960:H963" si="350">$C$944</f>
        <v>390</v>
      </c>
      <c r="I960" s="1245" t="s">
        <v>453</v>
      </c>
      <c r="K960" s="1242">
        <f t="shared" si="343"/>
        <v>1</v>
      </c>
      <c r="L960" s="1243">
        <f t="shared" si="344"/>
        <v>70</v>
      </c>
    </row>
    <row r="961" spans="1:12" ht="15" customHeight="1" x14ac:dyDescent="0.25">
      <c r="B961" s="1245" t="s">
        <v>452</v>
      </c>
      <c r="C961" s="1245">
        <v>1</v>
      </c>
      <c r="D961" s="1244">
        <f>'Prec Materia Prima y Empaq'!$H$140</f>
        <v>120</v>
      </c>
      <c r="E961" s="1240">
        <v>0</v>
      </c>
      <c r="F961" s="1241">
        <f t="shared" si="341"/>
        <v>120</v>
      </c>
      <c r="G961" s="1253">
        <f t="shared" si="349"/>
        <v>46800</v>
      </c>
      <c r="H961" s="1245">
        <f t="shared" si="350"/>
        <v>390</v>
      </c>
      <c r="I961" s="1245" t="s">
        <v>453</v>
      </c>
      <c r="K961" s="1242">
        <f t="shared" si="343"/>
        <v>1</v>
      </c>
      <c r="L961" s="1243">
        <f t="shared" si="344"/>
        <v>120</v>
      </c>
    </row>
    <row r="962" spans="1:12" ht="15" customHeight="1" x14ac:dyDescent="0.25">
      <c r="B962" s="1220" t="s">
        <v>310</v>
      </c>
      <c r="C962" s="1245">
        <v>1</v>
      </c>
      <c r="D962" s="1244">
        <f>'Prec Materia Prima y Empaq'!$H$130</f>
        <v>100</v>
      </c>
      <c r="E962" s="1240">
        <v>0</v>
      </c>
      <c r="F962" s="1241">
        <f t="shared" si="341"/>
        <v>100</v>
      </c>
      <c r="G962" s="1253">
        <f t="shared" si="349"/>
        <v>39000</v>
      </c>
      <c r="H962" s="1245">
        <f t="shared" si="350"/>
        <v>390</v>
      </c>
      <c r="I962" s="1245" t="s">
        <v>453</v>
      </c>
      <c r="K962" s="1242">
        <f t="shared" si="343"/>
        <v>1</v>
      </c>
      <c r="L962" s="1243">
        <f t="shared" si="344"/>
        <v>100</v>
      </c>
    </row>
    <row r="963" spans="1:12" ht="24" customHeight="1" x14ac:dyDescent="0.25">
      <c r="B963" s="1245" t="s">
        <v>458</v>
      </c>
      <c r="C963" s="1245">
        <v>1</v>
      </c>
      <c r="D963" s="1244">
        <f>'Prec Materia Prima y Empaq'!$H$129</f>
        <v>800</v>
      </c>
      <c r="E963" s="1240">
        <v>0</v>
      </c>
      <c r="F963" s="1241">
        <f t="shared" si="341"/>
        <v>800</v>
      </c>
      <c r="G963" s="1253">
        <f t="shared" si="349"/>
        <v>312000</v>
      </c>
      <c r="H963" s="1245">
        <f t="shared" si="350"/>
        <v>390</v>
      </c>
      <c r="I963" s="1245" t="s">
        <v>453</v>
      </c>
      <c r="K963" s="1242">
        <f t="shared" si="343"/>
        <v>1</v>
      </c>
      <c r="L963" s="1243">
        <f t="shared" si="344"/>
        <v>800</v>
      </c>
    </row>
    <row r="964" spans="1:12" ht="19.5" customHeight="1" thickBot="1" x14ac:dyDescent="0.3">
      <c r="B964" s="1255"/>
      <c r="C964" s="857"/>
      <c r="D964" s="1256"/>
      <c r="E964" s="1248"/>
      <c r="F964" s="1257"/>
      <c r="G964" s="1258">
        <f>SUM(G950:G963)/C944</f>
        <v>2102.6257583349793</v>
      </c>
      <c r="H964" s="1259" t="s">
        <v>454</v>
      </c>
      <c r="I964" s="857"/>
      <c r="L964" s="1260">
        <f>SUM(L950:L963)</f>
        <v>2102.6257583349793</v>
      </c>
    </row>
    <row r="965" spans="1:12" ht="15" customHeight="1" thickTop="1" x14ac:dyDescent="0.25">
      <c r="B965" s="1261" t="s">
        <v>409</v>
      </c>
      <c r="C965" s="1262"/>
      <c r="D965" s="1263">
        <f>+'Gtos Varios'!I14</f>
        <v>3672.93</v>
      </c>
      <c r="E965" s="1262"/>
      <c r="F965" s="1264">
        <f t="shared" ref="F965" si="351">+E965+D965</f>
        <v>3672.93</v>
      </c>
      <c r="G965" s="1265">
        <f>F965</f>
        <v>3672.93</v>
      </c>
      <c r="H965" s="1262" t="str">
        <f>B965</f>
        <v xml:space="preserve">GASTOS VARIOS </v>
      </c>
      <c r="I965" s="857"/>
    </row>
    <row r="966" spans="1:12" ht="15" customHeight="1" x14ac:dyDescent="0.25">
      <c r="B966" s="1255"/>
      <c r="C966" s="857"/>
      <c r="D966" s="1256"/>
      <c r="E966" s="1248"/>
      <c r="F966" s="1257"/>
      <c r="G966" s="1266"/>
      <c r="H966" s="857"/>
      <c r="I966" s="857"/>
    </row>
    <row r="967" spans="1:12" ht="15" customHeight="1" x14ac:dyDescent="0.25">
      <c r="B967" s="1255"/>
      <c r="C967" s="857"/>
      <c r="D967" s="1256"/>
      <c r="E967" s="1248"/>
      <c r="F967" s="1257"/>
      <c r="G967" s="1266"/>
      <c r="H967" s="857"/>
      <c r="I967" s="857"/>
    </row>
    <row r="968" spans="1:12" ht="15" customHeight="1" thickBot="1" x14ac:dyDescent="0.3">
      <c r="F968" s="1267">
        <f>SUM(F950:F963)</f>
        <v>396230.76</v>
      </c>
      <c r="G968" s="1268">
        <f>SUM(G964:G965)</f>
        <v>5775.5557583349791</v>
      </c>
      <c r="H968" s="733" t="s">
        <v>412</v>
      </c>
    </row>
    <row r="969" spans="1:12" ht="15" customHeight="1" thickTop="1" x14ac:dyDescent="0.25">
      <c r="G969" s="1257">
        <f>G968*56%</f>
        <v>3234.3112246675887</v>
      </c>
      <c r="H969" s="1274">
        <v>0.56000000000000005</v>
      </c>
      <c r="I969" s="733" t="s">
        <v>539</v>
      </c>
    </row>
    <row r="970" spans="1:12" ht="15" customHeight="1" thickBot="1" x14ac:dyDescent="0.3">
      <c r="G970" s="1270">
        <f>G968+G969</f>
        <v>9009.8669830025683</v>
      </c>
      <c r="H970" s="733" t="s">
        <v>414</v>
      </c>
    </row>
    <row r="971" spans="1:12" ht="15" customHeight="1" thickTop="1" x14ac:dyDescent="0.25"/>
    <row r="974" spans="1:12" ht="15" customHeight="1" x14ac:dyDescent="0.25">
      <c r="B974" s="1222" t="s">
        <v>61</v>
      </c>
      <c r="C974" s="1219" t="s">
        <v>143</v>
      </c>
      <c r="D974" s="733"/>
    </row>
    <row r="975" spans="1:12" ht="15" customHeight="1" x14ac:dyDescent="0.25">
      <c r="A975" s="1223" t="s">
        <v>718</v>
      </c>
      <c r="B975" s="1222" t="s">
        <v>62</v>
      </c>
      <c r="C975" s="1219" t="str">
        <f>VLOOKUP(C974,LISTPROD[],2,FALSE)</f>
        <v>HEPATOX LT</v>
      </c>
      <c r="D975" s="733" t="s">
        <v>486</v>
      </c>
      <c r="E975" s="733" t="s">
        <v>491</v>
      </c>
    </row>
    <row r="976" spans="1:12" ht="15" customHeight="1" x14ac:dyDescent="0.25">
      <c r="B976" s="1222" t="s">
        <v>234</v>
      </c>
      <c r="C976" s="1219" t="str">
        <f>VLOOKUP(C974,LISTPROD[],9,FALSE)</f>
        <v>1000 ML</v>
      </c>
      <c r="D976" s="733"/>
    </row>
    <row r="977" spans="1:29" ht="15" customHeight="1" x14ac:dyDescent="0.25">
      <c r="B977" s="1222" t="s">
        <v>239</v>
      </c>
      <c r="C977" s="1224">
        <v>220</v>
      </c>
      <c r="D977" s="1218"/>
    </row>
    <row r="978" spans="1:29" ht="15" customHeight="1" x14ac:dyDescent="0.25">
      <c r="B978" s="1222" t="s">
        <v>240</v>
      </c>
      <c r="C978" s="1219"/>
      <c r="D978" s="733"/>
    </row>
    <row r="979" spans="1:29" ht="15" customHeight="1" x14ac:dyDescent="0.25">
      <c r="B979" s="1222" t="s">
        <v>238</v>
      </c>
      <c r="C979" s="733" t="s">
        <v>56</v>
      </c>
      <c r="D979" s="857" t="s">
        <v>449</v>
      </c>
    </row>
    <row r="980" spans="1:29" ht="24.75" customHeight="1" x14ac:dyDescent="0.25">
      <c r="B980" s="1225" t="s">
        <v>410</v>
      </c>
      <c r="C980" s="753">
        <v>1000</v>
      </c>
      <c r="D980" s="1226"/>
    </row>
    <row r="981" spans="1:29" ht="15" customHeight="1" x14ac:dyDescent="0.25">
      <c r="A981" s="1227"/>
      <c r="B981" s="1436" t="s">
        <v>404</v>
      </c>
      <c r="C981" s="1436"/>
      <c r="D981" s="1436"/>
      <c r="E981" s="1436"/>
      <c r="F981" s="1436"/>
      <c r="G981" s="1228"/>
      <c r="H981" s="1437" t="s">
        <v>416</v>
      </c>
      <c r="I981" s="1438"/>
    </row>
    <row r="982" spans="1:29" ht="34.5" customHeight="1" x14ac:dyDescent="0.25">
      <c r="A982" s="1229"/>
      <c r="B982" s="1230" t="s">
        <v>398</v>
      </c>
      <c r="C982" s="1231" t="s">
        <v>441</v>
      </c>
      <c r="D982" s="1232" t="s">
        <v>399</v>
      </c>
      <c r="E982" s="1233" t="s">
        <v>402</v>
      </c>
      <c r="F982" s="1232" t="s">
        <v>399</v>
      </c>
      <c r="G982" s="1232" t="s">
        <v>411</v>
      </c>
      <c r="H982" s="1234" t="s">
        <v>408</v>
      </c>
      <c r="I982" s="1235" t="s">
        <v>415</v>
      </c>
      <c r="K982" s="1236" t="s">
        <v>603</v>
      </c>
      <c r="L982" s="1237" t="s">
        <v>604</v>
      </c>
    </row>
    <row r="983" spans="1:29" ht="15" customHeight="1" x14ac:dyDescent="0.25">
      <c r="A983" s="1238"/>
      <c r="B983" s="1228" t="s">
        <v>248</v>
      </c>
      <c r="C983" s="1228">
        <v>1000</v>
      </c>
      <c r="D983" s="1239">
        <f>'Prec Materia Prima y Empaq'!$H$21</f>
        <v>15400</v>
      </c>
      <c r="E983" s="1240">
        <f>D983*19%</f>
        <v>2926</v>
      </c>
      <c r="F983" s="1241">
        <f>+E983+D983</f>
        <v>18326</v>
      </c>
      <c r="G983" s="1240">
        <f>F983/C983*H983</f>
        <v>16493.400000000001</v>
      </c>
      <c r="H983" s="1242">
        <v>900</v>
      </c>
      <c r="I983" s="1228" t="s">
        <v>450</v>
      </c>
      <c r="K983" s="1242">
        <f>H983/$C$977</f>
        <v>4.0909090909090908</v>
      </c>
      <c r="L983" s="1243">
        <f>F983/C983*K983</f>
        <v>74.97</v>
      </c>
    </row>
    <row r="984" spans="1:29" ht="15" customHeight="1" x14ac:dyDescent="0.25">
      <c r="A984" s="1238"/>
      <c r="B984" s="1228" t="s">
        <v>443</v>
      </c>
      <c r="C984" s="1228">
        <v>1000</v>
      </c>
      <c r="D984" s="1239">
        <f>'Prec Materia Prima y Empaq'!$H$11</f>
        <v>8000</v>
      </c>
      <c r="E984" s="1240">
        <f t="shared" ref="E984:E989" si="352">D984*19%</f>
        <v>1520</v>
      </c>
      <c r="F984" s="1241">
        <f t="shared" ref="F984:F993" si="353">+E984+D984</f>
        <v>9520</v>
      </c>
      <c r="G984" s="1240">
        <f t="shared" ref="G984:G989" si="354">F984/C984*H984</f>
        <v>5712</v>
      </c>
      <c r="H984" s="1242">
        <v>600</v>
      </c>
      <c r="I984" s="1228" t="s">
        <v>450</v>
      </c>
      <c r="K984" s="1242">
        <f t="shared" ref="K984:K993" si="355">H984/$C$977</f>
        <v>2.7272727272727271</v>
      </c>
      <c r="L984" s="1243">
        <f t="shared" ref="L984:L993" si="356">F984/C984*K984</f>
        <v>25.963636363636361</v>
      </c>
    </row>
    <row r="985" spans="1:29" ht="15" customHeight="1" x14ac:dyDescent="0.25">
      <c r="A985" s="1238"/>
      <c r="B985" s="1228" t="s">
        <v>253</v>
      </c>
      <c r="C985" s="1228">
        <v>1000</v>
      </c>
      <c r="D985" s="1239">
        <f>'Prec Materia Prima y Empaq'!$H$9</f>
        <v>5400</v>
      </c>
      <c r="E985" s="1240">
        <f t="shared" ref="E985" si="357">D985*19%</f>
        <v>1026</v>
      </c>
      <c r="F985" s="1241">
        <f t="shared" ref="F985" si="358">+E985+D985</f>
        <v>6426</v>
      </c>
      <c r="G985" s="1240">
        <f t="shared" si="354"/>
        <v>3213</v>
      </c>
      <c r="H985" s="1242">
        <v>500</v>
      </c>
      <c r="I985" s="1228"/>
      <c r="K985" s="1242">
        <f t="shared" si="355"/>
        <v>2.2727272727272729</v>
      </c>
      <c r="L985" s="1243">
        <f t="shared" si="356"/>
        <v>14.604545454545455</v>
      </c>
    </row>
    <row r="986" spans="1:29" ht="15" customHeight="1" x14ac:dyDescent="0.25">
      <c r="A986" s="1238"/>
      <c r="B986" s="1228" t="s">
        <v>382</v>
      </c>
      <c r="C986" s="1228">
        <v>3785</v>
      </c>
      <c r="D986" s="1239">
        <f>'Prec Materia Prima y Empaq'!$H$18</f>
        <v>24</v>
      </c>
      <c r="E986" s="1240">
        <f t="shared" si="352"/>
        <v>4.5600000000000005</v>
      </c>
      <c r="F986" s="1241">
        <f t="shared" si="353"/>
        <v>28.560000000000002</v>
      </c>
      <c r="G986" s="1240">
        <f t="shared" si="354"/>
        <v>0.37727873183619554</v>
      </c>
      <c r="H986" s="1242">
        <v>50</v>
      </c>
      <c r="I986" s="1228" t="s">
        <v>450</v>
      </c>
      <c r="K986" s="1242">
        <f t="shared" si="355"/>
        <v>0.22727272727272727</v>
      </c>
      <c r="L986" s="1243">
        <f t="shared" si="356"/>
        <v>1.7149033265281615E-3</v>
      </c>
    </row>
    <row r="987" spans="1:29" ht="15" customHeight="1" x14ac:dyDescent="0.25">
      <c r="A987" s="1238"/>
      <c r="B987" s="1228" t="s">
        <v>246</v>
      </c>
      <c r="C987" s="1228">
        <v>1000</v>
      </c>
      <c r="D987" s="1239">
        <f>'Prec Materia Prima y Empaq'!$H$41</f>
        <v>80268</v>
      </c>
      <c r="E987" s="1240">
        <f t="shared" si="352"/>
        <v>15250.92</v>
      </c>
      <c r="F987" s="1241">
        <f t="shared" si="353"/>
        <v>95518.92</v>
      </c>
      <c r="G987" s="1240">
        <f t="shared" si="354"/>
        <v>1910.3783999999998</v>
      </c>
      <c r="H987" s="1242">
        <v>20</v>
      </c>
      <c r="I987" s="1228" t="s">
        <v>450</v>
      </c>
      <c r="K987" s="1242">
        <f t="shared" si="355"/>
        <v>9.0909090909090912E-2</v>
      </c>
      <c r="L987" s="1243">
        <f t="shared" si="356"/>
        <v>8.6835381818181823</v>
      </c>
    </row>
    <row r="988" spans="1:29" ht="30.75" customHeight="1" x14ac:dyDescent="0.25">
      <c r="B988" s="1228" t="s">
        <v>262</v>
      </c>
      <c r="C988" s="1228">
        <v>1000</v>
      </c>
      <c r="D988" s="1239">
        <f>'Prec Materia Prima y Empaq'!$H$55</f>
        <v>50522</v>
      </c>
      <c r="E988" s="1240">
        <f t="shared" si="352"/>
        <v>9599.18</v>
      </c>
      <c r="F988" s="1241">
        <f t="shared" si="353"/>
        <v>60121.18</v>
      </c>
      <c r="G988" s="1240">
        <f t="shared" si="354"/>
        <v>6012.1180000000004</v>
      </c>
      <c r="H988" s="1228">
        <v>100</v>
      </c>
      <c r="I988" s="1228" t="s">
        <v>450</v>
      </c>
      <c r="K988" s="1242">
        <f t="shared" si="355"/>
        <v>0.45454545454545453</v>
      </c>
      <c r="L988" s="1243">
        <f t="shared" si="356"/>
        <v>27.327809090909092</v>
      </c>
    </row>
    <row r="989" spans="1:29" ht="30.75" customHeight="1" x14ac:dyDescent="0.25">
      <c r="B989" s="1228" t="s">
        <v>261</v>
      </c>
      <c r="C989" s="1228">
        <v>1000</v>
      </c>
      <c r="D989" s="1239">
        <f>'Preci Comp Prod'!$E$13</f>
        <v>4700</v>
      </c>
      <c r="E989" s="1240">
        <f t="shared" si="352"/>
        <v>893</v>
      </c>
      <c r="F989" s="1241">
        <f t="shared" si="353"/>
        <v>5593</v>
      </c>
      <c r="G989" s="1240">
        <f t="shared" si="354"/>
        <v>1118.5999999999999</v>
      </c>
      <c r="H989" s="1228">
        <v>200</v>
      </c>
      <c r="I989" s="1228" t="s">
        <v>450</v>
      </c>
      <c r="K989" s="1242">
        <f t="shared" si="355"/>
        <v>0.90909090909090906</v>
      </c>
      <c r="L989" s="1243">
        <f t="shared" si="356"/>
        <v>5.084545454545454</v>
      </c>
    </row>
    <row r="990" spans="1:29" ht="31.5" customHeight="1" x14ac:dyDescent="0.25">
      <c r="B990" s="1220" t="s">
        <v>247</v>
      </c>
      <c r="C990" s="1228">
        <v>1000</v>
      </c>
      <c r="D990" s="1244">
        <f>'Prec Materia Prima y Empaq'!$H$7</f>
        <v>50000</v>
      </c>
      <c r="E990" s="1240">
        <v>0</v>
      </c>
      <c r="F990" s="1241">
        <f t="shared" si="353"/>
        <v>50000</v>
      </c>
      <c r="G990" s="1240">
        <f>F990/C990*H990</f>
        <v>32.022471910112351</v>
      </c>
      <c r="H990" s="1245">
        <v>0.64044943820224698</v>
      </c>
      <c r="I990" s="1245" t="s">
        <v>453</v>
      </c>
      <c r="K990" s="1242">
        <f t="shared" si="355"/>
        <v>2.9111338100102136E-3</v>
      </c>
      <c r="L990" s="1243">
        <f t="shared" si="356"/>
        <v>0.14555669050051068</v>
      </c>
      <c r="N990" s="1220" t="s">
        <v>247</v>
      </c>
      <c r="O990" s="1247">
        <v>1</v>
      </c>
      <c r="P990" s="1240">
        <f>$F$391/$C$391*$O$391</f>
        <v>50</v>
      </c>
      <c r="Q990" s="1248"/>
      <c r="R990" s="1249" t="e">
        <f>P990/O979</f>
        <v>#DIV/0!</v>
      </c>
      <c r="S990" s="1248" t="e">
        <f>R990*1000</f>
        <v>#DIV/0!</v>
      </c>
      <c r="T990" s="1250">
        <f>O990/$O$380*1000</f>
        <v>2.5641025641025641E-3</v>
      </c>
      <c r="U990" s="1238">
        <f>T990*$M$380</f>
        <v>1</v>
      </c>
      <c r="Y990" s="1238"/>
      <c r="Z990" s="1238"/>
      <c r="AA990" s="1251"/>
      <c r="AC990" s="1252"/>
    </row>
    <row r="991" spans="1:29" ht="31.5" customHeight="1" x14ac:dyDescent="0.25">
      <c r="A991" s="1218"/>
      <c r="B991" s="1220" t="s">
        <v>494</v>
      </c>
      <c r="C991" s="1220">
        <v>1</v>
      </c>
      <c r="D991" s="1244">
        <f>'Prec Materia Prima y Empaq'!$H$141</f>
        <v>1500</v>
      </c>
      <c r="E991" s="1240">
        <v>0</v>
      </c>
      <c r="F991" s="1241">
        <f t="shared" si="353"/>
        <v>1500</v>
      </c>
      <c r="G991" s="1253">
        <f t="shared" ref="G991:G993" si="359">F991*H991</f>
        <v>330000</v>
      </c>
      <c r="H991" s="1228">
        <f t="shared" ref="H991:H993" si="360">$C$977</f>
        <v>220</v>
      </c>
      <c r="I991" s="1228" t="s">
        <v>450</v>
      </c>
      <c r="K991" s="1242">
        <f t="shared" si="355"/>
        <v>1</v>
      </c>
      <c r="L991" s="1243">
        <f t="shared" si="356"/>
        <v>1500</v>
      </c>
    </row>
    <row r="992" spans="1:29" ht="57" customHeight="1" x14ac:dyDescent="0.25">
      <c r="B992" s="1220" t="s">
        <v>695</v>
      </c>
      <c r="C992" s="1220">
        <v>1</v>
      </c>
      <c r="D992" s="1272">
        <f>'Prec Materia Prima y Empaq'!$H$161</f>
        <v>300</v>
      </c>
      <c r="E992" s="1240">
        <v>0</v>
      </c>
      <c r="F992" s="1241">
        <f t="shared" si="353"/>
        <v>300</v>
      </c>
      <c r="G992" s="1253">
        <f t="shared" si="359"/>
        <v>66000</v>
      </c>
      <c r="H992" s="1228">
        <f t="shared" si="360"/>
        <v>220</v>
      </c>
      <c r="I992" s="1245" t="s">
        <v>453</v>
      </c>
      <c r="K992" s="1242">
        <f t="shared" si="355"/>
        <v>1</v>
      </c>
      <c r="L992" s="1243">
        <f t="shared" si="356"/>
        <v>300</v>
      </c>
    </row>
    <row r="993" spans="1:12" ht="24" customHeight="1" x14ac:dyDescent="0.25">
      <c r="B993" s="1254" t="s">
        <v>310</v>
      </c>
      <c r="C993" s="1245">
        <v>1</v>
      </c>
      <c r="D993" s="1244">
        <f>'Prec Materia Prima y Empaq'!$H$130</f>
        <v>100</v>
      </c>
      <c r="E993" s="1240">
        <v>0</v>
      </c>
      <c r="F993" s="1241">
        <f t="shared" si="353"/>
        <v>100</v>
      </c>
      <c r="G993" s="1253">
        <f t="shared" si="359"/>
        <v>22000</v>
      </c>
      <c r="H993" s="1228">
        <f t="shared" si="360"/>
        <v>220</v>
      </c>
      <c r="I993" s="1245" t="s">
        <v>453</v>
      </c>
      <c r="K993" s="1242">
        <f t="shared" si="355"/>
        <v>1</v>
      </c>
      <c r="L993" s="1243">
        <f t="shared" si="356"/>
        <v>100</v>
      </c>
    </row>
    <row r="994" spans="1:12" ht="19.5" customHeight="1" thickBot="1" x14ac:dyDescent="0.3">
      <c r="B994" s="1255"/>
      <c r="C994" s="857"/>
      <c r="D994" s="1256"/>
      <c r="E994" s="1248"/>
      <c r="F994" s="1257"/>
      <c r="G994" s="1258">
        <f>SUM(G983:G993)/C977</f>
        <v>2056.7813461392816</v>
      </c>
      <c r="H994" s="1259" t="s">
        <v>454</v>
      </c>
      <c r="I994" s="857"/>
      <c r="L994" s="1260">
        <f>SUM(L983:L993)</f>
        <v>2056.7813461392816</v>
      </c>
    </row>
    <row r="995" spans="1:12" ht="15" customHeight="1" thickTop="1" x14ac:dyDescent="0.25">
      <c r="B995" s="1261" t="s">
        <v>409</v>
      </c>
      <c r="C995" s="1262"/>
      <c r="D995" s="1263">
        <f>+'Gtos Varios'!I14</f>
        <v>3672.93</v>
      </c>
      <c r="E995" s="1262"/>
      <c r="F995" s="1264">
        <f t="shared" ref="F995" si="361">+E995+D995</f>
        <v>3672.93</v>
      </c>
      <c r="G995" s="1265">
        <f>F995</f>
        <v>3672.93</v>
      </c>
      <c r="H995" s="1262" t="str">
        <f>B995</f>
        <v xml:space="preserve">GASTOS VARIOS </v>
      </c>
      <c r="I995" s="1262"/>
    </row>
    <row r="996" spans="1:12" ht="15" customHeight="1" x14ac:dyDescent="0.25">
      <c r="B996" s="1255"/>
      <c r="C996" s="857"/>
      <c r="D996" s="1256"/>
      <c r="E996" s="1248"/>
      <c r="F996" s="1257"/>
      <c r="G996" s="1266"/>
      <c r="H996" s="857"/>
      <c r="I996" s="857"/>
    </row>
    <row r="997" spans="1:12" ht="15" customHeight="1" x14ac:dyDescent="0.25">
      <c r="B997" s="1255"/>
      <c r="C997" s="857"/>
      <c r="D997" s="1256"/>
      <c r="E997" s="1248"/>
      <c r="F997" s="1257"/>
      <c r="G997" s="1266"/>
      <c r="H997" s="857"/>
      <c r="I997" s="857"/>
    </row>
    <row r="998" spans="1:12" ht="15" customHeight="1" thickBot="1" x14ac:dyDescent="0.3">
      <c r="F998" s="1267">
        <f>SUM(F983:F993)</f>
        <v>247433.66</v>
      </c>
      <c r="G998" s="1268">
        <f>SUM(G994:G995)</f>
        <v>5729.7113461392819</v>
      </c>
      <c r="H998" s="733" t="s">
        <v>412</v>
      </c>
    </row>
    <row r="999" spans="1:12" ht="15" customHeight="1" thickTop="1" x14ac:dyDescent="0.25">
      <c r="G999" s="1295">
        <f>G998*59%</f>
        <v>3380.5296942221762</v>
      </c>
      <c r="H999" s="1274">
        <v>0.59</v>
      </c>
      <c r="I999" s="733" t="s">
        <v>539</v>
      </c>
    </row>
    <row r="1000" spans="1:12" ht="15" customHeight="1" thickBot="1" x14ac:dyDescent="0.3">
      <c r="G1000" s="1270">
        <f>G998+G999</f>
        <v>9110.2410403614576</v>
      </c>
      <c r="H1000" s="733" t="s">
        <v>414</v>
      </c>
    </row>
    <row r="1001" spans="1:12" ht="15" customHeight="1" thickTop="1" x14ac:dyDescent="0.25"/>
    <row r="1003" spans="1:12" ht="15" customHeight="1" x14ac:dyDescent="0.25">
      <c r="B1003" s="1222" t="s">
        <v>61</v>
      </c>
      <c r="C1003" s="1219" t="s">
        <v>145</v>
      </c>
      <c r="D1003" s="733"/>
      <c r="E1003" s="853"/>
      <c r="F1003" s="853"/>
      <c r="G1003" s="853"/>
      <c r="H1003" s="853"/>
    </row>
    <row r="1004" spans="1:12" ht="15" customHeight="1" x14ac:dyDescent="0.25">
      <c r="A1004" s="1223" t="s">
        <v>718</v>
      </c>
      <c r="B1004" s="1222" t="s">
        <v>62</v>
      </c>
      <c r="C1004" s="1219" t="str">
        <f>VLOOKUP(C1003,LISTPROD[],2,FALSE)</f>
        <v>INFAMOL-JARABE 500 ML</v>
      </c>
      <c r="D1004" s="1219" t="s">
        <v>486</v>
      </c>
      <c r="E1004" s="853" t="s">
        <v>714</v>
      </c>
      <c r="F1004" s="853"/>
      <c r="G1004" s="853"/>
      <c r="H1004" s="853"/>
    </row>
    <row r="1005" spans="1:12" ht="15" customHeight="1" x14ac:dyDescent="0.25">
      <c r="B1005" s="1222" t="s">
        <v>234</v>
      </c>
      <c r="C1005" s="1219" t="str">
        <f>VLOOKUP(C1003,LISTPROD[],9,FALSE)</f>
        <v>500 ML</v>
      </c>
      <c r="D1005" s="733"/>
      <c r="E1005" s="853"/>
      <c r="F1005" s="853"/>
      <c r="G1005" s="853"/>
      <c r="H1005" s="853"/>
    </row>
    <row r="1006" spans="1:12" ht="15" customHeight="1" x14ac:dyDescent="0.25">
      <c r="B1006" s="1222" t="s">
        <v>239</v>
      </c>
      <c r="C1006" s="1301">
        <v>420</v>
      </c>
      <c r="D1006" s="1218"/>
      <c r="E1006" s="853"/>
      <c r="F1006" s="853"/>
      <c r="G1006" s="853"/>
      <c r="H1006" s="853"/>
    </row>
    <row r="1007" spans="1:12" ht="15" customHeight="1" x14ac:dyDescent="0.25">
      <c r="B1007" s="1222" t="s">
        <v>240</v>
      </c>
      <c r="C1007" s="1219"/>
      <c r="D1007" s="733"/>
    </row>
    <row r="1008" spans="1:12" ht="15" customHeight="1" x14ac:dyDescent="0.25">
      <c r="B1008" s="1222" t="s">
        <v>238</v>
      </c>
      <c r="C1008" s="733" t="s">
        <v>56</v>
      </c>
      <c r="D1008" s="1218" t="s">
        <v>449</v>
      </c>
    </row>
    <row r="1009" spans="1:29" ht="15" customHeight="1" x14ac:dyDescent="0.25">
      <c r="B1009" s="1225" t="s">
        <v>410</v>
      </c>
      <c r="C1009" s="753">
        <v>500</v>
      </c>
      <c r="D1009" s="1226"/>
    </row>
    <row r="1010" spans="1:29" ht="15" customHeight="1" x14ac:dyDescent="0.25">
      <c r="A1010" s="1227"/>
      <c r="B1010" s="1436" t="s">
        <v>404</v>
      </c>
      <c r="C1010" s="1436"/>
      <c r="D1010" s="1436"/>
      <c r="E1010" s="1436"/>
      <c r="F1010" s="1436"/>
      <c r="G1010" s="1228"/>
      <c r="H1010" s="1437" t="s">
        <v>416</v>
      </c>
      <c r="I1010" s="1438"/>
    </row>
    <row r="1011" spans="1:29" ht="34.5" customHeight="1" x14ac:dyDescent="0.25">
      <c r="A1011" s="1229"/>
      <c r="B1011" s="1230" t="s">
        <v>398</v>
      </c>
      <c r="C1011" s="1231" t="s">
        <v>441</v>
      </c>
      <c r="D1011" s="1232" t="s">
        <v>399</v>
      </c>
      <c r="E1011" s="1233" t="s">
        <v>402</v>
      </c>
      <c r="F1011" s="1232" t="s">
        <v>399</v>
      </c>
      <c r="G1011" s="1232" t="s">
        <v>411</v>
      </c>
      <c r="H1011" s="1234" t="s">
        <v>408</v>
      </c>
      <c r="I1011" s="1235" t="s">
        <v>415</v>
      </c>
      <c r="K1011" s="1236" t="s">
        <v>603</v>
      </c>
      <c r="L1011" s="1237" t="s">
        <v>604</v>
      </c>
    </row>
    <row r="1012" spans="1:29" ht="15" customHeight="1" x14ac:dyDescent="0.25">
      <c r="A1012" s="1238"/>
      <c r="B1012" s="1228" t="s">
        <v>248</v>
      </c>
      <c r="C1012" s="1228">
        <v>1000</v>
      </c>
      <c r="D1012" s="1239">
        <f>'Prec Materia Prima y Empaq'!$H$21</f>
        <v>15400</v>
      </c>
      <c r="E1012" s="1240">
        <f>D1012*19%</f>
        <v>2926</v>
      </c>
      <c r="F1012" s="1241">
        <f>+E1012+D1012</f>
        <v>18326</v>
      </c>
      <c r="G1012" s="1240">
        <f>F1012/C1012*H1012</f>
        <v>12974.808000000001</v>
      </c>
      <c r="H1012" s="1242">
        <v>708</v>
      </c>
      <c r="I1012" s="1228" t="s">
        <v>450</v>
      </c>
      <c r="K1012" s="1242">
        <f>H1012/$C$1006</f>
        <v>1.6857142857142857</v>
      </c>
      <c r="L1012" s="1243">
        <f>F1012/C1012*K1012</f>
        <v>30.892400000000002</v>
      </c>
    </row>
    <row r="1013" spans="1:29" ht="15" customHeight="1" x14ac:dyDescent="0.25">
      <c r="A1013" s="1238"/>
      <c r="B1013" s="1228" t="s">
        <v>443</v>
      </c>
      <c r="C1013" s="1228">
        <v>1000</v>
      </c>
      <c r="D1013" s="1239">
        <f>'Prec Materia Prima y Empaq'!$H$11</f>
        <v>8000</v>
      </c>
      <c r="E1013" s="1240">
        <f t="shared" ref="E1013:E1018" si="362">D1013*19%</f>
        <v>1520</v>
      </c>
      <c r="F1013" s="1241">
        <f t="shared" ref="F1013:F1024" si="363">+E1013+D1013</f>
        <v>9520</v>
      </c>
      <c r="G1013" s="1240">
        <f t="shared" ref="G1013:G1017" si="364">F1013/C1013*H1013</f>
        <v>3884.16</v>
      </c>
      <c r="H1013" s="1242">
        <v>408</v>
      </c>
      <c r="I1013" s="1228" t="s">
        <v>450</v>
      </c>
      <c r="K1013" s="1242">
        <f t="shared" ref="K1013:K1024" si="365">H1013/$C$1006</f>
        <v>0.97142857142857142</v>
      </c>
      <c r="L1013" s="1243">
        <f t="shared" ref="L1013:L1024" si="366">F1013/C1013*K1013</f>
        <v>9.2479999999999993</v>
      </c>
    </row>
    <row r="1014" spans="1:29" ht="15" customHeight="1" x14ac:dyDescent="0.25">
      <c r="A1014" s="1238"/>
      <c r="B1014" s="1228" t="s">
        <v>272</v>
      </c>
      <c r="C1014" s="1228">
        <v>1000</v>
      </c>
      <c r="D1014" s="1239">
        <f>'Prec Materia Prima y Empaq'!$H$15</f>
        <v>18000</v>
      </c>
      <c r="E1014" s="1240">
        <f t="shared" si="362"/>
        <v>3420</v>
      </c>
      <c r="F1014" s="1241">
        <f t="shared" si="363"/>
        <v>21420</v>
      </c>
      <c r="G1014" s="1240">
        <f t="shared" si="364"/>
        <v>149940</v>
      </c>
      <c r="H1014" s="1242">
        <v>7000</v>
      </c>
      <c r="I1014" s="1228" t="s">
        <v>450</v>
      </c>
      <c r="K1014" s="1242">
        <f t="shared" si="365"/>
        <v>16.666666666666668</v>
      </c>
      <c r="L1014" s="1243">
        <f t="shared" si="366"/>
        <v>357.00000000000006</v>
      </c>
    </row>
    <row r="1015" spans="1:29" ht="15" customHeight="1" x14ac:dyDescent="0.25">
      <c r="A1015" s="1238"/>
      <c r="B1015" s="1228" t="s">
        <v>296</v>
      </c>
      <c r="C1015" s="1228">
        <v>1000</v>
      </c>
      <c r="D1015" s="1239">
        <f>'Prec Materia Prima y Empaq'!$H$48</f>
        <v>65000</v>
      </c>
      <c r="E1015" s="1240">
        <f t="shared" si="362"/>
        <v>12350</v>
      </c>
      <c r="F1015" s="1241">
        <f t="shared" si="363"/>
        <v>77350</v>
      </c>
      <c r="G1015" s="1240">
        <f t="shared" si="364"/>
        <v>8972.5999999999985</v>
      </c>
      <c r="H1015" s="1242">
        <v>116</v>
      </c>
      <c r="I1015" s="1228" t="s">
        <v>450</v>
      </c>
      <c r="K1015" s="1242">
        <f t="shared" si="365"/>
        <v>0.27619047619047621</v>
      </c>
      <c r="L1015" s="1243">
        <f t="shared" si="366"/>
        <v>21.363333333333333</v>
      </c>
    </row>
    <row r="1016" spans="1:29" ht="15" customHeight="1" x14ac:dyDescent="0.25">
      <c r="A1016" s="1238"/>
      <c r="B1016" s="1228" t="s">
        <v>261</v>
      </c>
      <c r="C1016" s="1228">
        <v>1000</v>
      </c>
      <c r="D1016" s="1239">
        <f>'Prec Materia Prima y Empaq'!$H$12</f>
        <v>4700</v>
      </c>
      <c r="E1016" s="1240">
        <f t="shared" si="362"/>
        <v>893</v>
      </c>
      <c r="F1016" s="1241">
        <f t="shared" si="363"/>
        <v>5593</v>
      </c>
      <c r="G1016" s="1240">
        <f t="shared" si="364"/>
        <v>1398.25</v>
      </c>
      <c r="H1016" s="1242">
        <v>250</v>
      </c>
      <c r="I1016" s="1228" t="s">
        <v>450</v>
      </c>
      <c r="K1016" s="1242">
        <f t="shared" si="365"/>
        <v>0.59523809523809523</v>
      </c>
      <c r="L1016" s="1243">
        <f t="shared" si="366"/>
        <v>3.3291666666666666</v>
      </c>
    </row>
    <row r="1017" spans="1:29" ht="15" customHeight="1" x14ac:dyDescent="0.25">
      <c r="A1017" s="1238"/>
      <c r="B1017" s="1228" t="s">
        <v>297</v>
      </c>
      <c r="C1017" s="1228">
        <v>1000</v>
      </c>
      <c r="D1017" s="1239">
        <f>'Prec Materia Prima y Empaq'!$H$39</f>
        <v>210084.03</v>
      </c>
      <c r="E1017" s="1240">
        <f t="shared" si="362"/>
        <v>39915.965700000001</v>
      </c>
      <c r="F1017" s="1241">
        <f t="shared" si="363"/>
        <v>249999.9957</v>
      </c>
      <c r="G1017" s="1240">
        <f t="shared" si="364"/>
        <v>16999.9997076</v>
      </c>
      <c r="H1017" s="1242">
        <v>68</v>
      </c>
      <c r="I1017" s="1228" t="s">
        <v>450</v>
      </c>
      <c r="K1017" s="1242">
        <f t="shared" si="365"/>
        <v>0.16190476190476191</v>
      </c>
      <c r="L1017" s="1243">
        <f t="shared" si="366"/>
        <v>40.476189779999999</v>
      </c>
    </row>
    <row r="1018" spans="1:29" ht="15" customHeight="1" x14ac:dyDescent="0.25">
      <c r="A1018" s="1238"/>
      <c r="B1018" s="1228" t="s">
        <v>382</v>
      </c>
      <c r="C1018" s="1228">
        <v>3785</v>
      </c>
      <c r="D1018" s="1239">
        <f>'Prec Materia Prima y Empaq'!$H$18</f>
        <v>24</v>
      </c>
      <c r="E1018" s="1240">
        <f t="shared" si="362"/>
        <v>4.5600000000000005</v>
      </c>
      <c r="F1018" s="1241">
        <f t="shared" si="363"/>
        <v>28.560000000000002</v>
      </c>
      <c r="G1018" s="1240">
        <f>F1018/C1018*H1018</f>
        <v>0.37727873183619554</v>
      </c>
      <c r="H1018" s="1242">
        <v>50</v>
      </c>
      <c r="I1018" s="1228" t="s">
        <v>450</v>
      </c>
      <c r="K1018" s="1242">
        <f t="shared" si="365"/>
        <v>0.11904761904761904</v>
      </c>
      <c r="L1018" s="1243">
        <f t="shared" si="366"/>
        <v>8.9828269484808459E-4</v>
      </c>
    </row>
    <row r="1019" spans="1:29" ht="31.5" customHeight="1" x14ac:dyDescent="0.25">
      <c r="B1019" s="1220" t="s">
        <v>247</v>
      </c>
      <c r="C1019" s="1228">
        <v>1000</v>
      </c>
      <c r="D1019" s="1244">
        <f>'Prec Materia Prima y Empaq'!$H$7</f>
        <v>50000</v>
      </c>
      <c r="E1019" s="1240">
        <v>0</v>
      </c>
      <c r="F1019" s="1241">
        <f t="shared" si="363"/>
        <v>50000</v>
      </c>
      <c r="G1019" s="1240">
        <f>F1019/C1019*H1019</f>
        <v>32.022471910112351</v>
      </c>
      <c r="H1019" s="1245">
        <v>0.64044943820224698</v>
      </c>
      <c r="I1019" s="1245" t="s">
        <v>453</v>
      </c>
      <c r="K1019" s="1242">
        <f t="shared" ref="K1019" si="367">H1019/$C$977</f>
        <v>2.9111338100102136E-3</v>
      </c>
      <c r="L1019" s="1243">
        <f t="shared" si="366"/>
        <v>0.14555669050051068</v>
      </c>
      <c r="N1019" s="1220" t="s">
        <v>247</v>
      </c>
      <c r="O1019" s="1247">
        <v>1</v>
      </c>
      <c r="P1019" s="1240">
        <f>$F$391/$C$391*$O$391</f>
        <v>50</v>
      </c>
      <c r="Q1019" s="1248"/>
      <c r="R1019" s="1249" t="e">
        <f>P1019/O1008</f>
        <v>#DIV/0!</v>
      </c>
      <c r="S1019" s="1248" t="e">
        <f>R1019*1000</f>
        <v>#DIV/0!</v>
      </c>
      <c r="T1019" s="1250">
        <f>O1019/$O$380*1000</f>
        <v>2.5641025641025641E-3</v>
      </c>
      <c r="U1019" s="1238">
        <f>T1019*$M$380</f>
        <v>1</v>
      </c>
      <c r="Y1019" s="1238"/>
      <c r="Z1019" s="1238"/>
      <c r="AA1019" s="1251"/>
      <c r="AC1019" s="1252"/>
    </row>
    <row r="1020" spans="1:29" ht="30.75" customHeight="1" x14ac:dyDescent="0.25">
      <c r="A1020" s="1238"/>
      <c r="B1020" s="1220" t="s">
        <v>677</v>
      </c>
      <c r="C1020" s="1220">
        <v>1</v>
      </c>
      <c r="D1020" s="1244">
        <f>'Prec Materia Prima y Empaq'!$H$127</f>
        <v>750</v>
      </c>
      <c r="E1020" s="1240">
        <v>0</v>
      </c>
      <c r="F1020" s="1241">
        <f t="shared" si="363"/>
        <v>750</v>
      </c>
      <c r="G1020" s="1253">
        <f t="shared" ref="G1020:G1024" si="368">F1020*H1020</f>
        <v>315000</v>
      </c>
      <c r="H1020" s="1245">
        <f>$C$1764</f>
        <v>420</v>
      </c>
      <c r="I1020" s="1245" t="s">
        <v>453</v>
      </c>
      <c r="K1020" s="1242">
        <f t="shared" si="365"/>
        <v>1</v>
      </c>
      <c r="L1020" s="1243">
        <f t="shared" si="366"/>
        <v>750</v>
      </c>
    </row>
    <row r="1021" spans="1:29" ht="15" customHeight="1" x14ac:dyDescent="0.25">
      <c r="A1021" s="1238"/>
      <c r="B1021" s="1220" t="s">
        <v>614</v>
      </c>
      <c r="C1021" s="1220">
        <v>1</v>
      </c>
      <c r="D1021" s="1244">
        <f>'Prec Materia Prima y Empaq'!$H$144</f>
        <v>70</v>
      </c>
      <c r="E1021" s="1240">
        <v>0</v>
      </c>
      <c r="F1021" s="1241">
        <f t="shared" si="363"/>
        <v>70</v>
      </c>
      <c r="G1021" s="1253">
        <f t="shared" si="368"/>
        <v>29400</v>
      </c>
      <c r="H1021" s="1245">
        <f>H1020</f>
        <v>420</v>
      </c>
      <c r="I1021" s="1245" t="s">
        <v>453</v>
      </c>
      <c r="K1021" s="1242">
        <f t="shared" si="365"/>
        <v>1</v>
      </c>
      <c r="L1021" s="1243">
        <f t="shared" si="366"/>
        <v>70</v>
      </c>
    </row>
    <row r="1022" spans="1:29" ht="15" customHeight="1" x14ac:dyDescent="0.25">
      <c r="A1022" s="1238"/>
      <c r="B1022" s="1245" t="s">
        <v>452</v>
      </c>
      <c r="C1022" s="1245">
        <v>1</v>
      </c>
      <c r="D1022" s="1244">
        <f>'Prec Materia Prima y Empaq'!$H$140</f>
        <v>120</v>
      </c>
      <c r="E1022" s="1240">
        <v>0</v>
      </c>
      <c r="F1022" s="1241">
        <f t="shared" si="363"/>
        <v>120</v>
      </c>
      <c r="G1022" s="1253">
        <f t="shared" si="368"/>
        <v>50400</v>
      </c>
      <c r="H1022" s="1245">
        <f>H1020</f>
        <v>420</v>
      </c>
      <c r="I1022" s="1245" t="s">
        <v>453</v>
      </c>
      <c r="K1022" s="1242">
        <f t="shared" si="365"/>
        <v>1</v>
      </c>
      <c r="L1022" s="1243">
        <f t="shared" si="366"/>
        <v>120</v>
      </c>
    </row>
    <row r="1023" spans="1:29" ht="15" customHeight="1" x14ac:dyDescent="0.25">
      <c r="A1023" s="1238"/>
      <c r="B1023" s="1254" t="s">
        <v>310</v>
      </c>
      <c r="C1023" s="1245">
        <v>1</v>
      </c>
      <c r="D1023" s="1244">
        <f>'Prec Materia Prima y Empaq'!$H$130</f>
        <v>100</v>
      </c>
      <c r="E1023" s="1240">
        <v>0</v>
      </c>
      <c r="F1023" s="1241">
        <f t="shared" si="363"/>
        <v>100</v>
      </c>
      <c r="G1023" s="1253">
        <f t="shared" si="368"/>
        <v>42000</v>
      </c>
      <c r="H1023" s="1245">
        <f>H1020</f>
        <v>420</v>
      </c>
      <c r="I1023" s="1245" t="s">
        <v>453</v>
      </c>
      <c r="K1023" s="1242">
        <f t="shared" si="365"/>
        <v>1</v>
      </c>
      <c r="L1023" s="1243">
        <f t="shared" si="366"/>
        <v>100</v>
      </c>
    </row>
    <row r="1024" spans="1:29" ht="30.75" customHeight="1" x14ac:dyDescent="0.25">
      <c r="B1024" s="1245" t="s">
        <v>309</v>
      </c>
      <c r="C1024" s="1245">
        <v>1</v>
      </c>
      <c r="D1024" s="1244">
        <f>'Prec Materia Prima y Empaq'!$H$129</f>
        <v>800</v>
      </c>
      <c r="E1024" s="1240">
        <v>0</v>
      </c>
      <c r="F1024" s="1241">
        <f t="shared" si="363"/>
        <v>800</v>
      </c>
      <c r="G1024" s="1253">
        <f t="shared" si="368"/>
        <v>336000</v>
      </c>
      <c r="H1024" s="1245">
        <f>H1020</f>
        <v>420</v>
      </c>
      <c r="I1024" s="1245" t="s">
        <v>453</v>
      </c>
      <c r="K1024" s="1242">
        <f t="shared" si="365"/>
        <v>1</v>
      </c>
      <c r="L1024" s="1243">
        <f t="shared" si="366"/>
        <v>800</v>
      </c>
    </row>
    <row r="1025" spans="1:12" ht="19.5" customHeight="1" thickBot="1" x14ac:dyDescent="0.3">
      <c r="B1025" s="1255"/>
      <c r="C1025" s="857"/>
      <c r="D1025" s="1256"/>
      <c r="E1025" s="1248"/>
      <c r="F1025" s="1257"/>
      <c r="G1025" s="1258">
        <f>SUM(G1012:G1024)/C1006</f>
        <v>2302.3862320434332</v>
      </c>
      <c r="H1025" s="1259" t="s">
        <v>454</v>
      </c>
      <c r="I1025" s="857"/>
      <c r="L1025" s="1260">
        <f>SUM(L1012:L1024)</f>
        <v>2302.4555447531952</v>
      </c>
    </row>
    <row r="1026" spans="1:12" ht="15" customHeight="1" thickTop="1" x14ac:dyDescent="0.25">
      <c r="B1026" s="1261" t="s">
        <v>409</v>
      </c>
      <c r="C1026" s="1262"/>
      <c r="D1026" s="1263">
        <f>+'Gtos Varios'!I14</f>
        <v>3672.93</v>
      </c>
      <c r="E1026" s="1262"/>
      <c r="F1026" s="1264">
        <f t="shared" ref="F1026" si="369">+E1026+D1026</f>
        <v>3672.93</v>
      </c>
      <c r="G1026" s="1265">
        <f>F1026</f>
        <v>3672.93</v>
      </c>
      <c r="H1026" s="1262" t="str">
        <f>B1026</f>
        <v xml:space="preserve">GASTOS VARIOS </v>
      </c>
      <c r="I1026" s="857"/>
    </row>
    <row r="1027" spans="1:12" ht="15" customHeight="1" x14ac:dyDescent="0.25">
      <c r="B1027" s="1255"/>
      <c r="C1027" s="857"/>
      <c r="D1027" s="1256"/>
      <c r="E1027" s="1248"/>
      <c r="F1027" s="1257"/>
      <c r="G1027" s="1266"/>
      <c r="H1027" s="857"/>
      <c r="I1027" s="857"/>
    </row>
    <row r="1028" spans="1:12" ht="15" customHeight="1" x14ac:dyDescent="0.25">
      <c r="B1028" s="1255"/>
      <c r="C1028" s="857"/>
      <c r="D1028" s="1256"/>
      <c r="E1028" s="1248"/>
      <c r="F1028" s="1257"/>
      <c r="G1028" s="1266"/>
      <c r="H1028" s="857"/>
      <c r="I1028" s="857"/>
    </row>
    <row r="1029" spans="1:12" ht="15" customHeight="1" thickBot="1" x14ac:dyDescent="0.3">
      <c r="F1029" s="1267">
        <f>SUM(F1012:F1024)</f>
        <v>434077.55569999997</v>
      </c>
      <c r="G1029" s="1268">
        <f>SUM(G1025:G1026)</f>
        <v>5975.316232043433</v>
      </c>
      <c r="H1029" s="733" t="s">
        <v>412</v>
      </c>
    </row>
    <row r="1030" spans="1:12" ht="15" customHeight="1" thickTop="1" x14ac:dyDescent="0.25">
      <c r="G1030" s="1257">
        <f>G1029*55%</f>
        <v>3286.4239276238886</v>
      </c>
      <c r="H1030" s="1274">
        <v>0.55000000000000004</v>
      </c>
      <c r="I1030" s="733" t="s">
        <v>539</v>
      </c>
    </row>
    <row r="1031" spans="1:12" ht="15" customHeight="1" thickBot="1" x14ac:dyDescent="0.3">
      <c r="G1031" s="1270">
        <f>G1029+G1030</f>
        <v>9261.7401596673226</v>
      </c>
      <c r="H1031" s="733" t="s">
        <v>414</v>
      </c>
    </row>
    <row r="1032" spans="1:12" ht="15" customHeight="1" thickTop="1" x14ac:dyDescent="0.25"/>
    <row r="1034" spans="1:12" ht="15" customHeight="1" x14ac:dyDescent="0.25">
      <c r="B1034" s="1222" t="s">
        <v>61</v>
      </c>
      <c r="C1034" s="1219" t="s">
        <v>148</v>
      </c>
      <c r="D1034" s="733"/>
      <c r="E1034" s="853"/>
      <c r="F1034" s="853"/>
      <c r="G1034" s="853"/>
      <c r="H1034" s="853"/>
    </row>
    <row r="1035" spans="1:12" ht="15" customHeight="1" x14ac:dyDescent="0.25">
      <c r="A1035" s="1223" t="s">
        <v>718</v>
      </c>
      <c r="B1035" s="1222" t="s">
        <v>62</v>
      </c>
      <c r="C1035" s="1219" t="str">
        <f>VLOOKUP(C1034,LISTPROD[],2,FALSE)</f>
        <v>KOLOSAN</v>
      </c>
      <c r="D1035" s="1219" t="s">
        <v>486</v>
      </c>
      <c r="E1035" s="860" t="s">
        <v>691</v>
      </c>
      <c r="F1035" s="853"/>
      <c r="G1035" s="853"/>
      <c r="H1035" s="853"/>
    </row>
    <row r="1036" spans="1:12" ht="15" customHeight="1" x14ac:dyDescent="0.25">
      <c r="B1036" s="1222" t="s">
        <v>234</v>
      </c>
      <c r="C1036" s="1219" t="str">
        <f>VLOOKUP(C1034,LISTPROD[],9,FALSE)</f>
        <v>500 ML</v>
      </c>
      <c r="D1036" s="733" t="s">
        <v>727</v>
      </c>
      <c r="E1036" s="847" t="s">
        <v>728</v>
      </c>
      <c r="F1036" s="853"/>
      <c r="G1036" s="853"/>
      <c r="H1036" s="853"/>
    </row>
    <row r="1037" spans="1:12" ht="15" customHeight="1" x14ac:dyDescent="0.25">
      <c r="B1037" s="1222" t="s">
        <v>239</v>
      </c>
      <c r="C1037" s="1301">
        <v>534</v>
      </c>
      <c r="D1037" s="1218"/>
      <c r="E1037" s="853"/>
      <c r="F1037" s="853"/>
      <c r="G1037" s="853"/>
      <c r="H1037" s="853"/>
    </row>
    <row r="1038" spans="1:12" ht="15" customHeight="1" x14ac:dyDescent="0.25">
      <c r="B1038" s="1222" t="s">
        <v>240</v>
      </c>
      <c r="C1038" s="1219"/>
      <c r="D1038" s="733"/>
    </row>
    <row r="1039" spans="1:12" ht="15" customHeight="1" x14ac:dyDescent="0.25">
      <c r="B1039" s="1222" t="s">
        <v>238</v>
      </c>
      <c r="C1039" s="733" t="s">
        <v>56</v>
      </c>
      <c r="D1039" s="1218" t="s">
        <v>449</v>
      </c>
    </row>
    <row r="1040" spans="1:12" ht="15" customHeight="1" x14ac:dyDescent="0.25">
      <c r="B1040" s="1225" t="s">
        <v>410</v>
      </c>
      <c r="C1040" s="753">
        <v>500</v>
      </c>
      <c r="D1040" s="1226"/>
    </row>
    <row r="1041" spans="1:29" ht="15" customHeight="1" x14ac:dyDescent="0.25">
      <c r="A1041" s="1227"/>
      <c r="B1041" s="1436" t="s">
        <v>404</v>
      </c>
      <c r="C1041" s="1436"/>
      <c r="D1041" s="1436"/>
      <c r="E1041" s="1436"/>
      <c r="F1041" s="1436"/>
      <c r="G1041" s="1228"/>
      <c r="H1041" s="1437" t="s">
        <v>416</v>
      </c>
      <c r="I1041" s="1438"/>
    </row>
    <row r="1042" spans="1:29" ht="47.25" customHeight="1" x14ac:dyDescent="0.25">
      <c r="A1042" s="1229"/>
      <c r="B1042" s="1230" t="s">
        <v>398</v>
      </c>
      <c r="C1042" s="1231" t="s">
        <v>441</v>
      </c>
      <c r="D1042" s="1232" t="s">
        <v>399</v>
      </c>
      <c r="E1042" s="1233" t="s">
        <v>402</v>
      </c>
      <c r="F1042" s="1232" t="s">
        <v>399</v>
      </c>
      <c r="G1042" s="1232" t="s">
        <v>411</v>
      </c>
      <c r="H1042" s="1234" t="s">
        <v>408</v>
      </c>
      <c r="I1042" s="1235" t="s">
        <v>415</v>
      </c>
      <c r="K1042" s="1236" t="s">
        <v>603</v>
      </c>
      <c r="L1042" s="1237" t="s">
        <v>604</v>
      </c>
    </row>
    <row r="1043" spans="1:29" ht="15" customHeight="1" x14ac:dyDescent="0.25">
      <c r="A1043" s="1238"/>
      <c r="B1043" s="1228" t="s">
        <v>248</v>
      </c>
      <c r="C1043" s="1228">
        <v>1000</v>
      </c>
      <c r="D1043" s="1239">
        <f>'Prec Materia Prima y Empaq'!$H$21</f>
        <v>15400</v>
      </c>
      <c r="E1043" s="1240">
        <f>D1043*19%</f>
        <v>2926</v>
      </c>
      <c r="F1043" s="1241">
        <f>+E1043+D1043</f>
        <v>18326</v>
      </c>
      <c r="G1043" s="1240">
        <f>F1043/C1043*H1043</f>
        <v>27489</v>
      </c>
      <c r="H1043" s="1242">
        <v>1500</v>
      </c>
      <c r="I1043" s="1228" t="s">
        <v>450</v>
      </c>
      <c r="K1043" s="1242">
        <f>H1043/$C$1037</f>
        <v>2.808988764044944</v>
      </c>
      <c r="L1043" s="1243">
        <f>F1043/C1043*K1043</f>
        <v>51.477528089887649</v>
      </c>
    </row>
    <row r="1044" spans="1:29" ht="15" customHeight="1" x14ac:dyDescent="0.25">
      <c r="A1044" s="1238"/>
      <c r="B1044" s="1228" t="s">
        <v>443</v>
      </c>
      <c r="C1044" s="1228">
        <v>1000</v>
      </c>
      <c r="D1044" s="1239">
        <f>'Prec Materia Prima y Empaq'!$H$11</f>
        <v>8000</v>
      </c>
      <c r="E1044" s="1240">
        <f t="shared" ref="E1044:E1049" si="370">D1044*19%</f>
        <v>1520</v>
      </c>
      <c r="F1044" s="1241">
        <f t="shared" ref="F1044:F1053" si="371">+E1044+D1044</f>
        <v>9520</v>
      </c>
      <c r="G1044" s="1240">
        <f t="shared" ref="G1044:G1048" si="372">F1044/C1044*H1044</f>
        <v>9520</v>
      </c>
      <c r="H1044" s="1242">
        <v>1000</v>
      </c>
      <c r="I1044" s="1228" t="s">
        <v>450</v>
      </c>
      <c r="K1044" s="1242">
        <f t="shared" ref="K1044:K1054" si="373">H1044/$C$1037</f>
        <v>1.8726591760299625</v>
      </c>
      <c r="L1044" s="1243">
        <f t="shared" ref="L1044:L1054" si="374">F1044/C1044*K1044</f>
        <v>17.827715355805243</v>
      </c>
    </row>
    <row r="1045" spans="1:29" ht="15" customHeight="1" x14ac:dyDescent="0.25">
      <c r="A1045" s="1238"/>
      <c r="B1045" s="1228" t="s">
        <v>253</v>
      </c>
      <c r="C1045" s="1228">
        <v>1000</v>
      </c>
      <c r="D1045" s="1239">
        <f>'Prec Materia Prima y Empaq'!$H$9</f>
        <v>5400</v>
      </c>
      <c r="E1045" s="1240">
        <f t="shared" si="370"/>
        <v>1026</v>
      </c>
      <c r="F1045" s="1241">
        <f t="shared" si="371"/>
        <v>6426</v>
      </c>
      <c r="G1045" s="1240">
        <f t="shared" si="372"/>
        <v>4819.5</v>
      </c>
      <c r="H1045" s="1242">
        <v>750</v>
      </c>
      <c r="I1045" s="1228" t="s">
        <v>450</v>
      </c>
      <c r="K1045" s="1242">
        <f t="shared" si="373"/>
        <v>1.404494382022472</v>
      </c>
      <c r="L1045" s="1243">
        <f t="shared" si="374"/>
        <v>9.0252808988764048</v>
      </c>
    </row>
    <row r="1046" spans="1:29" ht="15" customHeight="1" x14ac:dyDescent="0.25">
      <c r="A1046" s="1238"/>
      <c r="B1046" s="1228" t="s">
        <v>261</v>
      </c>
      <c r="C1046" s="1228">
        <v>1000</v>
      </c>
      <c r="D1046" s="1239">
        <f>'Preci Comp Prod'!$E$13</f>
        <v>4700</v>
      </c>
      <c r="E1046" s="1240">
        <f t="shared" si="370"/>
        <v>893</v>
      </c>
      <c r="F1046" s="1241">
        <f t="shared" si="371"/>
        <v>5593</v>
      </c>
      <c r="G1046" s="1241">
        <f t="shared" si="372"/>
        <v>1118.5999999999999</v>
      </c>
      <c r="H1046" s="1228">
        <v>200</v>
      </c>
      <c r="I1046" s="1228" t="s">
        <v>450</v>
      </c>
      <c r="K1046" s="1242">
        <f t="shared" si="373"/>
        <v>0.37453183520599254</v>
      </c>
      <c r="L1046" s="1243">
        <f t="shared" si="374"/>
        <v>2.094756554307116</v>
      </c>
    </row>
    <row r="1047" spans="1:29" ht="15" customHeight="1" x14ac:dyDescent="0.25">
      <c r="A1047" s="1238"/>
      <c r="B1047" s="1228" t="s">
        <v>246</v>
      </c>
      <c r="C1047" s="1228">
        <v>1000</v>
      </c>
      <c r="D1047" s="1239">
        <f>'Prec Materia Prima y Empaq'!$H$41</f>
        <v>80268</v>
      </c>
      <c r="E1047" s="1240">
        <f t="shared" si="370"/>
        <v>15250.92</v>
      </c>
      <c r="F1047" s="1241">
        <f t="shared" si="371"/>
        <v>95518.92</v>
      </c>
      <c r="G1047" s="1240">
        <f t="shared" si="372"/>
        <v>1910.3783999999998</v>
      </c>
      <c r="H1047" s="1242">
        <v>20</v>
      </c>
      <c r="I1047" s="1228" t="s">
        <v>450</v>
      </c>
      <c r="K1047" s="1242">
        <f t="shared" si="373"/>
        <v>3.7453183520599252E-2</v>
      </c>
      <c r="L1047" s="1243">
        <f t="shared" si="374"/>
        <v>3.577487640449438</v>
      </c>
    </row>
    <row r="1048" spans="1:29" ht="15" customHeight="1" x14ac:dyDescent="0.25">
      <c r="A1048" s="1238"/>
      <c r="B1048" s="1228" t="s">
        <v>262</v>
      </c>
      <c r="C1048" s="1228">
        <v>1000</v>
      </c>
      <c r="D1048" s="1273">
        <f>'Prec Materia Prima y Empaq'!$H$55</f>
        <v>50522</v>
      </c>
      <c r="E1048" s="1240">
        <f t="shared" si="370"/>
        <v>9599.18</v>
      </c>
      <c r="F1048" s="1241">
        <f t="shared" si="371"/>
        <v>60121.18</v>
      </c>
      <c r="G1048" s="1240">
        <f t="shared" si="372"/>
        <v>10821.812400000001</v>
      </c>
      <c r="H1048" s="1242">
        <v>180</v>
      </c>
      <c r="I1048" s="1228" t="s">
        <v>450</v>
      </c>
      <c r="K1048" s="1242">
        <f t="shared" si="373"/>
        <v>0.33707865168539325</v>
      </c>
      <c r="L1048" s="1243">
        <f t="shared" si="374"/>
        <v>20.265566292134832</v>
      </c>
    </row>
    <row r="1049" spans="1:29" ht="17.25" customHeight="1" x14ac:dyDescent="0.25">
      <c r="A1049" s="1238"/>
      <c r="B1049" s="1228" t="s">
        <v>382</v>
      </c>
      <c r="C1049" s="1228">
        <v>3785</v>
      </c>
      <c r="D1049" s="1239">
        <f>'Prec Materia Prima y Empaq'!$H$18</f>
        <v>24</v>
      </c>
      <c r="E1049" s="1240">
        <f t="shared" si="370"/>
        <v>4.5600000000000005</v>
      </c>
      <c r="F1049" s="1241">
        <f t="shared" si="371"/>
        <v>28.560000000000002</v>
      </c>
      <c r="G1049" s="1240">
        <f>F1049/C1049*H1049</f>
        <v>0.37727873183619554</v>
      </c>
      <c r="H1049" s="1242">
        <v>50</v>
      </c>
      <c r="I1049" s="1228" t="s">
        <v>450</v>
      </c>
      <c r="K1049" s="1242">
        <f t="shared" si="373"/>
        <v>9.3632958801498134E-2</v>
      </c>
      <c r="L1049" s="1243">
        <f t="shared" si="374"/>
        <v>7.0651447909399917E-4</v>
      </c>
      <c r="M1049" s="1218" t="s">
        <v>729</v>
      </c>
    </row>
    <row r="1050" spans="1:29" ht="31.5" customHeight="1" x14ac:dyDescent="0.25">
      <c r="B1050" s="1220" t="s">
        <v>678</v>
      </c>
      <c r="C1050" s="1228">
        <v>1000</v>
      </c>
      <c r="D1050" s="1244">
        <f>'Prec Materia Prima y Empaq'!H8</f>
        <v>45200</v>
      </c>
      <c r="E1050" s="1240">
        <v>0</v>
      </c>
      <c r="F1050" s="1241">
        <f t="shared" si="371"/>
        <v>45200</v>
      </c>
      <c r="G1050" s="1240">
        <f>F1050/C1050*H1050</f>
        <v>28.948314606741565</v>
      </c>
      <c r="H1050" s="1245">
        <v>0.64044943820224698</v>
      </c>
      <c r="I1050" s="1245" t="s">
        <v>453</v>
      </c>
      <c r="K1050" s="1242">
        <f t="shared" si="373"/>
        <v>1.1993435172326723E-3</v>
      </c>
      <c r="L1050" s="1239">
        <f t="shared" si="374"/>
        <v>5.4210326978916791E-2</v>
      </c>
      <c r="N1050" s="1220" t="s">
        <v>247</v>
      </c>
      <c r="O1050" s="1247">
        <v>1</v>
      </c>
      <c r="P1050" s="1240">
        <f>$F$1050/$C$1050*$O$1050</f>
        <v>45.2</v>
      </c>
      <c r="Q1050" s="1248"/>
      <c r="R1050" s="1249" t="e">
        <f>P1050/O1040</f>
        <v>#DIV/0!</v>
      </c>
      <c r="S1050" s="1248" t="e">
        <f>R1050*1000</f>
        <v>#DIV/0!</v>
      </c>
      <c r="T1050" s="1250">
        <f>O1050/$O$380*1000</f>
        <v>2.5641025641025641E-3</v>
      </c>
      <c r="U1050" s="1238">
        <f>T1050*$M$380</f>
        <v>1</v>
      </c>
      <c r="Y1050" s="1238"/>
      <c r="Z1050" s="1238"/>
      <c r="AA1050" s="1251"/>
      <c r="AC1050" s="1252"/>
    </row>
    <row r="1051" spans="1:29" ht="30.75" customHeight="1" x14ac:dyDescent="0.25">
      <c r="B1051" s="1220" t="s">
        <v>493</v>
      </c>
      <c r="C1051" s="1220">
        <v>1</v>
      </c>
      <c r="D1051" s="1272">
        <f>'Prec Materia Prima y Empaq'!$H$142</f>
        <v>650</v>
      </c>
      <c r="E1051" s="1240">
        <v>0</v>
      </c>
      <c r="F1051" s="1241">
        <f t="shared" si="371"/>
        <v>650</v>
      </c>
      <c r="G1051" s="1253">
        <f t="shared" ref="G1051:G1054" si="375">F1051*H1051</f>
        <v>347100</v>
      </c>
      <c r="H1051" s="1245">
        <f>$C$1037</f>
        <v>534</v>
      </c>
      <c r="I1051" s="1245" t="s">
        <v>453</v>
      </c>
      <c r="K1051" s="1242">
        <f t="shared" si="373"/>
        <v>1</v>
      </c>
      <c r="L1051" s="1243">
        <f t="shared" si="374"/>
        <v>650</v>
      </c>
    </row>
    <row r="1052" spans="1:29" ht="15" customHeight="1" x14ac:dyDescent="0.25">
      <c r="B1052" s="1220" t="s">
        <v>614</v>
      </c>
      <c r="C1052" s="1220">
        <v>1</v>
      </c>
      <c r="D1052" s="1244">
        <f>'Prec Materia Prima y Empaq'!$H$144</f>
        <v>70</v>
      </c>
      <c r="E1052" s="1240">
        <v>0</v>
      </c>
      <c r="F1052" s="1241">
        <f t="shared" si="371"/>
        <v>70</v>
      </c>
      <c r="G1052" s="1253">
        <f t="shared" si="375"/>
        <v>37380</v>
      </c>
      <c r="H1052" s="1245">
        <f t="shared" ref="H1052:H1054" si="376">$C$1037</f>
        <v>534</v>
      </c>
      <c r="I1052" s="1245" t="s">
        <v>453</v>
      </c>
      <c r="K1052" s="1242">
        <f t="shared" si="373"/>
        <v>1</v>
      </c>
      <c r="L1052" s="1243">
        <f t="shared" si="374"/>
        <v>70</v>
      </c>
    </row>
    <row r="1053" spans="1:29" ht="24" customHeight="1" x14ac:dyDescent="0.25">
      <c r="B1053" s="1245" t="s">
        <v>452</v>
      </c>
      <c r="C1053" s="1245">
        <v>1</v>
      </c>
      <c r="D1053" s="1244">
        <f>'Prec Materia Prima y Empaq'!$H$140</f>
        <v>120</v>
      </c>
      <c r="E1053" s="1240">
        <v>0</v>
      </c>
      <c r="F1053" s="1241">
        <f t="shared" si="371"/>
        <v>120</v>
      </c>
      <c r="G1053" s="1253">
        <f t="shared" si="375"/>
        <v>64080</v>
      </c>
      <c r="H1053" s="1245">
        <f t="shared" si="376"/>
        <v>534</v>
      </c>
      <c r="I1053" s="1245" t="s">
        <v>453</v>
      </c>
      <c r="K1053" s="1242">
        <f t="shared" si="373"/>
        <v>1</v>
      </c>
      <c r="L1053" s="1243">
        <f t="shared" si="374"/>
        <v>120</v>
      </c>
    </row>
    <row r="1054" spans="1:29" ht="34.5" customHeight="1" x14ac:dyDescent="0.25">
      <c r="A1054" s="1275" t="s">
        <v>754</v>
      </c>
      <c r="B1054" s="1302" t="s">
        <v>730</v>
      </c>
      <c r="C1054" s="1245">
        <v>1</v>
      </c>
      <c r="D1054" s="1244">
        <f>'Prec Materia Prima y Empaq'!$H$199</f>
        <v>0</v>
      </c>
      <c r="E1054" s="1240">
        <v>0</v>
      </c>
      <c r="F1054" s="1241">
        <f t="shared" ref="F1054" si="377">+E1054+D1054</f>
        <v>0</v>
      </c>
      <c r="G1054" s="1253">
        <f t="shared" si="375"/>
        <v>0</v>
      </c>
      <c r="H1054" s="1245">
        <f t="shared" si="376"/>
        <v>534</v>
      </c>
      <c r="I1054" s="1245" t="s">
        <v>453</v>
      </c>
      <c r="K1054" s="1242">
        <f t="shared" si="373"/>
        <v>1</v>
      </c>
      <c r="L1054" s="1243">
        <f t="shared" si="374"/>
        <v>0</v>
      </c>
    </row>
    <row r="1055" spans="1:29" ht="19.5" customHeight="1" thickBot="1" x14ac:dyDescent="0.3">
      <c r="B1055" s="1255"/>
      <c r="C1055" s="857"/>
      <c r="D1055" s="1256"/>
      <c r="E1055" s="1248"/>
      <c r="F1055" s="1257"/>
      <c r="G1055" s="1258">
        <f>SUM(G1043:G1054)/C1037</f>
        <v>944.32325167291867</v>
      </c>
      <c r="H1055" s="1259" t="s">
        <v>454</v>
      </c>
      <c r="I1055" s="857"/>
      <c r="L1055" s="1260">
        <f>SUM(L1043:L1054)</f>
        <v>944.32325167291867</v>
      </c>
    </row>
    <row r="1056" spans="1:29" ht="15" customHeight="1" thickTop="1" x14ac:dyDescent="0.25">
      <c r="B1056" s="1261" t="s">
        <v>409</v>
      </c>
      <c r="C1056" s="1262"/>
      <c r="D1056" s="1263">
        <f>+'Gtos Varios'!I14</f>
        <v>3672.93</v>
      </c>
      <c r="E1056" s="1262"/>
      <c r="F1056" s="1264">
        <f t="shared" ref="F1056" si="378">+E1056+D1056</f>
        <v>3672.93</v>
      </c>
      <c r="G1056" s="1265">
        <f>F1056</f>
        <v>3672.93</v>
      </c>
      <c r="H1056" s="1262" t="str">
        <f>B1056</f>
        <v xml:space="preserve">GASTOS VARIOS </v>
      </c>
      <c r="I1056" s="1262"/>
    </row>
    <row r="1057" spans="1:9" ht="15" customHeight="1" x14ac:dyDescent="0.25">
      <c r="B1057" s="1255"/>
      <c r="C1057" s="857"/>
      <c r="D1057" s="1256"/>
      <c r="E1057" s="1248"/>
      <c r="F1057" s="1257"/>
      <c r="G1057" s="1266"/>
      <c r="H1057" s="857"/>
      <c r="I1057" s="857"/>
    </row>
    <row r="1058" spans="1:9" ht="15" customHeight="1" x14ac:dyDescent="0.25">
      <c r="B1058" s="1255"/>
      <c r="C1058" s="857"/>
      <c r="D1058" s="1256"/>
      <c r="E1058" s="1248"/>
      <c r="F1058" s="1257"/>
      <c r="G1058" s="1266"/>
      <c r="H1058" s="857"/>
      <c r="I1058" s="857"/>
    </row>
    <row r="1059" spans="1:9" ht="15" customHeight="1" thickBot="1" x14ac:dyDescent="0.3">
      <c r="F1059" s="1267">
        <f>SUM(F1043:F1053)</f>
        <v>241573.65999999997</v>
      </c>
      <c r="G1059" s="1268">
        <f>SUM(G1055:G1056)</f>
        <v>4617.2532516729189</v>
      </c>
      <c r="H1059" s="733" t="s">
        <v>412</v>
      </c>
    </row>
    <row r="1060" spans="1:9" ht="15" customHeight="1" thickTop="1" x14ac:dyDescent="0.25">
      <c r="G1060" s="1257">
        <f>G1059*73%</f>
        <v>3370.5948737212307</v>
      </c>
      <c r="H1060" s="1274">
        <v>0.73</v>
      </c>
      <c r="I1060" s="733" t="s">
        <v>539</v>
      </c>
    </row>
    <row r="1061" spans="1:9" ht="15" customHeight="1" thickBot="1" x14ac:dyDescent="0.3">
      <c r="G1061" s="1270">
        <f>G1059+G1060</f>
        <v>7987.84812539415</v>
      </c>
      <c r="H1061" s="733" t="s">
        <v>414</v>
      </c>
    </row>
    <row r="1062" spans="1:9" ht="15" customHeight="1" thickTop="1" x14ac:dyDescent="0.25"/>
    <row r="1065" spans="1:9" ht="15" customHeight="1" x14ac:dyDescent="0.25">
      <c r="B1065" s="1222" t="s">
        <v>61</v>
      </c>
      <c r="C1065" s="1219" t="s">
        <v>150</v>
      </c>
      <c r="D1065" s="733"/>
      <c r="F1065" s="853"/>
    </row>
    <row r="1066" spans="1:9" ht="15" customHeight="1" x14ac:dyDescent="0.25">
      <c r="A1066" s="1223" t="s">
        <v>718</v>
      </c>
      <c r="B1066" s="1222" t="s">
        <v>62</v>
      </c>
      <c r="C1066" s="1219" t="str">
        <f>VLOOKUP(C1065,LISTPROD[],2,FALSE)</f>
        <v>LIMPIEZA CHINA</v>
      </c>
      <c r="D1066" s="1219" t="s">
        <v>486</v>
      </c>
      <c r="E1066" s="861" t="s">
        <v>487</v>
      </c>
      <c r="F1066" s="853"/>
    </row>
    <row r="1067" spans="1:9" ht="15" customHeight="1" x14ac:dyDescent="0.25">
      <c r="B1067" s="1222" t="s">
        <v>234</v>
      </c>
      <c r="C1067" s="1219" t="str">
        <f>VLOOKUP(C1065,LISTPROD[],9,FALSE)</f>
        <v>500 ML</v>
      </c>
      <c r="D1067" s="733"/>
      <c r="E1067" s="853"/>
      <c r="F1067" s="853"/>
    </row>
    <row r="1068" spans="1:9" ht="15" customHeight="1" x14ac:dyDescent="0.25">
      <c r="B1068" s="1222" t="s">
        <v>239</v>
      </c>
      <c r="C1068" s="1296">
        <v>420</v>
      </c>
      <c r="D1068" s="1218"/>
      <c r="E1068" s="853"/>
      <c r="F1068" s="853"/>
    </row>
    <row r="1069" spans="1:9" ht="15" customHeight="1" x14ac:dyDescent="0.25">
      <c r="B1069" s="1222" t="s">
        <v>240</v>
      </c>
      <c r="C1069" s="1219"/>
      <c r="D1069" s="733"/>
    </row>
    <row r="1070" spans="1:9" ht="15" customHeight="1" x14ac:dyDescent="0.25">
      <c r="B1070" s="1222" t="s">
        <v>238</v>
      </c>
      <c r="C1070" s="733" t="s">
        <v>56</v>
      </c>
      <c r="D1070" s="1218" t="s">
        <v>449</v>
      </c>
    </row>
    <row r="1071" spans="1:9" ht="15" customHeight="1" x14ac:dyDescent="0.25">
      <c r="B1071" s="1225" t="s">
        <v>410</v>
      </c>
      <c r="C1071" s="753">
        <v>500</v>
      </c>
      <c r="D1071" s="1226"/>
    </row>
    <row r="1072" spans="1:9" ht="15" customHeight="1" x14ac:dyDescent="0.25">
      <c r="A1072" s="1227"/>
      <c r="B1072" s="1436" t="s">
        <v>404</v>
      </c>
      <c r="C1072" s="1436"/>
      <c r="D1072" s="1436"/>
      <c r="E1072" s="1436"/>
      <c r="F1072" s="1436"/>
      <c r="G1072" s="1228"/>
      <c r="H1072" s="1437" t="s">
        <v>416</v>
      </c>
      <c r="I1072" s="1438"/>
    </row>
    <row r="1073" spans="1:29" ht="34.5" customHeight="1" x14ac:dyDescent="0.25">
      <c r="A1073" s="1229"/>
      <c r="B1073" s="1230" t="s">
        <v>398</v>
      </c>
      <c r="C1073" s="1231" t="s">
        <v>441</v>
      </c>
      <c r="D1073" s="1232" t="s">
        <v>399</v>
      </c>
      <c r="E1073" s="1233" t="s">
        <v>402</v>
      </c>
      <c r="F1073" s="1232" t="s">
        <v>399</v>
      </c>
      <c r="G1073" s="1232" t="s">
        <v>411</v>
      </c>
      <c r="H1073" s="1234" t="s">
        <v>408</v>
      </c>
      <c r="I1073" s="1235" t="s">
        <v>415</v>
      </c>
      <c r="K1073" s="1236" t="s">
        <v>603</v>
      </c>
      <c r="L1073" s="1237" t="s">
        <v>604</v>
      </c>
    </row>
    <row r="1074" spans="1:29" ht="15" customHeight="1" x14ac:dyDescent="0.25">
      <c r="A1074" s="1238"/>
      <c r="B1074" s="1228" t="s">
        <v>248</v>
      </c>
      <c r="C1074" s="1228">
        <v>1000</v>
      </c>
      <c r="D1074" s="1239">
        <f>'Prec Materia Prima y Empaq'!$H$21</f>
        <v>15400</v>
      </c>
      <c r="E1074" s="1240">
        <f>D1074*19%</f>
        <v>2926</v>
      </c>
      <c r="F1074" s="1241">
        <f>+E1074+D1074</f>
        <v>18326</v>
      </c>
      <c r="G1074" s="1240">
        <f>F1074/C1074*H1074</f>
        <v>16493.400000000001</v>
      </c>
      <c r="H1074" s="1242">
        <v>900</v>
      </c>
      <c r="I1074" s="1228" t="s">
        <v>450</v>
      </c>
      <c r="K1074" s="1242">
        <f>H1074/$C$1068</f>
        <v>2.1428571428571428</v>
      </c>
      <c r="L1074" s="1243">
        <f>F1074/C1074*K1074</f>
        <v>39.270000000000003</v>
      </c>
    </row>
    <row r="1075" spans="1:29" ht="15" customHeight="1" x14ac:dyDescent="0.25">
      <c r="A1075" s="1238"/>
      <c r="B1075" s="1228" t="s">
        <v>443</v>
      </c>
      <c r="C1075" s="1228">
        <v>1000</v>
      </c>
      <c r="D1075" s="1239">
        <f>'Prec Materia Prima y Empaq'!$H$11</f>
        <v>8000</v>
      </c>
      <c r="E1075" s="1240">
        <f t="shared" ref="E1075:E1080" si="379">D1075*19%</f>
        <v>1520</v>
      </c>
      <c r="F1075" s="1241">
        <f t="shared" ref="F1075:F1079" si="380">+E1075+D1075</f>
        <v>9520</v>
      </c>
      <c r="G1075" s="1240">
        <f t="shared" ref="G1075:G1078" si="381">F1075/C1075*H1075</f>
        <v>5712</v>
      </c>
      <c r="H1075" s="1242">
        <v>600</v>
      </c>
      <c r="I1075" s="1228" t="s">
        <v>450</v>
      </c>
      <c r="K1075" s="1242">
        <f t="shared" ref="K1075:K1087" si="382">H1075/$C$1068</f>
        <v>1.4285714285714286</v>
      </c>
      <c r="L1075" s="1243">
        <f t="shared" ref="L1075:L1087" si="383">F1075/C1075*K1075</f>
        <v>13.6</v>
      </c>
    </row>
    <row r="1076" spans="1:29" ht="15" customHeight="1" x14ac:dyDescent="0.25">
      <c r="A1076" s="1238"/>
      <c r="B1076" s="1228" t="s">
        <v>253</v>
      </c>
      <c r="C1076" s="1228">
        <v>1000</v>
      </c>
      <c r="D1076" s="1239">
        <f>'Prec Materia Prima y Empaq'!$H$9</f>
        <v>5400</v>
      </c>
      <c r="E1076" s="1240">
        <f t="shared" si="379"/>
        <v>1026</v>
      </c>
      <c r="F1076" s="1241">
        <f t="shared" si="380"/>
        <v>6426</v>
      </c>
      <c r="G1076" s="1240">
        <f t="shared" si="381"/>
        <v>3534.3</v>
      </c>
      <c r="H1076" s="1242">
        <v>550</v>
      </c>
      <c r="I1076" s="1228" t="s">
        <v>450</v>
      </c>
      <c r="K1076" s="1242">
        <f t="shared" si="382"/>
        <v>1.3095238095238095</v>
      </c>
      <c r="L1076" s="1243">
        <f t="shared" si="383"/>
        <v>8.4150000000000009</v>
      </c>
    </row>
    <row r="1077" spans="1:29" ht="15" customHeight="1" x14ac:dyDescent="0.25">
      <c r="A1077" s="1238"/>
      <c r="B1077" s="1228" t="s">
        <v>245</v>
      </c>
      <c r="C1077" s="1228">
        <v>1000</v>
      </c>
      <c r="D1077" s="1273">
        <f>'Prec Materia Prima y Empaq'!$H$44</f>
        <v>52325</v>
      </c>
      <c r="E1077" s="1240">
        <f t="shared" si="379"/>
        <v>9941.75</v>
      </c>
      <c r="F1077" s="1241">
        <f t="shared" si="380"/>
        <v>62266.75</v>
      </c>
      <c r="G1077" s="1240">
        <f t="shared" si="381"/>
        <v>6226.6750000000002</v>
      </c>
      <c r="H1077" s="1242">
        <v>100</v>
      </c>
      <c r="I1077" s="1228" t="s">
        <v>450</v>
      </c>
      <c r="K1077" s="1242">
        <f t="shared" si="382"/>
        <v>0.23809523809523808</v>
      </c>
      <c r="L1077" s="1243">
        <f t="shared" si="383"/>
        <v>14.825416666666666</v>
      </c>
    </row>
    <row r="1078" spans="1:29" ht="15" customHeight="1" x14ac:dyDescent="0.25">
      <c r="A1078" s="1238"/>
      <c r="B1078" s="1228" t="s">
        <v>562</v>
      </c>
      <c r="C1078" s="1228">
        <v>1000</v>
      </c>
      <c r="D1078" s="1273">
        <f>'Prec Materia Prima y Empaq'!$H$41</f>
        <v>80268</v>
      </c>
      <c r="E1078" s="1240">
        <f t="shared" si="379"/>
        <v>15250.92</v>
      </c>
      <c r="F1078" s="1241">
        <f t="shared" si="380"/>
        <v>95518.92</v>
      </c>
      <c r="G1078" s="1240">
        <f t="shared" si="381"/>
        <v>2865.5675999999999</v>
      </c>
      <c r="H1078" s="1242">
        <v>30</v>
      </c>
      <c r="I1078" s="1228" t="s">
        <v>450</v>
      </c>
      <c r="K1078" s="1242">
        <f t="shared" si="382"/>
        <v>7.1428571428571425E-2</v>
      </c>
      <c r="L1078" s="1243">
        <f t="shared" si="383"/>
        <v>6.822779999999999</v>
      </c>
    </row>
    <row r="1079" spans="1:29" ht="15" customHeight="1" x14ac:dyDescent="0.25">
      <c r="A1079" s="1238"/>
      <c r="B1079" s="1228" t="s">
        <v>382</v>
      </c>
      <c r="C1079" s="1228">
        <v>3785</v>
      </c>
      <c r="D1079" s="1239">
        <f>'Prec Materia Prima y Empaq'!$H$18</f>
        <v>24</v>
      </c>
      <c r="E1079" s="1240">
        <f t="shared" si="379"/>
        <v>4.5600000000000005</v>
      </c>
      <c r="F1079" s="1241">
        <f t="shared" si="380"/>
        <v>28.560000000000002</v>
      </c>
      <c r="G1079" s="1240">
        <f>F1079/C1079*H1079</f>
        <v>0.37727873183619554</v>
      </c>
      <c r="H1079" s="1242">
        <v>50</v>
      </c>
      <c r="I1079" s="1228" t="s">
        <v>450</v>
      </c>
      <c r="K1079" s="1242">
        <f t="shared" si="382"/>
        <v>0.11904761904761904</v>
      </c>
      <c r="L1079" s="1243">
        <f t="shared" si="383"/>
        <v>8.9828269484808459E-4</v>
      </c>
    </row>
    <row r="1080" spans="1:29" ht="15" customHeight="1" x14ac:dyDescent="0.25">
      <c r="A1080" s="1238"/>
      <c r="B1080" s="1228" t="s">
        <v>261</v>
      </c>
      <c r="C1080" s="1228">
        <v>1000</v>
      </c>
      <c r="D1080" s="1239"/>
      <c r="E1080" s="1240">
        <f t="shared" si="379"/>
        <v>0</v>
      </c>
      <c r="F1080" s="1241">
        <f t="shared" ref="F1080:F1087" si="384">+E1080+D1080</f>
        <v>0</v>
      </c>
      <c r="G1080" s="1240">
        <f>F1080/C1080*H1080</f>
        <v>0</v>
      </c>
      <c r="H1080" s="1242">
        <v>200</v>
      </c>
      <c r="I1080" s="1228" t="s">
        <v>450</v>
      </c>
      <c r="K1080" s="1242">
        <f t="shared" si="382"/>
        <v>0.47619047619047616</v>
      </c>
      <c r="L1080" s="1243">
        <f t="shared" si="383"/>
        <v>0</v>
      </c>
    </row>
    <row r="1081" spans="1:29" ht="31.5" customHeight="1" x14ac:dyDescent="0.25">
      <c r="B1081" s="1220" t="s">
        <v>247</v>
      </c>
      <c r="C1081" s="1228">
        <v>1000</v>
      </c>
      <c r="D1081" s="1272">
        <f>'Prec Materia Prima y Empaq'!$H$7</f>
        <v>50000</v>
      </c>
      <c r="E1081" s="1240">
        <v>0</v>
      </c>
      <c r="F1081" s="1241">
        <f t="shared" si="384"/>
        <v>50000</v>
      </c>
      <c r="G1081" s="1240">
        <f>F1081/C1081*H1081</f>
        <v>32.022471910112351</v>
      </c>
      <c r="H1081" s="1245">
        <v>0.64044943820224698</v>
      </c>
      <c r="I1081" s="1245" t="s">
        <v>453</v>
      </c>
      <c r="K1081" s="1242">
        <f t="shared" si="382"/>
        <v>1.5248796147672547E-3</v>
      </c>
      <c r="L1081" s="1243">
        <f t="shared" si="383"/>
        <v>7.6243980738362735E-2</v>
      </c>
      <c r="N1081" s="1220" t="s">
        <v>247</v>
      </c>
      <c r="O1081" s="1247">
        <v>1</v>
      </c>
      <c r="P1081" s="1240">
        <f>$F$391/$C$391*$O$391</f>
        <v>50</v>
      </c>
      <c r="Q1081" s="1248"/>
      <c r="R1081" s="1249" t="e">
        <f>P1081/O1070</f>
        <v>#DIV/0!</v>
      </c>
      <c r="S1081" s="1248" t="e">
        <f>R1081*1000</f>
        <v>#DIV/0!</v>
      </c>
      <c r="T1081" s="1250">
        <f>O1081/$O$380*1000</f>
        <v>2.5641025641025641E-3</v>
      </c>
      <c r="U1081" s="1238">
        <f>T1081*$M$380</f>
        <v>1</v>
      </c>
      <c r="Y1081" s="1238"/>
      <c r="Z1081" s="1238"/>
      <c r="AA1081" s="1251"/>
      <c r="AC1081" s="1252"/>
    </row>
    <row r="1082" spans="1:29" ht="30.75" customHeight="1" x14ac:dyDescent="0.25">
      <c r="B1082" s="1220" t="s">
        <v>485</v>
      </c>
      <c r="C1082" s="1220">
        <v>1</v>
      </c>
      <c r="D1082" s="1272">
        <f>'Prec Materia Prima y Empaq'!$H$138</f>
        <v>650</v>
      </c>
      <c r="E1082" s="1240">
        <v>0</v>
      </c>
      <c r="F1082" s="1241">
        <f t="shared" si="384"/>
        <v>650</v>
      </c>
      <c r="G1082" s="1253">
        <f t="shared" ref="G1082:G1087" si="385">F1082*H1082</f>
        <v>273000</v>
      </c>
      <c r="H1082" s="1245">
        <f>$C$1068</f>
        <v>420</v>
      </c>
      <c r="I1082" s="1245" t="s">
        <v>453</v>
      </c>
      <c r="K1082" s="1242">
        <f t="shared" si="382"/>
        <v>1</v>
      </c>
      <c r="L1082" s="1243">
        <f t="shared" si="383"/>
        <v>650</v>
      </c>
    </row>
    <row r="1083" spans="1:29" ht="30.75" customHeight="1" x14ac:dyDescent="0.25">
      <c r="B1083" s="1220" t="s">
        <v>614</v>
      </c>
      <c r="C1083" s="1220">
        <v>1</v>
      </c>
      <c r="D1083" s="1272">
        <f>'Prec Materia Prima y Empaq'!$H$144</f>
        <v>70</v>
      </c>
      <c r="E1083" s="1240"/>
      <c r="F1083" s="1241">
        <f t="shared" si="384"/>
        <v>70</v>
      </c>
      <c r="G1083" s="1253">
        <f t="shared" si="385"/>
        <v>29400</v>
      </c>
      <c r="H1083" s="1245">
        <f t="shared" ref="H1083:H1087" si="386">$C$1068</f>
        <v>420</v>
      </c>
      <c r="I1083" s="1245"/>
      <c r="K1083" s="1242">
        <f t="shared" si="382"/>
        <v>1</v>
      </c>
      <c r="L1083" s="1243">
        <f t="shared" si="383"/>
        <v>70</v>
      </c>
    </row>
    <row r="1084" spans="1:29" ht="52.5" customHeight="1" x14ac:dyDescent="0.25">
      <c r="B1084" s="1220" t="s">
        <v>695</v>
      </c>
      <c r="C1084" s="1245">
        <v>1</v>
      </c>
      <c r="D1084" s="1272">
        <f>'Prec Materia Prima y Empaq'!$H$161</f>
        <v>300</v>
      </c>
      <c r="E1084" s="1240">
        <v>0</v>
      </c>
      <c r="F1084" s="1241">
        <f t="shared" si="384"/>
        <v>300</v>
      </c>
      <c r="G1084" s="1253">
        <f t="shared" si="385"/>
        <v>126000</v>
      </c>
      <c r="H1084" s="1245">
        <f t="shared" si="386"/>
        <v>420</v>
      </c>
      <c r="I1084" s="1245" t="s">
        <v>453</v>
      </c>
      <c r="K1084" s="1242">
        <f t="shared" si="382"/>
        <v>1</v>
      </c>
      <c r="L1084" s="1243">
        <f t="shared" si="383"/>
        <v>300</v>
      </c>
    </row>
    <row r="1085" spans="1:29" ht="32.25" customHeight="1" x14ac:dyDescent="0.25">
      <c r="B1085" s="1279" t="s">
        <v>675</v>
      </c>
      <c r="C1085" s="1245">
        <v>1</v>
      </c>
      <c r="D1085" s="1272">
        <f>'Prec Materia Prima y Empaq'!$H$162</f>
        <v>100</v>
      </c>
      <c r="E1085" s="1240">
        <v>0</v>
      </c>
      <c r="F1085" s="1241">
        <f t="shared" si="384"/>
        <v>100</v>
      </c>
      <c r="G1085" s="1253">
        <f t="shared" si="385"/>
        <v>42000</v>
      </c>
      <c r="H1085" s="1245">
        <f t="shared" si="386"/>
        <v>420</v>
      </c>
      <c r="I1085" s="1245" t="s">
        <v>453</v>
      </c>
      <c r="K1085" s="1242">
        <f t="shared" si="382"/>
        <v>1</v>
      </c>
      <c r="L1085" s="1243">
        <f t="shared" si="383"/>
        <v>100</v>
      </c>
    </row>
    <row r="1086" spans="1:29" ht="15" customHeight="1" x14ac:dyDescent="0.25">
      <c r="B1086" s="1220" t="s">
        <v>310</v>
      </c>
      <c r="C1086" s="1245">
        <v>1</v>
      </c>
      <c r="D1086" s="1272">
        <f>'Prec Materia Prima y Empaq'!$H$130</f>
        <v>100</v>
      </c>
      <c r="E1086" s="1240">
        <v>0</v>
      </c>
      <c r="F1086" s="1241">
        <f t="shared" si="384"/>
        <v>100</v>
      </c>
      <c r="G1086" s="1253">
        <f t="shared" si="385"/>
        <v>42000</v>
      </c>
      <c r="H1086" s="1245">
        <f t="shared" si="386"/>
        <v>420</v>
      </c>
      <c r="I1086" s="1245" t="s">
        <v>453</v>
      </c>
      <c r="K1086" s="1242">
        <f t="shared" si="382"/>
        <v>1</v>
      </c>
      <c r="L1086" s="1243">
        <f t="shared" si="383"/>
        <v>100</v>
      </c>
    </row>
    <row r="1087" spans="1:29" ht="15" customHeight="1" x14ac:dyDescent="0.25">
      <c r="B1087" s="1245" t="s">
        <v>309</v>
      </c>
      <c r="C1087" s="1245">
        <v>1</v>
      </c>
      <c r="D1087" s="1272">
        <f>'Prec Materia Prima y Empaq'!$H$129</f>
        <v>800</v>
      </c>
      <c r="E1087" s="1240">
        <v>0</v>
      </c>
      <c r="F1087" s="1241">
        <f t="shared" si="384"/>
        <v>800</v>
      </c>
      <c r="G1087" s="1253">
        <f t="shared" si="385"/>
        <v>336000</v>
      </c>
      <c r="H1087" s="1245">
        <f t="shared" si="386"/>
        <v>420</v>
      </c>
      <c r="I1087" s="1245" t="s">
        <v>453</v>
      </c>
      <c r="K1087" s="1242">
        <f t="shared" si="382"/>
        <v>1</v>
      </c>
      <c r="L1087" s="1243">
        <f t="shared" si="383"/>
        <v>800</v>
      </c>
    </row>
    <row r="1088" spans="1:29" ht="19.5" customHeight="1" thickBot="1" x14ac:dyDescent="0.3">
      <c r="B1088" s="1255"/>
      <c r="C1088" s="857"/>
      <c r="D1088" s="1256"/>
      <c r="E1088" s="1248"/>
      <c r="F1088" s="1257"/>
      <c r="G1088" s="1258">
        <f>SUM(G1074:G1087)/C1068</f>
        <v>2103.0103389300998</v>
      </c>
      <c r="H1088" s="1259" t="s">
        <v>454</v>
      </c>
      <c r="I1088" s="857"/>
      <c r="L1088" s="1260">
        <f>SUM(L1074:L1087)</f>
        <v>2103.0103389300998</v>
      </c>
    </row>
    <row r="1089" spans="1:9" ht="15" customHeight="1" thickTop="1" x14ac:dyDescent="0.25">
      <c r="B1089" s="1261" t="s">
        <v>409</v>
      </c>
      <c r="C1089" s="1262"/>
      <c r="D1089" s="1263">
        <f>+'Gtos Varios'!I14</f>
        <v>3672.93</v>
      </c>
      <c r="E1089" s="1262"/>
      <c r="F1089" s="1264">
        <f t="shared" ref="F1089" si="387">+E1089+D1089</f>
        <v>3672.93</v>
      </c>
      <c r="G1089" s="1265">
        <f>F1089</f>
        <v>3672.93</v>
      </c>
      <c r="H1089" s="1262" t="str">
        <f>B1089</f>
        <v xml:space="preserve">GASTOS VARIOS </v>
      </c>
      <c r="I1089" s="1262"/>
    </row>
    <row r="1090" spans="1:9" ht="15" customHeight="1" x14ac:dyDescent="0.25">
      <c r="B1090" s="1255"/>
      <c r="C1090" s="857"/>
      <c r="D1090" s="1256"/>
      <c r="E1090" s="1248"/>
      <c r="F1090" s="1257"/>
      <c r="G1090" s="1266"/>
      <c r="H1090" s="857"/>
      <c r="I1090" s="857"/>
    </row>
    <row r="1091" spans="1:9" ht="15" customHeight="1" x14ac:dyDescent="0.25">
      <c r="B1091" s="1255"/>
      <c r="C1091" s="857"/>
      <c r="D1091" s="1256"/>
      <c r="E1091" s="1248"/>
      <c r="F1091" s="1257"/>
      <c r="G1091" s="1266"/>
      <c r="H1091" s="857"/>
      <c r="I1091" s="857"/>
    </row>
    <row r="1092" spans="1:9" ht="15" customHeight="1" thickBot="1" x14ac:dyDescent="0.3">
      <c r="F1092" s="1267">
        <f>SUM(F1074:F1087)</f>
        <v>244106.22999999998</v>
      </c>
      <c r="G1092" s="1268">
        <f>SUM(G1088:G1089)</f>
        <v>5775.9403389300996</v>
      </c>
      <c r="H1092" s="733" t="s">
        <v>412</v>
      </c>
    </row>
    <row r="1093" spans="1:9" ht="15" customHeight="1" thickTop="1" x14ac:dyDescent="0.25">
      <c r="G1093" s="1257">
        <f>G1092*58%</f>
        <v>3350.0453965794577</v>
      </c>
      <c r="H1093" s="1274">
        <v>0.57999999999999996</v>
      </c>
      <c r="I1093" s="733" t="s">
        <v>539</v>
      </c>
    </row>
    <row r="1094" spans="1:9" ht="15" customHeight="1" thickBot="1" x14ac:dyDescent="0.3">
      <c r="G1094" s="1270">
        <f>G1092+G1093</f>
        <v>9125.9857355095573</v>
      </c>
      <c r="H1094" s="733" t="s">
        <v>414</v>
      </c>
    </row>
    <row r="1095" spans="1:9" ht="15" customHeight="1" thickTop="1" x14ac:dyDescent="0.25"/>
    <row r="1100" spans="1:9" ht="15" customHeight="1" x14ac:dyDescent="0.25">
      <c r="B1100" s="1222" t="s">
        <v>61</v>
      </c>
      <c r="C1100" s="1219" t="s">
        <v>152</v>
      </c>
      <c r="D1100" s="733"/>
    </row>
    <row r="1101" spans="1:9" ht="15" customHeight="1" x14ac:dyDescent="0.25">
      <c r="A1101" s="1223" t="s">
        <v>718</v>
      </c>
      <c r="B1101" s="1222" t="s">
        <v>62</v>
      </c>
      <c r="C1101" s="1219" t="str">
        <f>VLOOKUP(C1100,LISTPROD[],2,FALSE)</f>
        <v>MATRI SEX</v>
      </c>
      <c r="D1101" s="733" t="s">
        <v>486</v>
      </c>
      <c r="E1101" s="1303" t="s">
        <v>724</v>
      </c>
    </row>
    <row r="1102" spans="1:9" ht="15" customHeight="1" x14ac:dyDescent="0.25">
      <c r="B1102" s="1222" t="s">
        <v>234</v>
      </c>
      <c r="C1102" s="1219" t="str">
        <f>VLOOKUP(C1100,LISTPROD[],9,FALSE)</f>
        <v>500 ML</v>
      </c>
      <c r="D1102" s="733"/>
    </row>
    <row r="1103" spans="1:9" ht="15" customHeight="1" x14ac:dyDescent="0.25">
      <c r="B1103" s="1222" t="s">
        <v>239</v>
      </c>
      <c r="C1103" s="1296">
        <v>420</v>
      </c>
      <c r="D1103" s="1218"/>
    </row>
    <row r="1104" spans="1:9" ht="15" customHeight="1" x14ac:dyDescent="0.25">
      <c r="B1104" s="1222" t="s">
        <v>240</v>
      </c>
      <c r="C1104" s="1219"/>
      <c r="D1104" s="733"/>
    </row>
    <row r="1105" spans="1:29" ht="15" customHeight="1" x14ac:dyDescent="0.25">
      <c r="B1105" s="1222" t="s">
        <v>238</v>
      </c>
      <c r="C1105" s="733" t="s">
        <v>56</v>
      </c>
      <c r="D1105" s="1218" t="s">
        <v>449</v>
      </c>
    </row>
    <row r="1106" spans="1:29" ht="15" customHeight="1" x14ac:dyDescent="0.25">
      <c r="B1106" s="1225" t="s">
        <v>410</v>
      </c>
      <c r="C1106" s="753">
        <v>500</v>
      </c>
      <c r="D1106" s="1226"/>
    </row>
    <row r="1107" spans="1:29" ht="15" customHeight="1" x14ac:dyDescent="0.25">
      <c r="A1107" s="1227"/>
      <c r="B1107" s="1436" t="s">
        <v>404</v>
      </c>
      <c r="C1107" s="1436"/>
      <c r="D1107" s="1436"/>
      <c r="E1107" s="1436"/>
      <c r="F1107" s="1436"/>
      <c r="G1107" s="1228"/>
      <c r="H1107" s="1437" t="s">
        <v>416</v>
      </c>
      <c r="I1107" s="1438"/>
    </row>
    <row r="1108" spans="1:29" ht="34.5" customHeight="1" x14ac:dyDescent="0.25">
      <c r="A1108" s="1229"/>
      <c r="B1108" s="1230" t="s">
        <v>398</v>
      </c>
      <c r="C1108" s="1231" t="s">
        <v>441</v>
      </c>
      <c r="D1108" s="1232" t="s">
        <v>399</v>
      </c>
      <c r="E1108" s="1233" t="s">
        <v>402</v>
      </c>
      <c r="F1108" s="1232" t="s">
        <v>399</v>
      </c>
      <c r="G1108" s="1232" t="s">
        <v>411</v>
      </c>
      <c r="H1108" s="1234" t="s">
        <v>408</v>
      </c>
      <c r="I1108" s="1235" t="s">
        <v>415</v>
      </c>
      <c r="K1108" s="1236" t="s">
        <v>603</v>
      </c>
      <c r="L1108" s="1237" t="s">
        <v>604</v>
      </c>
    </row>
    <row r="1109" spans="1:29" ht="15" customHeight="1" x14ac:dyDescent="0.25">
      <c r="A1109" s="1238"/>
      <c r="B1109" s="1228" t="s">
        <v>248</v>
      </c>
      <c r="C1109" s="1228">
        <v>1000</v>
      </c>
      <c r="D1109" s="1239">
        <f>'Prec Materia Prima y Empaq'!$H$21</f>
        <v>15400</v>
      </c>
      <c r="E1109" s="1240">
        <f>D1109*19%</f>
        <v>2926</v>
      </c>
      <c r="F1109" s="1241">
        <f>+E1109+D1109</f>
        <v>18326</v>
      </c>
      <c r="G1109" s="1240">
        <f>F1109/C1109*H1109</f>
        <v>16493.400000000001</v>
      </c>
      <c r="H1109" s="1242">
        <v>900</v>
      </c>
      <c r="I1109" s="1228" t="s">
        <v>450</v>
      </c>
      <c r="K1109" s="1242">
        <f>H1109/$C$1103</f>
        <v>2.1428571428571428</v>
      </c>
      <c r="L1109" s="1243">
        <f>F1109/C1109*K1109</f>
        <v>39.270000000000003</v>
      </c>
    </row>
    <row r="1110" spans="1:29" ht="15" customHeight="1" x14ac:dyDescent="0.25">
      <c r="A1110" s="1238"/>
      <c r="B1110" s="1228" t="s">
        <v>443</v>
      </c>
      <c r="C1110" s="1228">
        <v>1000</v>
      </c>
      <c r="D1110" s="1239">
        <f>'Prec Materia Prima y Empaq'!$H$11</f>
        <v>8000</v>
      </c>
      <c r="E1110" s="1240">
        <f t="shared" ref="E1110:E1116" si="388">D1110*19%</f>
        <v>1520</v>
      </c>
      <c r="F1110" s="1241">
        <f t="shared" ref="F1110:F1117" si="389">+E1110+D1110</f>
        <v>9520</v>
      </c>
      <c r="G1110" s="1240">
        <f t="shared" ref="G1110:G1114" si="390">F1110/C1110*H1110</f>
        <v>5712</v>
      </c>
      <c r="H1110" s="1242">
        <v>600</v>
      </c>
      <c r="I1110" s="1228" t="s">
        <v>450</v>
      </c>
      <c r="K1110" s="1242">
        <f t="shared" ref="K1110:K1122" si="391">H1110/$C$1103</f>
        <v>1.4285714285714286</v>
      </c>
      <c r="L1110" s="1243">
        <f t="shared" ref="L1110:L1122" si="392">F1110/C1110*K1110</f>
        <v>13.6</v>
      </c>
    </row>
    <row r="1111" spans="1:29" ht="15" customHeight="1" x14ac:dyDescent="0.25">
      <c r="A1111" s="1238"/>
      <c r="B1111" s="1228" t="s">
        <v>253</v>
      </c>
      <c r="C1111" s="1228">
        <v>1000</v>
      </c>
      <c r="D1111" s="1239">
        <f>'Prec Materia Prima y Empaq'!$H$9</f>
        <v>5400</v>
      </c>
      <c r="E1111" s="1240">
        <f t="shared" si="388"/>
        <v>1026</v>
      </c>
      <c r="F1111" s="1241">
        <f t="shared" si="389"/>
        <v>6426</v>
      </c>
      <c r="G1111" s="1240">
        <f t="shared" si="390"/>
        <v>6426</v>
      </c>
      <c r="H1111" s="1242">
        <v>1000</v>
      </c>
      <c r="I1111" s="1228" t="s">
        <v>450</v>
      </c>
      <c r="K1111" s="1242">
        <f t="shared" si="391"/>
        <v>2.3809523809523809</v>
      </c>
      <c r="L1111" s="1243">
        <f t="shared" si="392"/>
        <v>15.3</v>
      </c>
    </row>
    <row r="1112" spans="1:29" ht="15" customHeight="1" x14ac:dyDescent="0.25">
      <c r="A1112" s="1238"/>
      <c r="B1112" s="1228" t="s">
        <v>269</v>
      </c>
      <c r="C1112" s="1228">
        <v>1000</v>
      </c>
      <c r="D1112" s="1239">
        <f>'Prec Materia Prima y Empaq'!$H$47</f>
        <v>49240</v>
      </c>
      <c r="E1112" s="1240">
        <f t="shared" si="388"/>
        <v>9355.6</v>
      </c>
      <c r="F1112" s="1241">
        <f t="shared" si="389"/>
        <v>58595.6</v>
      </c>
      <c r="G1112" s="1240">
        <f t="shared" si="390"/>
        <v>5859.5599999999995</v>
      </c>
      <c r="H1112" s="1242">
        <v>100</v>
      </c>
      <c r="I1112" s="1228" t="s">
        <v>450</v>
      </c>
      <c r="K1112" s="1242">
        <f t="shared" si="391"/>
        <v>0.23809523809523808</v>
      </c>
      <c r="L1112" s="1243">
        <f t="shared" si="392"/>
        <v>13.951333333333332</v>
      </c>
    </row>
    <row r="1113" spans="1:29" ht="15" customHeight="1" x14ac:dyDescent="0.25">
      <c r="A1113" s="1238"/>
      <c r="B1113" s="1228" t="s">
        <v>261</v>
      </c>
      <c r="C1113" s="1228">
        <v>1000</v>
      </c>
      <c r="D1113" s="1239">
        <f>'Prec Materia Prima y Empaq'!$H$12</f>
        <v>4700</v>
      </c>
      <c r="E1113" s="1240">
        <f t="shared" si="388"/>
        <v>893</v>
      </c>
      <c r="F1113" s="1241">
        <f t="shared" si="389"/>
        <v>5593</v>
      </c>
      <c r="G1113" s="1240">
        <f t="shared" si="390"/>
        <v>1118.5999999999999</v>
      </c>
      <c r="H1113" s="1242">
        <v>200</v>
      </c>
      <c r="I1113" s="1228" t="s">
        <v>450</v>
      </c>
      <c r="K1113" s="1242">
        <f t="shared" si="391"/>
        <v>0.47619047619047616</v>
      </c>
      <c r="L1113" s="1243">
        <f t="shared" si="392"/>
        <v>2.6633333333333331</v>
      </c>
    </row>
    <row r="1114" spans="1:29" ht="15" customHeight="1" x14ac:dyDescent="0.25">
      <c r="A1114" s="1238"/>
      <c r="B1114" s="1228" t="s">
        <v>259</v>
      </c>
      <c r="C1114" s="1228">
        <v>1000</v>
      </c>
      <c r="D1114" s="1239">
        <f>'Prec Materia Prima y Empaq'!$H$42</f>
        <v>63103</v>
      </c>
      <c r="E1114" s="1240">
        <f t="shared" si="388"/>
        <v>11989.57</v>
      </c>
      <c r="F1114" s="1241">
        <f t="shared" si="389"/>
        <v>75092.570000000007</v>
      </c>
      <c r="G1114" s="1240">
        <f t="shared" si="390"/>
        <v>1501.8514000000002</v>
      </c>
      <c r="H1114" s="1242">
        <v>20</v>
      </c>
      <c r="I1114" s="1228" t="s">
        <v>450</v>
      </c>
      <c r="K1114" s="1242">
        <f t="shared" si="391"/>
        <v>4.7619047619047616E-2</v>
      </c>
      <c r="L1114" s="1243">
        <f t="shared" si="392"/>
        <v>3.575836666666667</v>
      </c>
    </row>
    <row r="1115" spans="1:29" ht="15" customHeight="1" x14ac:dyDescent="0.25">
      <c r="A1115" s="1238"/>
      <c r="B1115" s="1228" t="s">
        <v>382</v>
      </c>
      <c r="C1115" s="1228">
        <v>3785</v>
      </c>
      <c r="D1115" s="1239">
        <f>'Prec Materia Prima y Empaq'!$H$18</f>
        <v>24</v>
      </c>
      <c r="E1115" s="1240">
        <f t="shared" si="388"/>
        <v>4.5600000000000005</v>
      </c>
      <c r="F1115" s="1241">
        <f t="shared" si="389"/>
        <v>28.560000000000002</v>
      </c>
      <c r="G1115" s="1240">
        <f>F1115/C1115*H1115</f>
        <v>0.37727873183619554</v>
      </c>
      <c r="H1115" s="1242">
        <v>50</v>
      </c>
      <c r="I1115" s="1228" t="s">
        <v>450</v>
      </c>
      <c r="K1115" s="1242">
        <f t="shared" si="391"/>
        <v>0.11904761904761904</v>
      </c>
      <c r="L1115" s="1243">
        <f t="shared" si="392"/>
        <v>8.9828269484808459E-4</v>
      </c>
    </row>
    <row r="1116" spans="1:29" ht="15" customHeight="1" x14ac:dyDescent="0.25">
      <c r="A1116" s="1238"/>
      <c r="B1116" s="1228" t="s">
        <v>251</v>
      </c>
      <c r="C1116" s="1228">
        <v>1000</v>
      </c>
      <c r="D1116" s="1273">
        <f>'Prec Materia Prima y Empaq'!$H$26</f>
        <v>45404</v>
      </c>
      <c r="E1116" s="1240">
        <f t="shared" si="388"/>
        <v>8626.76</v>
      </c>
      <c r="F1116" s="1241">
        <f t="shared" si="389"/>
        <v>54030.76</v>
      </c>
      <c r="G1116" s="1240">
        <f t="shared" ref="G1116" si="393">F1116/C1116*H1116</f>
        <v>8104.6140000000005</v>
      </c>
      <c r="H1116" s="1242">
        <v>150</v>
      </c>
      <c r="I1116" s="1228" t="s">
        <v>450</v>
      </c>
      <c r="K1116" s="1242">
        <f t="shared" si="391"/>
        <v>0.35714285714285715</v>
      </c>
      <c r="L1116" s="1243">
        <f t="shared" si="392"/>
        <v>19.296700000000001</v>
      </c>
    </row>
    <row r="1117" spans="1:29" ht="31.5" customHeight="1" x14ac:dyDescent="0.25">
      <c r="B1117" s="1220" t="s">
        <v>247</v>
      </c>
      <c r="C1117" s="1228">
        <v>1000</v>
      </c>
      <c r="D1117" s="1244">
        <f>'Prec Materia Prima y Empaq'!$H$7</f>
        <v>50000</v>
      </c>
      <c r="E1117" s="1240">
        <v>0</v>
      </c>
      <c r="F1117" s="1241">
        <f t="shared" si="389"/>
        <v>50000</v>
      </c>
      <c r="G1117" s="1240">
        <f>F1117/C1117*H1117</f>
        <v>32.022471910112351</v>
      </c>
      <c r="H1117" s="1245">
        <v>0.64044943820224698</v>
      </c>
      <c r="I1117" s="1245" t="s">
        <v>453</v>
      </c>
      <c r="K1117" s="1242">
        <f t="shared" ref="K1117" si="394">H1117/$C$1068</f>
        <v>1.5248796147672547E-3</v>
      </c>
      <c r="L1117" s="1243">
        <f t="shared" si="392"/>
        <v>7.6243980738362735E-2</v>
      </c>
      <c r="N1117" s="1220" t="s">
        <v>247</v>
      </c>
      <c r="O1117" s="1247">
        <v>1</v>
      </c>
      <c r="P1117" s="1240">
        <f>$F$391/$C$391*$O$391</f>
        <v>50</v>
      </c>
      <c r="Q1117" s="1248"/>
      <c r="R1117" s="1249" t="e">
        <f>P1117/O1106</f>
        <v>#DIV/0!</v>
      </c>
      <c r="S1117" s="1248" t="e">
        <f>R1117*1000</f>
        <v>#DIV/0!</v>
      </c>
      <c r="T1117" s="1250">
        <f>O1117/$O$380*1000</f>
        <v>2.5641025641025641E-3</v>
      </c>
      <c r="U1117" s="1238">
        <f>T1117*$M$380</f>
        <v>1</v>
      </c>
      <c r="Y1117" s="1238"/>
      <c r="Z1117" s="1238"/>
      <c r="AA1117" s="1251"/>
      <c r="AC1117" s="1252"/>
    </row>
    <row r="1118" spans="1:29" ht="19.5" customHeight="1" x14ac:dyDescent="0.25">
      <c r="A1118" s="1238"/>
      <c r="B1118" s="1228" t="s">
        <v>755</v>
      </c>
      <c r="C1118" s="1228">
        <v>1</v>
      </c>
      <c r="D1118" s="1273">
        <f>'Prec Materia Prima y Empaq'!H151</f>
        <v>750</v>
      </c>
      <c r="E1118" s="1240">
        <v>0</v>
      </c>
      <c r="F1118" s="1241">
        <f>+E1118+D1118</f>
        <v>750</v>
      </c>
      <c r="G1118" s="1253">
        <f t="shared" ref="G1118:G1122" si="395">F1118*H1118</f>
        <v>315000</v>
      </c>
      <c r="H1118" s="1245">
        <f>$C$1103</f>
        <v>420</v>
      </c>
      <c r="I1118" s="1245" t="s">
        <v>453</v>
      </c>
      <c r="K1118" s="1242">
        <f t="shared" si="391"/>
        <v>1</v>
      </c>
      <c r="L1118" s="1243">
        <f t="shared" si="392"/>
        <v>750</v>
      </c>
    </row>
    <row r="1119" spans="1:29" ht="15" customHeight="1" x14ac:dyDescent="0.25">
      <c r="B1119" s="1220" t="s">
        <v>614</v>
      </c>
      <c r="C1119" s="1220">
        <v>1</v>
      </c>
      <c r="D1119" s="1244">
        <f>'Prec Materia Prima y Empaq'!$H$144</f>
        <v>70</v>
      </c>
      <c r="E1119" s="1240">
        <v>0</v>
      </c>
      <c r="F1119" s="1241">
        <f t="shared" ref="F1119:F1122" si="396">+E1119+D1119</f>
        <v>70</v>
      </c>
      <c r="G1119" s="1253">
        <f t="shared" si="395"/>
        <v>29400</v>
      </c>
      <c r="H1119" s="1245">
        <f t="shared" ref="H1119:H1121" si="397">$C$1103</f>
        <v>420</v>
      </c>
      <c r="I1119" s="1245" t="s">
        <v>453</v>
      </c>
      <c r="K1119" s="1242">
        <f t="shared" si="391"/>
        <v>1</v>
      </c>
      <c r="L1119" s="1243">
        <f t="shared" si="392"/>
        <v>70</v>
      </c>
    </row>
    <row r="1120" spans="1:29" ht="15" customHeight="1" x14ac:dyDescent="0.25">
      <c r="B1120" s="1245" t="s">
        <v>452</v>
      </c>
      <c r="C1120" s="1245">
        <v>1</v>
      </c>
      <c r="D1120" s="1244">
        <f>'Prec Materia Prima y Empaq'!$H$140</f>
        <v>120</v>
      </c>
      <c r="E1120" s="1240">
        <v>0</v>
      </c>
      <c r="F1120" s="1241">
        <f t="shared" si="396"/>
        <v>120</v>
      </c>
      <c r="G1120" s="1253">
        <f t="shared" si="395"/>
        <v>50400</v>
      </c>
      <c r="H1120" s="1245">
        <f t="shared" si="397"/>
        <v>420</v>
      </c>
      <c r="I1120" s="1245" t="s">
        <v>453</v>
      </c>
      <c r="K1120" s="1242">
        <f t="shared" si="391"/>
        <v>1</v>
      </c>
      <c r="L1120" s="1243">
        <f t="shared" si="392"/>
        <v>120</v>
      </c>
    </row>
    <row r="1121" spans="1:12" ht="15" customHeight="1" x14ac:dyDescent="0.25">
      <c r="B1121" s="1220" t="s">
        <v>310</v>
      </c>
      <c r="C1121" s="1245">
        <v>1</v>
      </c>
      <c r="D1121" s="1244">
        <f>'Prec Materia Prima y Empaq'!$H$130</f>
        <v>100</v>
      </c>
      <c r="E1121" s="1240">
        <v>0</v>
      </c>
      <c r="F1121" s="1241">
        <f t="shared" si="396"/>
        <v>100</v>
      </c>
      <c r="G1121" s="1253">
        <f t="shared" si="395"/>
        <v>42000</v>
      </c>
      <c r="H1121" s="1245">
        <f t="shared" si="397"/>
        <v>420</v>
      </c>
      <c r="I1121" s="1245" t="s">
        <v>453</v>
      </c>
      <c r="K1121" s="1242">
        <f t="shared" si="391"/>
        <v>1</v>
      </c>
      <c r="L1121" s="1243">
        <f t="shared" si="392"/>
        <v>100</v>
      </c>
    </row>
    <row r="1122" spans="1:12" ht="52.5" customHeight="1" x14ac:dyDescent="0.25">
      <c r="B1122" s="1220" t="s">
        <v>695</v>
      </c>
      <c r="C1122" s="1245">
        <v>1</v>
      </c>
      <c r="D1122" s="1272">
        <f>'Prec Materia Prima y Empaq'!$H$161</f>
        <v>300</v>
      </c>
      <c r="E1122" s="1240">
        <v>0</v>
      </c>
      <c r="F1122" s="1241">
        <f t="shared" si="396"/>
        <v>300</v>
      </c>
      <c r="G1122" s="1253">
        <f t="shared" si="395"/>
        <v>126000</v>
      </c>
      <c r="H1122" s="1245">
        <f t="shared" ref="H1122" si="398">$C$1068</f>
        <v>420</v>
      </c>
      <c r="I1122" s="1245" t="s">
        <v>453</v>
      </c>
      <c r="K1122" s="1242">
        <f t="shared" si="391"/>
        <v>1</v>
      </c>
      <c r="L1122" s="1243">
        <f t="shared" si="392"/>
        <v>300</v>
      </c>
    </row>
    <row r="1123" spans="1:12" ht="19.5" customHeight="1" thickBot="1" x14ac:dyDescent="0.3">
      <c r="B1123" s="1255"/>
      <c r="C1123" s="857"/>
      <c r="D1123" s="1256"/>
      <c r="E1123" s="1248"/>
      <c r="F1123" s="1257"/>
      <c r="G1123" s="1258">
        <f>SUM(G1109:G1122)/C1103</f>
        <v>1447.7343455967666</v>
      </c>
      <c r="H1123" s="1259" t="s">
        <v>454</v>
      </c>
      <c r="I1123" s="857"/>
      <c r="L1123" s="1260">
        <f>SUM(L1109:L1122)</f>
        <v>1447.7343455967666</v>
      </c>
    </row>
    <row r="1124" spans="1:12" ht="15" customHeight="1" thickTop="1" x14ac:dyDescent="0.25">
      <c r="B1124" s="1261" t="s">
        <v>409</v>
      </c>
      <c r="C1124" s="1262"/>
      <c r="D1124" s="1263">
        <f>+'Gtos Varios'!I14</f>
        <v>3672.93</v>
      </c>
      <c r="E1124" s="1262"/>
      <c r="F1124" s="1264">
        <f t="shared" ref="F1124" si="399">+E1124+D1124</f>
        <v>3672.93</v>
      </c>
      <c r="G1124" s="1265">
        <f>F1124</f>
        <v>3672.93</v>
      </c>
      <c r="H1124" s="1262" t="str">
        <f>B1124</f>
        <v xml:space="preserve">GASTOS VARIOS </v>
      </c>
      <c r="I1124" s="857"/>
    </row>
    <row r="1125" spans="1:12" ht="15" customHeight="1" x14ac:dyDescent="0.25">
      <c r="B1125" s="1255"/>
      <c r="C1125" s="857"/>
      <c r="D1125" s="1256"/>
      <c r="E1125" s="1248"/>
      <c r="F1125" s="1257"/>
      <c r="G1125" s="1266"/>
      <c r="H1125" s="857"/>
      <c r="I1125" s="857"/>
    </row>
    <row r="1126" spans="1:12" ht="15" customHeight="1" x14ac:dyDescent="0.25">
      <c r="B1126" s="1255"/>
      <c r="C1126" s="857"/>
      <c r="D1126" s="1256"/>
      <c r="E1126" s="1248"/>
      <c r="F1126" s="1257"/>
      <c r="G1126" s="1266"/>
      <c r="H1126" s="857"/>
      <c r="I1126" s="857"/>
    </row>
    <row r="1127" spans="1:12" ht="15" customHeight="1" thickBot="1" x14ac:dyDescent="0.3">
      <c r="F1127" s="1267">
        <f>SUM(F1109:F1122)</f>
        <v>278952.49</v>
      </c>
      <c r="G1127" s="1268">
        <f>SUM(G1123:G1124)</f>
        <v>5120.664345596766</v>
      </c>
      <c r="H1127" s="733" t="s">
        <v>412</v>
      </c>
    </row>
    <row r="1128" spans="1:12" ht="15" customHeight="1" thickTop="1" x14ac:dyDescent="0.25">
      <c r="G1128" s="1257">
        <f>G1127*65%</f>
        <v>3328.431824637898</v>
      </c>
      <c r="H1128" s="1274">
        <v>0.65</v>
      </c>
      <c r="I1128" s="733" t="s">
        <v>539</v>
      </c>
    </row>
    <row r="1129" spans="1:12" ht="15" customHeight="1" thickBot="1" x14ac:dyDescent="0.3">
      <c r="G1129" s="1270">
        <f>G1127+G1128</f>
        <v>8449.0961702346649</v>
      </c>
      <c r="H1129" s="733" t="s">
        <v>414</v>
      </c>
    </row>
    <row r="1130" spans="1:12" ht="15" customHeight="1" thickTop="1" x14ac:dyDescent="0.25"/>
    <row r="1132" spans="1:12" ht="15" customHeight="1" x14ac:dyDescent="0.25">
      <c r="B1132" s="1222" t="s">
        <v>61</v>
      </c>
      <c r="C1132" s="1219" t="s">
        <v>154</v>
      </c>
      <c r="D1132" s="733"/>
      <c r="E1132" s="853"/>
      <c r="F1132" s="853"/>
      <c r="G1132" s="853"/>
      <c r="H1132" s="853"/>
    </row>
    <row r="1133" spans="1:12" ht="15" customHeight="1" x14ac:dyDescent="0.25">
      <c r="A1133" s="1223" t="s">
        <v>718</v>
      </c>
      <c r="B1133" s="1222" t="s">
        <v>62</v>
      </c>
      <c r="C1133" s="1219" t="str">
        <f>VLOOKUP(C1132,LISTPROD[],2,FALSE)</f>
        <v>MEMOREX</v>
      </c>
      <c r="D1133" s="1219" t="s">
        <v>486</v>
      </c>
      <c r="E1133" s="861" t="s">
        <v>487</v>
      </c>
      <c r="F1133" s="853"/>
      <c r="G1133" s="853"/>
      <c r="H1133" s="853"/>
    </row>
    <row r="1134" spans="1:12" ht="15" customHeight="1" x14ac:dyDescent="0.25">
      <c r="B1134" s="1222" t="s">
        <v>234</v>
      </c>
      <c r="C1134" s="1219" t="str">
        <f>VLOOKUP(C1132,LISTPROD[],9,FALSE)</f>
        <v>500 ML</v>
      </c>
      <c r="D1134" s="733"/>
      <c r="E1134" s="853"/>
      <c r="F1134" s="853"/>
      <c r="G1134" s="853"/>
      <c r="H1134" s="853"/>
    </row>
    <row r="1135" spans="1:12" ht="15" customHeight="1" x14ac:dyDescent="0.25">
      <c r="B1135" s="1222" t="s">
        <v>239</v>
      </c>
      <c r="C1135" s="1224">
        <v>420</v>
      </c>
      <c r="D1135" s="1218"/>
      <c r="E1135" s="853"/>
      <c r="F1135" s="853"/>
      <c r="G1135" s="853"/>
      <c r="H1135" s="853"/>
    </row>
    <row r="1136" spans="1:12" ht="15" customHeight="1" x14ac:dyDescent="0.25">
      <c r="B1136" s="1222" t="s">
        <v>240</v>
      </c>
      <c r="C1136" s="1219"/>
      <c r="D1136" s="733"/>
    </row>
    <row r="1137" spans="1:29" ht="15" customHeight="1" x14ac:dyDescent="0.25">
      <c r="B1137" s="1222" t="s">
        <v>238</v>
      </c>
      <c r="C1137" s="733" t="s">
        <v>56</v>
      </c>
      <c r="D1137" s="1218" t="s">
        <v>449</v>
      </c>
    </row>
    <row r="1138" spans="1:29" ht="15" customHeight="1" x14ac:dyDescent="0.25">
      <c r="B1138" s="1225" t="s">
        <v>410</v>
      </c>
      <c r="C1138" s="753">
        <v>500</v>
      </c>
      <c r="D1138" s="1226"/>
    </row>
    <row r="1139" spans="1:29" ht="15" customHeight="1" x14ac:dyDescent="0.25">
      <c r="A1139" s="1227"/>
      <c r="B1139" s="1436" t="s">
        <v>404</v>
      </c>
      <c r="C1139" s="1436"/>
      <c r="D1139" s="1436"/>
      <c r="E1139" s="1436"/>
      <c r="F1139" s="1436"/>
      <c r="G1139" s="1228"/>
      <c r="H1139" s="1437" t="s">
        <v>416</v>
      </c>
      <c r="I1139" s="1438"/>
    </row>
    <row r="1140" spans="1:29" ht="34.5" customHeight="1" x14ac:dyDescent="0.25">
      <c r="A1140" s="1229"/>
      <c r="B1140" s="1230" t="s">
        <v>398</v>
      </c>
      <c r="C1140" s="1231" t="s">
        <v>441</v>
      </c>
      <c r="D1140" s="1232" t="s">
        <v>399</v>
      </c>
      <c r="E1140" s="1233" t="s">
        <v>402</v>
      </c>
      <c r="F1140" s="1232" t="s">
        <v>399</v>
      </c>
      <c r="G1140" s="1232" t="s">
        <v>411</v>
      </c>
      <c r="H1140" s="1234" t="s">
        <v>408</v>
      </c>
      <c r="I1140" s="1235" t="s">
        <v>415</v>
      </c>
      <c r="K1140" s="1236" t="s">
        <v>603</v>
      </c>
      <c r="L1140" s="1237" t="s">
        <v>604</v>
      </c>
    </row>
    <row r="1141" spans="1:29" ht="15" customHeight="1" x14ac:dyDescent="0.25">
      <c r="A1141" s="1238"/>
      <c r="B1141" s="1228" t="s">
        <v>248</v>
      </c>
      <c r="C1141" s="1228">
        <v>1000</v>
      </c>
      <c r="D1141" s="1239">
        <f>'Prec Materia Prima y Empaq'!$H$21</f>
        <v>15400</v>
      </c>
      <c r="E1141" s="1240">
        <f>D1141*19%</f>
        <v>2926</v>
      </c>
      <c r="F1141" s="1241">
        <f>+E1141+D1141</f>
        <v>18326</v>
      </c>
      <c r="G1141" s="1240">
        <f>F1141/C1141*H1141</f>
        <v>14660.800000000001</v>
      </c>
      <c r="H1141" s="1242">
        <v>800</v>
      </c>
      <c r="I1141" s="1228" t="s">
        <v>450</v>
      </c>
      <c r="K1141" s="1242">
        <f>H1141/$C$1135</f>
        <v>1.9047619047619047</v>
      </c>
      <c r="L1141" s="1243">
        <f>F1141/C1141*K1141</f>
        <v>34.906666666666666</v>
      </c>
    </row>
    <row r="1142" spans="1:29" ht="15" customHeight="1" x14ac:dyDescent="0.25">
      <c r="A1142" s="1238"/>
      <c r="B1142" s="1228" t="s">
        <v>443</v>
      </c>
      <c r="C1142" s="1228">
        <v>1000</v>
      </c>
      <c r="D1142" s="1239">
        <f>'Prec Materia Prima y Empaq'!$H$11</f>
        <v>8000</v>
      </c>
      <c r="E1142" s="1240">
        <f t="shared" ref="E1142:E1145" si="400">D1142*19%</f>
        <v>1520</v>
      </c>
      <c r="F1142" s="1241">
        <f t="shared" ref="F1142:F1152" si="401">+E1142+D1142</f>
        <v>9520</v>
      </c>
      <c r="G1142" s="1240">
        <f t="shared" ref="G1142:G1148" si="402">F1142/C1142*H1142</f>
        <v>5712</v>
      </c>
      <c r="H1142" s="1242">
        <v>600</v>
      </c>
      <c r="I1142" s="1228" t="s">
        <v>450</v>
      </c>
      <c r="K1142" s="1242">
        <f t="shared" ref="K1142:K1156" si="403">H1142/$C$1135</f>
        <v>1.4285714285714286</v>
      </c>
      <c r="L1142" s="1243">
        <f t="shared" ref="L1142:L1156" si="404">F1142/C1142*K1142</f>
        <v>13.6</v>
      </c>
    </row>
    <row r="1143" spans="1:29" ht="15" customHeight="1" x14ac:dyDescent="0.25">
      <c r="A1143" s="1238"/>
      <c r="B1143" s="1228" t="s">
        <v>253</v>
      </c>
      <c r="C1143" s="1228">
        <v>1000</v>
      </c>
      <c r="D1143" s="1239">
        <f>'Prec Materia Prima y Empaq'!$H$9</f>
        <v>5400</v>
      </c>
      <c r="E1143" s="1240">
        <f t="shared" si="400"/>
        <v>1026</v>
      </c>
      <c r="F1143" s="1241">
        <f t="shared" si="401"/>
        <v>6426</v>
      </c>
      <c r="G1143" s="1240">
        <f t="shared" si="402"/>
        <v>1927.8</v>
      </c>
      <c r="H1143" s="1242">
        <v>300</v>
      </c>
      <c r="I1143" s="1228" t="s">
        <v>450</v>
      </c>
      <c r="K1143" s="1242">
        <f t="shared" si="403"/>
        <v>0.7142857142857143</v>
      </c>
      <c r="L1143" s="1243">
        <f t="shared" si="404"/>
        <v>4.59</v>
      </c>
    </row>
    <row r="1144" spans="1:29" ht="15" customHeight="1" x14ac:dyDescent="0.25">
      <c r="A1144" s="1238"/>
      <c r="B1144" s="1228" t="s">
        <v>262</v>
      </c>
      <c r="C1144" s="1228">
        <v>1000</v>
      </c>
      <c r="D1144" s="1239">
        <f>'Prec Materia Prima y Empaq'!$H$55</f>
        <v>50522</v>
      </c>
      <c r="E1144" s="1240">
        <f t="shared" si="400"/>
        <v>9599.18</v>
      </c>
      <c r="F1144" s="1241">
        <f t="shared" si="401"/>
        <v>60121.18</v>
      </c>
      <c r="G1144" s="1240">
        <f t="shared" si="402"/>
        <v>6012.1180000000004</v>
      </c>
      <c r="H1144" s="1242">
        <v>100</v>
      </c>
      <c r="I1144" s="1228" t="s">
        <v>450</v>
      </c>
      <c r="K1144" s="1242">
        <f t="shared" si="403"/>
        <v>0.23809523809523808</v>
      </c>
      <c r="L1144" s="1243">
        <f t="shared" si="404"/>
        <v>14.314566666666666</v>
      </c>
    </row>
    <row r="1145" spans="1:29" ht="15" customHeight="1" x14ac:dyDescent="0.25">
      <c r="A1145" s="1238"/>
      <c r="B1145" s="1228" t="s">
        <v>261</v>
      </c>
      <c r="C1145" s="1228">
        <v>1000</v>
      </c>
      <c r="D1145" s="1239">
        <f>'Prec Materia Prima y Empaq'!$H$12</f>
        <v>4700</v>
      </c>
      <c r="E1145" s="1240">
        <f t="shared" si="400"/>
        <v>893</v>
      </c>
      <c r="F1145" s="1241">
        <f t="shared" si="401"/>
        <v>5593</v>
      </c>
      <c r="G1145" s="1240">
        <f t="shared" si="402"/>
        <v>1118.5999999999999</v>
      </c>
      <c r="H1145" s="1242">
        <v>200</v>
      </c>
      <c r="I1145" s="1228" t="s">
        <v>450</v>
      </c>
      <c r="K1145" s="1242">
        <f t="shared" si="403"/>
        <v>0.47619047619047616</v>
      </c>
      <c r="L1145" s="1243">
        <f t="shared" si="404"/>
        <v>2.6633333333333331</v>
      </c>
    </row>
    <row r="1146" spans="1:29" ht="15" customHeight="1" x14ac:dyDescent="0.25">
      <c r="A1146" s="1238"/>
      <c r="B1146" s="1228" t="s">
        <v>268</v>
      </c>
      <c r="C1146" s="1228">
        <v>1000</v>
      </c>
      <c r="D1146" s="1239">
        <f>'Prec Materia Prima y Empaq'!$H$31</f>
        <v>20000</v>
      </c>
      <c r="E1146" s="1240">
        <v>0</v>
      </c>
      <c r="F1146" s="1241">
        <f t="shared" si="401"/>
        <v>20000</v>
      </c>
      <c r="G1146" s="1240">
        <f t="shared" si="402"/>
        <v>20000</v>
      </c>
      <c r="H1146" s="1242">
        <v>1000</v>
      </c>
      <c r="I1146" s="1228" t="s">
        <v>450</v>
      </c>
      <c r="K1146" s="1242">
        <f t="shared" si="403"/>
        <v>2.3809523809523809</v>
      </c>
      <c r="L1146" s="1243">
        <f t="shared" si="404"/>
        <v>47.61904761904762</v>
      </c>
    </row>
    <row r="1147" spans="1:29" ht="15" customHeight="1" x14ac:dyDescent="0.25">
      <c r="A1147" s="1238"/>
      <c r="B1147" s="1228" t="s">
        <v>246</v>
      </c>
      <c r="C1147" s="1228">
        <v>1000</v>
      </c>
      <c r="D1147" s="1239">
        <f>'Prec Materia Prima y Empaq'!$H$41</f>
        <v>80268</v>
      </c>
      <c r="E1147" s="1240">
        <f t="shared" ref="E1147" si="405">D1147*19%</f>
        <v>15250.92</v>
      </c>
      <c r="F1147" s="1241">
        <f t="shared" ref="F1147" si="406">+E1147+D1147</f>
        <v>95518.92</v>
      </c>
      <c r="G1147" s="1240">
        <f t="shared" si="402"/>
        <v>1910.3783999999998</v>
      </c>
      <c r="H1147" s="1242">
        <v>20</v>
      </c>
      <c r="I1147" s="1228" t="s">
        <v>450</v>
      </c>
      <c r="K1147" s="1242">
        <f t="shared" si="403"/>
        <v>4.7619047619047616E-2</v>
      </c>
      <c r="L1147" s="1243">
        <f t="shared" si="404"/>
        <v>4.5485199999999999</v>
      </c>
    </row>
    <row r="1148" spans="1:29" ht="30.75" customHeight="1" x14ac:dyDescent="0.25">
      <c r="B1148" s="1228" t="s">
        <v>255</v>
      </c>
      <c r="C1148" s="1228">
        <v>1000</v>
      </c>
      <c r="D1148" s="1239">
        <f>'Prec Materia Prima y Empaq'!$H$26</f>
        <v>45404</v>
      </c>
      <c r="E1148" s="1240">
        <f t="shared" ref="E1148:E1149" si="407">D1148*19%</f>
        <v>8626.76</v>
      </c>
      <c r="F1148" s="1241">
        <f t="shared" si="401"/>
        <v>54030.76</v>
      </c>
      <c r="G1148" s="1240">
        <f t="shared" si="402"/>
        <v>5403.076</v>
      </c>
      <c r="H1148" s="1242">
        <v>100</v>
      </c>
      <c r="I1148" s="1228" t="s">
        <v>450</v>
      </c>
      <c r="K1148" s="1242">
        <f t="shared" si="403"/>
        <v>0.23809523809523808</v>
      </c>
      <c r="L1148" s="1243">
        <f t="shared" si="404"/>
        <v>12.864466666666667</v>
      </c>
    </row>
    <row r="1149" spans="1:29" ht="23.25" customHeight="1" x14ac:dyDescent="0.25">
      <c r="B1149" s="1228" t="s">
        <v>382</v>
      </c>
      <c r="C1149" s="1228">
        <v>3785</v>
      </c>
      <c r="D1149" s="1239">
        <f>'Prec Materia Prima y Empaq'!$H$18</f>
        <v>24</v>
      </c>
      <c r="E1149" s="1240">
        <f t="shared" si="407"/>
        <v>4.5600000000000005</v>
      </c>
      <c r="F1149" s="1241">
        <f t="shared" si="401"/>
        <v>28.560000000000002</v>
      </c>
      <c r="G1149" s="1240">
        <f>F1149/C1149*H1149</f>
        <v>0.37727873183619554</v>
      </c>
      <c r="H1149" s="1242">
        <v>50</v>
      </c>
      <c r="I1149" s="1228" t="s">
        <v>450</v>
      </c>
      <c r="K1149" s="1242">
        <f t="shared" si="403"/>
        <v>0.11904761904761904</v>
      </c>
      <c r="L1149" s="1243">
        <f t="shared" si="404"/>
        <v>8.9828269484808459E-4</v>
      </c>
    </row>
    <row r="1150" spans="1:29" ht="31.5" customHeight="1" x14ac:dyDescent="0.25">
      <c r="B1150" s="1220" t="s">
        <v>247</v>
      </c>
      <c r="C1150" s="1228">
        <v>1000</v>
      </c>
      <c r="D1150" s="1244">
        <f>'Prec Materia Prima y Empaq'!$H$7</f>
        <v>50000</v>
      </c>
      <c r="E1150" s="1240">
        <v>0</v>
      </c>
      <c r="F1150" s="1241">
        <f t="shared" si="401"/>
        <v>50000</v>
      </c>
      <c r="G1150" s="1240">
        <f>F1150/C1150*H1150</f>
        <v>32.022471910112351</v>
      </c>
      <c r="H1150" s="1245">
        <v>0.64044943820224698</v>
      </c>
      <c r="I1150" s="1245" t="s">
        <v>453</v>
      </c>
      <c r="K1150" s="1242">
        <f t="shared" ref="K1150" si="408">H1150/$C$1068</f>
        <v>1.5248796147672547E-3</v>
      </c>
      <c r="L1150" s="1243">
        <f t="shared" si="404"/>
        <v>7.6243980738362735E-2</v>
      </c>
      <c r="N1150" s="1220" t="s">
        <v>247</v>
      </c>
      <c r="O1150" s="1247">
        <v>1</v>
      </c>
      <c r="P1150" s="1240">
        <f>$F$391/$C$391*$O$391</f>
        <v>50</v>
      </c>
      <c r="Q1150" s="1248"/>
      <c r="R1150" s="1249" t="e">
        <f>P1150/O1139</f>
        <v>#DIV/0!</v>
      </c>
      <c r="S1150" s="1248" t="e">
        <f>R1150*1000</f>
        <v>#DIV/0!</v>
      </c>
      <c r="T1150" s="1250">
        <f>O1150/$O$380*1000</f>
        <v>2.5641025641025641E-3</v>
      </c>
      <c r="U1150" s="1238">
        <f>T1150*$M$380</f>
        <v>1</v>
      </c>
      <c r="Y1150" s="1238"/>
      <c r="Z1150" s="1238"/>
      <c r="AA1150" s="1251"/>
      <c r="AC1150" s="1252"/>
    </row>
    <row r="1151" spans="1:29" ht="34.5" customHeight="1" x14ac:dyDescent="0.25">
      <c r="B1151" s="1220" t="s">
        <v>485</v>
      </c>
      <c r="C1151" s="1220">
        <v>1</v>
      </c>
      <c r="D1151" s="1244">
        <f>'Prec Materia Prima y Empaq'!$H$138</f>
        <v>650</v>
      </c>
      <c r="E1151" s="1240">
        <v>0</v>
      </c>
      <c r="F1151" s="1241">
        <f t="shared" si="401"/>
        <v>650</v>
      </c>
      <c r="G1151" s="1253">
        <f>F1151*H1151</f>
        <v>273000</v>
      </c>
      <c r="H1151" s="1245">
        <f>$C$1795</f>
        <v>420</v>
      </c>
      <c r="I1151" s="1245" t="s">
        <v>453</v>
      </c>
      <c r="K1151" s="1242">
        <f t="shared" si="403"/>
        <v>1</v>
      </c>
      <c r="L1151" s="1243">
        <f t="shared" si="404"/>
        <v>650</v>
      </c>
    </row>
    <row r="1152" spans="1:29" ht="52.5" customHeight="1" x14ac:dyDescent="0.25">
      <c r="B1152" s="1220" t="s">
        <v>614</v>
      </c>
      <c r="C1152" s="1220">
        <v>1</v>
      </c>
      <c r="D1152" s="1244">
        <f>'Prec Materia Prima y Empaq'!$H$144</f>
        <v>70</v>
      </c>
      <c r="E1152" s="1240"/>
      <c r="F1152" s="1241">
        <f t="shared" si="401"/>
        <v>70</v>
      </c>
      <c r="G1152" s="1253">
        <f t="shared" ref="G1152:G1156" si="409">F1152*H1152</f>
        <v>29400</v>
      </c>
      <c r="H1152" s="1245">
        <f t="shared" ref="H1152:H1155" si="410">$C$1795</f>
        <v>420</v>
      </c>
      <c r="I1152" s="1245" t="s">
        <v>453</v>
      </c>
      <c r="K1152" s="1242">
        <f t="shared" si="403"/>
        <v>1</v>
      </c>
      <c r="L1152" s="1243">
        <f t="shared" si="404"/>
        <v>70</v>
      </c>
    </row>
    <row r="1153" spans="2:12" ht="52.5" customHeight="1" x14ac:dyDescent="0.25">
      <c r="B1153" s="1220" t="s">
        <v>695</v>
      </c>
      <c r="C1153" s="1245">
        <v>1</v>
      </c>
      <c r="D1153" s="1272">
        <f>'Prec Materia Prima y Empaq'!$H$161</f>
        <v>300</v>
      </c>
      <c r="E1153" s="1240">
        <v>0</v>
      </c>
      <c r="F1153" s="1241">
        <f t="shared" ref="F1153:F1156" si="411">+E1153+D1153</f>
        <v>300</v>
      </c>
      <c r="G1153" s="1253">
        <f t="shared" si="409"/>
        <v>126000</v>
      </c>
      <c r="H1153" s="1245">
        <f t="shared" si="410"/>
        <v>420</v>
      </c>
      <c r="I1153" s="1245" t="s">
        <v>453</v>
      </c>
      <c r="K1153" s="1242">
        <f t="shared" si="403"/>
        <v>1</v>
      </c>
      <c r="L1153" s="1243">
        <f t="shared" si="404"/>
        <v>300</v>
      </c>
    </row>
    <row r="1154" spans="2:12" ht="15" customHeight="1" x14ac:dyDescent="0.25">
      <c r="B1154" s="1279" t="s">
        <v>675</v>
      </c>
      <c r="C1154" s="1245">
        <v>1</v>
      </c>
      <c r="D1154" s="1272">
        <f>'Prec Materia Prima y Empaq'!$H$162</f>
        <v>100</v>
      </c>
      <c r="E1154" s="1240">
        <v>0</v>
      </c>
      <c r="F1154" s="1241">
        <f t="shared" si="411"/>
        <v>100</v>
      </c>
      <c r="G1154" s="1253">
        <f t="shared" si="409"/>
        <v>42000</v>
      </c>
      <c r="H1154" s="1245">
        <f t="shared" si="410"/>
        <v>420</v>
      </c>
      <c r="I1154" s="1245" t="s">
        <v>453</v>
      </c>
      <c r="K1154" s="1242">
        <f t="shared" si="403"/>
        <v>1</v>
      </c>
      <c r="L1154" s="1243">
        <f t="shared" si="404"/>
        <v>100</v>
      </c>
    </row>
    <row r="1155" spans="2:12" ht="18.75" customHeight="1" x14ac:dyDescent="0.25">
      <c r="B1155" s="1220" t="s">
        <v>310</v>
      </c>
      <c r="C1155" s="1245">
        <v>1</v>
      </c>
      <c r="D1155" s="1272">
        <f>'Prec Materia Prima y Empaq'!$H$130</f>
        <v>100</v>
      </c>
      <c r="E1155" s="1240">
        <v>0</v>
      </c>
      <c r="F1155" s="1241">
        <f t="shared" si="411"/>
        <v>100</v>
      </c>
      <c r="G1155" s="1253">
        <f t="shared" si="409"/>
        <v>42000</v>
      </c>
      <c r="H1155" s="1245">
        <f t="shared" si="410"/>
        <v>420</v>
      </c>
      <c r="I1155" s="1245" t="s">
        <v>453</v>
      </c>
      <c r="K1155" s="1242">
        <f t="shared" si="403"/>
        <v>1</v>
      </c>
      <c r="L1155" s="1243">
        <f t="shared" si="404"/>
        <v>100</v>
      </c>
    </row>
    <row r="1156" spans="2:12" ht="24.75" customHeight="1" x14ac:dyDescent="0.25">
      <c r="B1156" s="1245" t="s">
        <v>309</v>
      </c>
      <c r="C1156" s="1245">
        <v>1</v>
      </c>
      <c r="D1156" s="1272">
        <f>'Prec Materia Prima y Empaq'!$H$129</f>
        <v>800</v>
      </c>
      <c r="E1156" s="1240">
        <v>0</v>
      </c>
      <c r="F1156" s="1241">
        <f t="shared" si="411"/>
        <v>800</v>
      </c>
      <c r="G1156" s="1253">
        <f t="shared" si="409"/>
        <v>336000</v>
      </c>
      <c r="H1156" s="1245">
        <f t="shared" ref="H1156" si="412">$C$1135</f>
        <v>420</v>
      </c>
      <c r="I1156" s="1245" t="s">
        <v>453</v>
      </c>
      <c r="K1156" s="1242">
        <f t="shared" si="403"/>
        <v>1</v>
      </c>
      <c r="L1156" s="1243">
        <f t="shared" si="404"/>
        <v>800</v>
      </c>
    </row>
    <row r="1157" spans="2:12" ht="19.5" customHeight="1" thickBot="1" x14ac:dyDescent="0.3">
      <c r="B1157" s="1255"/>
      <c r="C1157" s="857"/>
      <c r="D1157" s="1256"/>
      <c r="E1157" s="1248"/>
      <c r="F1157" s="1257"/>
      <c r="G1157" s="1258">
        <f>SUM(G1141:G1156)/C1135</f>
        <v>2155.183743215814</v>
      </c>
      <c r="H1157" s="1259" t="s">
        <v>454</v>
      </c>
      <c r="I1157" s="857"/>
      <c r="L1157" s="1260">
        <f>SUM(L1141:L1156)</f>
        <v>2155.183743215814</v>
      </c>
    </row>
    <row r="1158" spans="2:12" ht="15" customHeight="1" thickTop="1" x14ac:dyDescent="0.25">
      <c r="B1158" s="1261" t="s">
        <v>409</v>
      </c>
      <c r="C1158" s="1262"/>
      <c r="D1158" s="1263">
        <f>+'Gtos Varios'!I14</f>
        <v>3672.93</v>
      </c>
      <c r="E1158" s="1262"/>
      <c r="F1158" s="1264">
        <f t="shared" ref="F1158" si="413">+E1158+D1158</f>
        <v>3672.93</v>
      </c>
      <c r="G1158" s="1265">
        <f>F1158</f>
        <v>3672.93</v>
      </c>
      <c r="H1158" s="1262" t="str">
        <f>B1158</f>
        <v xml:space="preserve">GASTOS VARIOS </v>
      </c>
      <c r="I1158" s="1262"/>
    </row>
    <row r="1159" spans="2:12" ht="15" customHeight="1" x14ac:dyDescent="0.25">
      <c r="B1159" s="1255"/>
      <c r="C1159" s="857"/>
      <c r="D1159" s="1256"/>
      <c r="E1159" s="1248"/>
      <c r="F1159" s="1257"/>
      <c r="G1159" s="1266"/>
      <c r="H1159" s="857"/>
      <c r="I1159" s="857"/>
    </row>
    <row r="1160" spans="2:12" ht="15" customHeight="1" x14ac:dyDescent="0.25">
      <c r="B1160" s="1255"/>
      <c r="C1160" s="857"/>
      <c r="D1160" s="1256"/>
      <c r="E1160" s="1248"/>
      <c r="F1160" s="1257"/>
      <c r="G1160" s="1266"/>
      <c r="H1160" s="857"/>
      <c r="I1160" s="857"/>
    </row>
    <row r="1161" spans="2:12" ht="15" customHeight="1" thickBot="1" x14ac:dyDescent="0.3">
      <c r="F1161" s="1267">
        <f>SUM(F1141:F1156)</f>
        <v>321584.42</v>
      </c>
      <c r="G1161" s="1268">
        <f>SUM(G1157:G1158)</f>
        <v>5828.1137432158139</v>
      </c>
      <c r="H1161" s="733" t="s">
        <v>412</v>
      </c>
    </row>
    <row r="1162" spans="2:12" ht="15" customHeight="1" thickTop="1" x14ac:dyDescent="0.25">
      <c r="G1162" s="1257">
        <f>G1161*49%</f>
        <v>2855.7757341757488</v>
      </c>
      <c r="H1162" s="1269">
        <v>0.49</v>
      </c>
      <c r="I1162" s="733" t="s">
        <v>539</v>
      </c>
    </row>
    <row r="1163" spans="2:12" ht="15" customHeight="1" thickBot="1" x14ac:dyDescent="0.3">
      <c r="G1163" s="1270">
        <f>G1161+G1162</f>
        <v>8683.8894773915636</v>
      </c>
      <c r="H1163" s="733" t="s">
        <v>414</v>
      </c>
    </row>
    <row r="1164" spans="2:12" ht="15" customHeight="1" thickTop="1" x14ac:dyDescent="0.25"/>
    <row r="1168" spans="2:12" ht="15" customHeight="1" x14ac:dyDescent="0.25">
      <c r="B1168" s="1222" t="s">
        <v>61</v>
      </c>
      <c r="C1168" s="1219" t="s">
        <v>156</v>
      </c>
      <c r="D1168" s="733"/>
    </row>
    <row r="1169" spans="1:12" ht="15" customHeight="1" x14ac:dyDescent="0.25">
      <c r="B1169" s="1222" t="s">
        <v>62</v>
      </c>
      <c r="C1169" s="1219" t="str">
        <f>VLOOKUP(C1168,LISTPROD[],2,FALSE)</f>
        <v>MERO MACHO</v>
      </c>
      <c r="D1169" s="1219" t="s">
        <v>486</v>
      </c>
      <c r="E1169" s="733" t="s">
        <v>698</v>
      </c>
    </row>
    <row r="1170" spans="1:12" ht="15" customHeight="1" x14ac:dyDescent="0.25">
      <c r="B1170" s="1222" t="s">
        <v>234</v>
      </c>
      <c r="C1170" s="1219" t="str">
        <f>VLOOKUP(C1168,LISTPROD[],9,FALSE)</f>
        <v>500 ML</v>
      </c>
      <c r="D1170" s="733"/>
    </row>
    <row r="1171" spans="1:12" ht="15" customHeight="1" x14ac:dyDescent="0.25">
      <c r="A1171" s="1288" t="s">
        <v>697</v>
      </c>
      <c r="B1171" s="1222" t="s">
        <v>239</v>
      </c>
      <c r="C1171" s="1224">
        <v>390</v>
      </c>
      <c r="D1171" s="1218"/>
    </row>
    <row r="1172" spans="1:12" ht="15" customHeight="1" x14ac:dyDescent="0.25">
      <c r="B1172" s="1222" t="s">
        <v>240</v>
      </c>
      <c r="C1172" s="1219"/>
      <c r="D1172" s="733"/>
    </row>
    <row r="1173" spans="1:12" ht="15" customHeight="1" x14ac:dyDescent="0.25">
      <c r="B1173" s="1222" t="s">
        <v>238</v>
      </c>
      <c r="C1173" s="733" t="s">
        <v>56</v>
      </c>
      <c r="D1173" s="1218" t="s">
        <v>449</v>
      </c>
    </row>
    <row r="1174" spans="1:12" ht="15" customHeight="1" x14ac:dyDescent="0.25">
      <c r="B1174" s="1225" t="s">
        <v>410</v>
      </c>
      <c r="C1174" s="753">
        <v>500</v>
      </c>
      <c r="D1174" s="1226"/>
    </row>
    <row r="1175" spans="1:12" ht="15" customHeight="1" x14ac:dyDescent="0.25">
      <c r="A1175" s="1227"/>
      <c r="B1175" s="1436" t="s">
        <v>404</v>
      </c>
      <c r="C1175" s="1436"/>
      <c r="D1175" s="1436"/>
      <c r="E1175" s="1436"/>
      <c r="F1175" s="1436"/>
      <c r="G1175" s="1228"/>
      <c r="H1175" s="1437" t="s">
        <v>416</v>
      </c>
      <c r="I1175" s="1438"/>
    </row>
    <row r="1176" spans="1:12" ht="42" customHeight="1" x14ac:dyDescent="0.25">
      <c r="A1176" s="1229"/>
      <c r="B1176" s="1230" t="s">
        <v>398</v>
      </c>
      <c r="C1176" s="1231" t="s">
        <v>441</v>
      </c>
      <c r="D1176" s="1232" t="s">
        <v>399</v>
      </c>
      <c r="E1176" s="1233" t="s">
        <v>402</v>
      </c>
      <c r="F1176" s="1232" t="s">
        <v>399</v>
      </c>
      <c r="G1176" s="1232" t="s">
        <v>411</v>
      </c>
      <c r="H1176" s="1234" t="s">
        <v>408</v>
      </c>
      <c r="I1176" s="1235" t="s">
        <v>415</v>
      </c>
      <c r="K1176" s="1236" t="s">
        <v>603</v>
      </c>
      <c r="L1176" s="1237" t="s">
        <v>604</v>
      </c>
    </row>
    <row r="1177" spans="1:12" ht="15" customHeight="1" x14ac:dyDescent="0.25">
      <c r="A1177" s="1238"/>
      <c r="B1177" s="1228" t="s">
        <v>248</v>
      </c>
      <c r="C1177" s="1228">
        <v>1000</v>
      </c>
      <c r="D1177" s="1239">
        <f>'Prec Materia Prima y Empaq'!$H$21</f>
        <v>15400</v>
      </c>
      <c r="E1177" s="1240">
        <f>D1177*19%</f>
        <v>2926</v>
      </c>
      <c r="F1177" s="1241">
        <f>+E1177+D1177</f>
        <v>18326</v>
      </c>
      <c r="G1177" s="1240">
        <f t="shared" ref="G1177:G1179" si="414">F1177/C1177*H1177</f>
        <v>12828.2</v>
      </c>
      <c r="H1177" s="1242">
        <f>350*2</f>
        <v>700</v>
      </c>
      <c r="I1177" s="1228" t="s">
        <v>450</v>
      </c>
      <c r="K1177" s="1242">
        <f t="shared" ref="K1177:K1195" si="415">H1177/$C$1171</f>
        <v>1.7948717948717949</v>
      </c>
      <c r="L1177" s="1243">
        <f>F1177/C1177*K1177</f>
        <v>32.892820512820514</v>
      </c>
    </row>
    <row r="1178" spans="1:12" ht="15" customHeight="1" x14ac:dyDescent="0.25">
      <c r="A1178" s="1238"/>
      <c r="B1178" s="1228" t="s">
        <v>443</v>
      </c>
      <c r="C1178" s="1228">
        <v>1000</v>
      </c>
      <c r="D1178" s="1239">
        <f>'Prec Materia Prima y Empaq'!$H$11</f>
        <v>8000</v>
      </c>
      <c r="E1178" s="1240">
        <f t="shared" ref="E1178:E1183" si="416">D1178*19%</f>
        <v>1520</v>
      </c>
      <c r="F1178" s="1241">
        <f t="shared" ref="F1178:F1195" si="417">+E1178+D1178</f>
        <v>9520</v>
      </c>
      <c r="G1178" s="1240">
        <f t="shared" si="414"/>
        <v>5712</v>
      </c>
      <c r="H1178" s="1242">
        <f>300*2</f>
        <v>600</v>
      </c>
      <c r="I1178" s="1228" t="s">
        <v>450</v>
      </c>
      <c r="K1178" s="1242">
        <f t="shared" si="415"/>
        <v>1.5384615384615385</v>
      </c>
      <c r="L1178" s="1243">
        <f t="shared" ref="L1178:L1188" si="418">F1178/C1178*K1178</f>
        <v>14.646153846153846</v>
      </c>
    </row>
    <row r="1179" spans="1:12" ht="15" customHeight="1" x14ac:dyDescent="0.25">
      <c r="A1179" s="1238"/>
      <c r="B1179" s="1228" t="s">
        <v>253</v>
      </c>
      <c r="C1179" s="1228">
        <v>1000</v>
      </c>
      <c r="D1179" s="1239">
        <f>'Prec Materia Prima y Empaq'!$H$9</f>
        <v>5400</v>
      </c>
      <c r="E1179" s="1240">
        <f t="shared" si="416"/>
        <v>1026</v>
      </c>
      <c r="F1179" s="1241">
        <f t="shared" si="417"/>
        <v>6426</v>
      </c>
      <c r="G1179" s="1240">
        <f t="shared" si="414"/>
        <v>6426</v>
      </c>
      <c r="H1179" s="1242">
        <f>500*2</f>
        <v>1000</v>
      </c>
      <c r="I1179" s="1228" t="s">
        <v>450</v>
      </c>
      <c r="K1179" s="1242">
        <f t="shared" si="415"/>
        <v>2.5641025641025643</v>
      </c>
      <c r="L1179" s="1243">
        <f t="shared" si="418"/>
        <v>16.476923076923079</v>
      </c>
    </row>
    <row r="1180" spans="1:12" ht="15" customHeight="1" x14ac:dyDescent="0.25">
      <c r="A1180" s="1238"/>
      <c r="B1180" s="1228" t="s">
        <v>382</v>
      </c>
      <c r="C1180" s="1228">
        <v>3785</v>
      </c>
      <c r="D1180" s="1239">
        <f>'Prec Materia Prima y Empaq'!$H$18</f>
        <v>24</v>
      </c>
      <c r="E1180" s="1240">
        <f t="shared" si="416"/>
        <v>4.5600000000000005</v>
      </c>
      <c r="F1180" s="1241">
        <f t="shared" si="417"/>
        <v>28.560000000000002</v>
      </c>
      <c r="G1180" s="1240">
        <f>F1180/C1180*H1180</f>
        <v>0.37727873183619554</v>
      </c>
      <c r="H1180" s="1242">
        <v>50</v>
      </c>
      <c r="I1180" s="1228" t="s">
        <v>450</v>
      </c>
      <c r="K1180" s="1242">
        <f t="shared" si="415"/>
        <v>0.12820512820512819</v>
      </c>
      <c r="L1180" s="1243">
        <f t="shared" si="418"/>
        <v>9.6738136368255262E-4</v>
      </c>
    </row>
    <row r="1181" spans="1:12" ht="15" customHeight="1" x14ac:dyDescent="0.25">
      <c r="A1181" s="1238"/>
      <c r="B1181" s="1294" t="s">
        <v>276</v>
      </c>
      <c r="C1181" s="1228">
        <v>1000</v>
      </c>
      <c r="D1181" s="1273">
        <f>'Prec Materia Prima y Empaq'!H57</f>
        <v>53393</v>
      </c>
      <c r="E1181" s="1240">
        <f t="shared" si="416"/>
        <v>10144.67</v>
      </c>
      <c r="F1181" s="1241">
        <f t="shared" si="417"/>
        <v>63537.67</v>
      </c>
      <c r="G1181" s="1240">
        <f t="shared" ref="G1181:G1183" si="419">F1181/C1181*H1181</f>
        <v>19061.300999999999</v>
      </c>
      <c r="H1181" s="1242">
        <f>150*2</f>
        <v>300</v>
      </c>
      <c r="I1181" s="1228" t="s">
        <v>450</v>
      </c>
      <c r="K1181" s="1242">
        <f t="shared" si="415"/>
        <v>0.76923076923076927</v>
      </c>
      <c r="L1181" s="1243">
        <f t="shared" si="418"/>
        <v>48.875130769230772</v>
      </c>
    </row>
    <row r="1182" spans="1:12" ht="15" customHeight="1" x14ac:dyDescent="0.25">
      <c r="A1182" s="1238"/>
      <c r="B1182" s="1228" t="s">
        <v>246</v>
      </c>
      <c r="C1182" s="1228">
        <v>1000</v>
      </c>
      <c r="D1182" s="1273">
        <f>'Prec Materia Prima y Empaq'!$H$41</f>
        <v>80268</v>
      </c>
      <c r="E1182" s="1240">
        <f t="shared" si="416"/>
        <v>15250.92</v>
      </c>
      <c r="F1182" s="1241">
        <f t="shared" si="417"/>
        <v>95518.92</v>
      </c>
      <c r="G1182" s="1240">
        <f t="shared" si="419"/>
        <v>764.15135999999995</v>
      </c>
      <c r="H1182" s="1242">
        <f>4*2</f>
        <v>8</v>
      </c>
      <c r="I1182" s="1228" t="s">
        <v>450</v>
      </c>
      <c r="K1182" s="1242">
        <f t="shared" si="415"/>
        <v>2.0512820512820513E-2</v>
      </c>
      <c r="L1182" s="1243">
        <f t="shared" si="418"/>
        <v>1.9593624615384615</v>
      </c>
    </row>
    <row r="1183" spans="1:12" ht="15" customHeight="1" x14ac:dyDescent="0.25">
      <c r="B1183" s="1228" t="s">
        <v>567</v>
      </c>
      <c r="C1183" s="1228">
        <v>1000</v>
      </c>
      <c r="D1183" s="1273">
        <f>'Prec Materia Prima y Empaq'!$H$27</f>
        <v>120000</v>
      </c>
      <c r="E1183" s="1240">
        <f t="shared" si="416"/>
        <v>22800</v>
      </c>
      <c r="F1183" s="1241">
        <f t="shared" si="417"/>
        <v>142800</v>
      </c>
      <c r="G1183" s="1241">
        <f t="shared" si="419"/>
        <v>71400</v>
      </c>
      <c r="H1183" s="1228">
        <f>250*2</f>
        <v>500</v>
      </c>
      <c r="I1183" s="1228" t="s">
        <v>450</v>
      </c>
      <c r="K1183" s="1242">
        <f t="shared" si="415"/>
        <v>1.2820512820512822</v>
      </c>
      <c r="L1183" s="1243">
        <f t="shared" si="418"/>
        <v>183.07692307692309</v>
      </c>
    </row>
    <row r="1184" spans="1:12" ht="15" customHeight="1" x14ac:dyDescent="0.25">
      <c r="A1184" s="1238"/>
      <c r="B1184" s="1228" t="s">
        <v>259</v>
      </c>
      <c r="C1184" s="1228">
        <v>1000</v>
      </c>
      <c r="D1184" s="1273">
        <f>'Prec Materia Prima y Empaq'!$H$42</f>
        <v>63103</v>
      </c>
      <c r="E1184" s="1240">
        <f t="shared" ref="E1184" si="420">D1184*19%</f>
        <v>11989.57</v>
      </c>
      <c r="F1184" s="1241">
        <f t="shared" ref="F1184" si="421">+E1184+D1184</f>
        <v>75092.570000000007</v>
      </c>
      <c r="G1184" s="1240">
        <f t="shared" ref="G1184" si="422">F1184/C1184*H1184</f>
        <v>150.18514000000002</v>
      </c>
      <c r="H1184" s="1242">
        <f>1*2</f>
        <v>2</v>
      </c>
      <c r="I1184" s="1228" t="s">
        <v>450</v>
      </c>
      <c r="K1184" s="1242">
        <f t="shared" si="415"/>
        <v>5.1282051282051282E-3</v>
      </c>
      <c r="L1184" s="1243">
        <f t="shared" si="418"/>
        <v>0.38509010256410259</v>
      </c>
    </row>
    <row r="1185" spans="1:29" ht="15" customHeight="1" x14ac:dyDescent="0.25">
      <c r="B1185" s="1228" t="s">
        <v>277</v>
      </c>
      <c r="C1185" s="1228">
        <v>1000</v>
      </c>
      <c r="D1185" s="1273">
        <f>'Prec Materia Prima y Empaq'!$H$30</f>
        <v>23.778071334214001</v>
      </c>
      <c r="E1185" s="1240">
        <v>0</v>
      </c>
      <c r="F1185" s="1304">
        <f t="shared" ref="F1185:F1188" si="423">+E1185+D1185</f>
        <v>23.778071334214001</v>
      </c>
      <c r="G1185" s="1240">
        <f t="shared" ref="G1185:G1186" si="424">F1185/C1185*H1185</f>
        <v>3.5667107001321003</v>
      </c>
      <c r="H1185" s="1228">
        <f>75*2</f>
        <v>150</v>
      </c>
      <c r="I1185" s="1228" t="s">
        <v>450</v>
      </c>
      <c r="K1185" s="1242">
        <f t="shared" si="415"/>
        <v>0.38461538461538464</v>
      </c>
      <c r="L1185" s="1243">
        <f t="shared" si="418"/>
        <v>9.1454120516207705E-3</v>
      </c>
    </row>
    <row r="1186" spans="1:29" ht="15" customHeight="1" x14ac:dyDescent="0.25">
      <c r="B1186" s="1228" t="s">
        <v>571</v>
      </c>
      <c r="C1186" s="1228">
        <v>1000</v>
      </c>
      <c r="D1186" s="1239">
        <f>'Prec Materia Prima y Empaq'!$H$34</f>
        <v>35000</v>
      </c>
      <c r="E1186" s="1240">
        <f t="shared" ref="E1186:E1188" si="425">D1186*19%</f>
        <v>6650</v>
      </c>
      <c r="F1186" s="1241">
        <f t="shared" si="423"/>
        <v>41650</v>
      </c>
      <c r="G1186" s="1240">
        <f t="shared" si="424"/>
        <v>41650</v>
      </c>
      <c r="H1186" s="1228">
        <f>500*2</f>
        <v>1000</v>
      </c>
      <c r="I1186" s="1228" t="s">
        <v>450</v>
      </c>
      <c r="K1186" s="1242">
        <f t="shared" si="415"/>
        <v>2.5641025641025643</v>
      </c>
      <c r="L1186" s="1243">
        <f t="shared" si="418"/>
        <v>106.7948717948718</v>
      </c>
    </row>
    <row r="1187" spans="1:29" ht="15" customHeight="1" x14ac:dyDescent="0.25">
      <c r="B1187" s="1228" t="s">
        <v>275</v>
      </c>
      <c r="C1187" s="1228">
        <v>1000</v>
      </c>
      <c r="D1187" s="1239">
        <f>'Prec Materia Prima y Empaq'!$H$60</f>
        <v>64485</v>
      </c>
      <c r="E1187" s="1240">
        <f t="shared" si="425"/>
        <v>12252.15</v>
      </c>
      <c r="F1187" s="1241">
        <f t="shared" si="423"/>
        <v>76737.149999999994</v>
      </c>
      <c r="G1187" s="1240">
        <f t="shared" ref="G1187:G1188" si="426">F1187/C1187*H1187</f>
        <v>15347.43</v>
      </c>
      <c r="H1187" s="1228">
        <f>100*2</f>
        <v>200</v>
      </c>
      <c r="I1187" s="1228" t="s">
        <v>450</v>
      </c>
      <c r="K1187" s="1242">
        <f t="shared" si="415"/>
        <v>0.51282051282051277</v>
      </c>
      <c r="L1187" s="1243">
        <f t="shared" si="418"/>
        <v>39.352384615384615</v>
      </c>
    </row>
    <row r="1188" spans="1:29" ht="15" customHeight="1" x14ac:dyDescent="0.25">
      <c r="B1188" s="1228" t="s">
        <v>255</v>
      </c>
      <c r="C1188" s="1228">
        <v>1000</v>
      </c>
      <c r="D1188" s="1239">
        <f>'Prec Materia Prima y Empaq'!$H$26</f>
        <v>45404</v>
      </c>
      <c r="E1188" s="1240">
        <f t="shared" si="425"/>
        <v>8626.76</v>
      </c>
      <c r="F1188" s="1241">
        <f t="shared" si="423"/>
        <v>54030.76</v>
      </c>
      <c r="G1188" s="1240">
        <f t="shared" si="426"/>
        <v>22692.9192</v>
      </c>
      <c r="H1188" s="1228">
        <f>210*2</f>
        <v>420</v>
      </c>
      <c r="I1188" s="1228" t="s">
        <v>450</v>
      </c>
      <c r="K1188" s="1242">
        <f t="shared" si="415"/>
        <v>1.0769230769230769</v>
      </c>
      <c r="L1188" s="1243">
        <f t="shared" si="418"/>
        <v>58.186972307692308</v>
      </c>
    </row>
    <row r="1189" spans="1:29" ht="15" customHeight="1" x14ac:dyDescent="0.25">
      <c r="B1189" s="1228" t="s">
        <v>572</v>
      </c>
      <c r="C1189" s="1228">
        <v>1000</v>
      </c>
      <c r="D1189" s="1239">
        <f>'Prec Materia Prima y Empaq'!$H$35</f>
        <v>750000</v>
      </c>
      <c r="E1189" s="1240">
        <f>D1189*19%</f>
        <v>142500</v>
      </c>
      <c r="F1189" s="1241">
        <f t="shared" ref="F1189:F1190" si="427">+E1189+D1189</f>
        <v>892500</v>
      </c>
      <c r="G1189" s="1240">
        <f t="shared" ref="G1189" si="428">F1189/C1189*H1189</f>
        <v>107100</v>
      </c>
      <c r="H1189" s="1228">
        <f>60*2</f>
        <v>120</v>
      </c>
      <c r="I1189" s="1228" t="s">
        <v>450</v>
      </c>
      <c r="K1189" s="1242">
        <f t="shared" si="415"/>
        <v>0.30769230769230771</v>
      </c>
      <c r="L1189" s="1243">
        <f t="shared" ref="L1189:L1195" si="429">F1189/C1189*K1189</f>
        <v>274.61538461538464</v>
      </c>
    </row>
    <row r="1190" spans="1:29" ht="31.5" customHeight="1" x14ac:dyDescent="0.25">
      <c r="B1190" s="1220" t="s">
        <v>247</v>
      </c>
      <c r="C1190" s="1228">
        <v>1000</v>
      </c>
      <c r="D1190" s="1244">
        <f>'Prec Materia Prima y Empaq'!$H$7</f>
        <v>50000</v>
      </c>
      <c r="E1190" s="1240">
        <v>0</v>
      </c>
      <c r="F1190" s="1241">
        <f t="shared" si="427"/>
        <v>50000</v>
      </c>
      <c r="G1190" s="1240">
        <f>F1190/C1190*H1190</f>
        <v>32.022471910112351</v>
      </c>
      <c r="H1190" s="1245">
        <v>0.64044943820224698</v>
      </c>
      <c r="I1190" s="1245" t="s">
        <v>453</v>
      </c>
      <c r="K1190" s="1242">
        <f t="shared" ref="K1190" si="430">H1190/$C$1068</f>
        <v>1.5248796147672547E-3</v>
      </c>
      <c r="L1190" s="1243">
        <f t="shared" si="429"/>
        <v>7.6243980738362735E-2</v>
      </c>
      <c r="N1190" s="1220" t="s">
        <v>247</v>
      </c>
      <c r="O1190" s="1247">
        <v>1</v>
      </c>
      <c r="P1190" s="1240">
        <f>$F$391/$C$391*$O$391</f>
        <v>50</v>
      </c>
      <c r="Q1190" s="1248"/>
      <c r="R1190" s="1249" t="e">
        <f>P1190/O1179</f>
        <v>#DIV/0!</v>
      </c>
      <c r="S1190" s="1248" t="e">
        <f>R1190*1000</f>
        <v>#DIV/0!</v>
      </c>
      <c r="T1190" s="1250">
        <f>O1190/$O$380*1000</f>
        <v>2.5641025641025641E-3</v>
      </c>
      <c r="U1190" s="1238">
        <f>T1190*$M$380</f>
        <v>1</v>
      </c>
      <c r="Y1190" s="1238"/>
      <c r="Z1190" s="1238"/>
      <c r="AA1190" s="1251"/>
      <c r="AC1190" s="1252"/>
    </row>
    <row r="1191" spans="1:29" ht="30.75" customHeight="1" x14ac:dyDescent="0.25">
      <c r="B1191" s="1220" t="s">
        <v>451</v>
      </c>
      <c r="C1191" s="1220">
        <v>1</v>
      </c>
      <c r="D1191" s="1244">
        <f>'Prec Materia Prima y Empaq'!$H$126</f>
        <v>700</v>
      </c>
      <c r="E1191" s="1240">
        <v>0</v>
      </c>
      <c r="F1191" s="1241">
        <f t="shared" si="417"/>
        <v>700</v>
      </c>
      <c r="G1191" s="1253">
        <f t="shared" ref="G1191:G1195" si="431">F1191*H1191</f>
        <v>273000</v>
      </c>
      <c r="H1191" s="1245">
        <f>$C$1171</f>
        <v>390</v>
      </c>
      <c r="I1191" s="1245" t="s">
        <v>453</v>
      </c>
      <c r="K1191" s="1242">
        <f t="shared" si="415"/>
        <v>1</v>
      </c>
      <c r="L1191" s="1243">
        <f t="shared" si="429"/>
        <v>700</v>
      </c>
    </row>
    <row r="1192" spans="1:29" ht="35.25" customHeight="1" x14ac:dyDescent="0.25">
      <c r="B1192" s="1220" t="s">
        <v>699</v>
      </c>
      <c r="C1192" s="1220">
        <v>1</v>
      </c>
      <c r="D1192" s="1272">
        <f>'Prec Materia Prima y Empaq'!$H$145</f>
        <v>120</v>
      </c>
      <c r="E1192" s="1240">
        <v>0</v>
      </c>
      <c r="F1192" s="1241">
        <f t="shared" si="417"/>
        <v>120</v>
      </c>
      <c r="G1192" s="1253">
        <f t="shared" si="431"/>
        <v>46800</v>
      </c>
      <c r="H1192" s="1245">
        <f>$C$1171</f>
        <v>390</v>
      </c>
      <c r="I1192" s="1245" t="s">
        <v>453</v>
      </c>
      <c r="K1192" s="1242">
        <f t="shared" si="415"/>
        <v>1</v>
      </c>
      <c r="L1192" s="1243">
        <f t="shared" si="429"/>
        <v>120</v>
      </c>
    </row>
    <row r="1193" spans="1:29" ht="51" customHeight="1" x14ac:dyDescent="0.25">
      <c r="A1193" s="1048" t="s">
        <v>754</v>
      </c>
      <c r="B1193" s="1287" t="s">
        <v>700</v>
      </c>
      <c r="C1193" s="1287">
        <v>1</v>
      </c>
      <c r="D1193" s="1278">
        <f>'Prec Materia Prima y Empaq'!$H$192</f>
        <v>0</v>
      </c>
      <c r="E1193" s="1240"/>
      <c r="F1193" s="1241"/>
      <c r="G1193" s="1253">
        <f t="shared" si="431"/>
        <v>0</v>
      </c>
      <c r="H1193" s="1245">
        <f>$C$1171</f>
        <v>390</v>
      </c>
      <c r="I1193" s="1245" t="s">
        <v>453</v>
      </c>
      <c r="K1193" s="1242">
        <f t="shared" si="415"/>
        <v>1</v>
      </c>
      <c r="L1193" s="1243">
        <f t="shared" si="429"/>
        <v>0</v>
      </c>
    </row>
    <row r="1194" spans="1:29" s="857" customFormat="1" ht="33" customHeight="1" x14ac:dyDescent="0.25">
      <c r="B1194" s="1245" t="s">
        <v>452</v>
      </c>
      <c r="C1194" s="1245">
        <v>1</v>
      </c>
      <c r="D1194" s="1244">
        <f>'Prec Materia Prima y Empaq'!$H$140</f>
        <v>120</v>
      </c>
      <c r="E1194" s="1253">
        <v>0</v>
      </c>
      <c r="F1194" s="1284">
        <f t="shared" si="417"/>
        <v>120</v>
      </c>
      <c r="G1194" s="1253">
        <f t="shared" si="431"/>
        <v>46800</v>
      </c>
      <c r="H1194" s="1245">
        <f>$C$1171</f>
        <v>390</v>
      </c>
      <c r="I1194" s="1245" t="s">
        <v>453</v>
      </c>
      <c r="K1194" s="1285">
        <f t="shared" si="415"/>
        <v>1</v>
      </c>
      <c r="L1194" s="1286">
        <f t="shared" si="429"/>
        <v>120</v>
      </c>
    </row>
    <row r="1195" spans="1:29" ht="32.25" customHeight="1" x14ac:dyDescent="0.25">
      <c r="B1195" s="1220" t="s">
        <v>701</v>
      </c>
      <c r="C1195" s="1245">
        <v>1</v>
      </c>
      <c r="D1195" s="1272">
        <f>'Prec Materia Prima y Empaq'!$H$128</f>
        <v>100</v>
      </c>
      <c r="E1195" s="1240">
        <v>0</v>
      </c>
      <c r="F1195" s="1241">
        <f t="shared" si="417"/>
        <v>100</v>
      </c>
      <c r="G1195" s="1253">
        <f t="shared" si="431"/>
        <v>39000</v>
      </c>
      <c r="H1195" s="1245">
        <f>$C$1171</f>
        <v>390</v>
      </c>
      <c r="I1195" s="1245" t="s">
        <v>453</v>
      </c>
      <c r="K1195" s="1242">
        <f t="shared" si="415"/>
        <v>1</v>
      </c>
      <c r="L1195" s="1243">
        <f t="shared" si="429"/>
        <v>100</v>
      </c>
    </row>
    <row r="1196" spans="1:29" ht="19.5" customHeight="1" thickBot="1" x14ac:dyDescent="0.3">
      <c r="B1196" s="1255"/>
      <c r="C1196" s="857"/>
      <c r="D1196" s="1256"/>
      <c r="E1196" s="1248"/>
      <c r="F1196" s="1257"/>
      <c r="G1196" s="1258">
        <f>SUM(G1177:G1195)/C1171</f>
        <v>1817.354238875236</v>
      </c>
      <c r="H1196" s="1259" t="s">
        <v>454</v>
      </c>
      <c r="I1196" s="857"/>
      <c r="L1196" s="1260">
        <f>SUM(L1177:L1195)</f>
        <v>1817.3483739536409</v>
      </c>
    </row>
    <row r="1197" spans="1:29" ht="15" customHeight="1" thickTop="1" x14ac:dyDescent="0.25">
      <c r="B1197" s="1261" t="s">
        <v>409</v>
      </c>
      <c r="C1197" s="1262"/>
      <c r="D1197" s="1263">
        <f>+'Gtos Varios'!I14</f>
        <v>3672.93</v>
      </c>
      <c r="E1197" s="1262"/>
      <c r="F1197" s="1264">
        <f t="shared" ref="F1197" si="432">+E1197+D1197</f>
        <v>3672.93</v>
      </c>
      <c r="G1197" s="1265">
        <f>F1197</f>
        <v>3672.93</v>
      </c>
      <c r="H1197" s="1262" t="str">
        <f>B1197</f>
        <v xml:space="preserve">GASTOS VARIOS </v>
      </c>
      <c r="I1197" s="1262"/>
      <c r="J1197" s="1262"/>
    </row>
    <row r="1198" spans="1:29" ht="15" customHeight="1" x14ac:dyDescent="0.25">
      <c r="B1198" s="1297"/>
      <c r="C1198" s="1262"/>
      <c r="D1198" s="1263"/>
      <c r="E1198" s="1298"/>
      <c r="F1198" s="1265"/>
      <c r="G1198" s="1298"/>
      <c r="H1198" s="1262"/>
      <c r="I1198" s="1262"/>
      <c r="J1198" s="1262"/>
    </row>
    <row r="1199" spans="1:29" ht="15" customHeight="1" x14ac:dyDescent="0.25">
      <c r="B1199" s="1255"/>
      <c r="C1199" s="857"/>
      <c r="D1199" s="1256"/>
      <c r="E1199" s="1248"/>
      <c r="F1199" s="1257"/>
      <c r="G1199" s="1266"/>
      <c r="H1199" s="857"/>
      <c r="I1199" s="857"/>
    </row>
    <row r="1200" spans="1:29" ht="15" customHeight="1" thickBot="1" x14ac:dyDescent="0.3">
      <c r="F1200" s="1267">
        <f>SUM(F1177:F1195)</f>
        <v>1527231.4080713342</v>
      </c>
      <c r="G1200" s="1268">
        <f>SUM(G1196:G1197)</f>
        <v>5490.284238875236</v>
      </c>
      <c r="H1200" s="733" t="s">
        <v>412</v>
      </c>
    </row>
    <row r="1201" spans="1:12" ht="15" customHeight="1" thickTop="1" x14ac:dyDescent="0.25">
      <c r="G1201" s="1295">
        <f>G1200*62%</f>
        <v>3403.9762281026465</v>
      </c>
      <c r="H1201" s="1274">
        <v>0.62</v>
      </c>
      <c r="I1201" s="733" t="s">
        <v>539</v>
      </c>
    </row>
    <row r="1202" spans="1:12" ht="15" customHeight="1" thickBot="1" x14ac:dyDescent="0.3">
      <c r="G1202" s="1270">
        <f>G1200+G1201</f>
        <v>8894.260466977883</v>
      </c>
      <c r="H1202" s="733" t="s">
        <v>414</v>
      </c>
    </row>
    <row r="1203" spans="1:12" ht="15" customHeight="1" thickTop="1" x14ac:dyDescent="0.25"/>
    <row r="1205" spans="1:12" ht="15" customHeight="1" x14ac:dyDescent="0.25">
      <c r="B1205" s="1222" t="s">
        <v>61</v>
      </c>
      <c r="C1205" s="1219" t="s">
        <v>158</v>
      </c>
      <c r="D1205" s="733"/>
    </row>
    <row r="1206" spans="1:12" ht="15" customHeight="1" x14ac:dyDescent="0.25">
      <c r="A1206" s="1223" t="s">
        <v>718</v>
      </c>
      <c r="B1206" s="1222" t="s">
        <v>62</v>
      </c>
      <c r="C1206" s="1219" t="str">
        <f>VLOOKUP(C1205,LISTPROD[],2,FALSE)</f>
        <v>MORINGA OLIFERA</v>
      </c>
      <c r="D1206" s="1219" t="s">
        <v>486</v>
      </c>
      <c r="E1206" s="733" t="s">
        <v>487</v>
      </c>
    </row>
    <row r="1207" spans="1:12" ht="15" customHeight="1" x14ac:dyDescent="0.25">
      <c r="B1207" s="1222" t="s">
        <v>234</v>
      </c>
      <c r="C1207" s="1219" t="str">
        <f>VLOOKUP(C1205,LISTPROD[],9,FALSE)</f>
        <v>500 ML</v>
      </c>
      <c r="D1207" s="733"/>
    </row>
    <row r="1208" spans="1:12" ht="15" customHeight="1" x14ac:dyDescent="0.25">
      <c r="B1208" s="1222" t="s">
        <v>239</v>
      </c>
      <c r="C1208" s="1224">
        <v>420</v>
      </c>
      <c r="D1208" s="1218"/>
    </row>
    <row r="1209" spans="1:12" ht="15" customHeight="1" x14ac:dyDescent="0.25">
      <c r="B1209" s="1222" t="s">
        <v>240</v>
      </c>
      <c r="C1209" s="1219"/>
      <c r="D1209" s="733"/>
    </row>
    <row r="1210" spans="1:12" ht="15" customHeight="1" x14ac:dyDescent="0.25">
      <c r="B1210" s="1222" t="s">
        <v>238</v>
      </c>
      <c r="C1210" s="733" t="s">
        <v>56</v>
      </c>
      <c r="D1210" s="1218" t="s">
        <v>449</v>
      </c>
    </row>
    <row r="1211" spans="1:12" ht="15" customHeight="1" x14ac:dyDescent="0.25">
      <c r="B1211" s="1225" t="s">
        <v>410</v>
      </c>
      <c r="C1211" s="753">
        <v>500</v>
      </c>
      <c r="D1211" s="1226"/>
    </row>
    <row r="1212" spans="1:12" ht="15" customHeight="1" x14ac:dyDescent="0.25">
      <c r="A1212" s="1227"/>
      <c r="B1212" s="1436" t="s">
        <v>404</v>
      </c>
      <c r="C1212" s="1436"/>
      <c r="D1212" s="1436"/>
      <c r="E1212" s="1436"/>
      <c r="F1212" s="1436"/>
      <c r="G1212" s="1228"/>
      <c r="H1212" s="1437" t="s">
        <v>416</v>
      </c>
      <c r="I1212" s="1438"/>
    </row>
    <row r="1213" spans="1:12" ht="34.5" customHeight="1" x14ac:dyDescent="0.25">
      <c r="A1213" s="1229"/>
      <c r="B1213" s="1230" t="s">
        <v>398</v>
      </c>
      <c r="C1213" s="1231" t="s">
        <v>441</v>
      </c>
      <c r="D1213" s="1232" t="s">
        <v>399</v>
      </c>
      <c r="E1213" s="1233" t="s">
        <v>402</v>
      </c>
      <c r="F1213" s="1232" t="s">
        <v>399</v>
      </c>
      <c r="G1213" s="1232" t="s">
        <v>411</v>
      </c>
      <c r="H1213" s="1234" t="s">
        <v>408</v>
      </c>
      <c r="I1213" s="1235" t="s">
        <v>415</v>
      </c>
      <c r="K1213" s="1236" t="s">
        <v>603</v>
      </c>
      <c r="L1213" s="1237" t="s">
        <v>604</v>
      </c>
    </row>
    <row r="1214" spans="1:12" ht="15" customHeight="1" x14ac:dyDescent="0.25">
      <c r="A1214" s="1238"/>
      <c r="B1214" s="1228" t="s">
        <v>248</v>
      </c>
      <c r="C1214" s="1228">
        <v>1000</v>
      </c>
      <c r="D1214" s="1239">
        <f>'Prec Materia Prima y Empaq'!$H$21</f>
        <v>15400</v>
      </c>
      <c r="E1214" s="1240">
        <f>D1214*19%</f>
        <v>2926</v>
      </c>
      <c r="F1214" s="1241">
        <f>+E1214+D1214</f>
        <v>18326</v>
      </c>
      <c r="G1214" s="1240">
        <f>F1214/C1214*H1214</f>
        <v>16493.400000000001</v>
      </c>
      <c r="H1214" s="1242">
        <v>900</v>
      </c>
      <c r="I1214" s="1228" t="s">
        <v>450</v>
      </c>
      <c r="K1214" s="1242">
        <f>H1214/$C$1208</f>
        <v>2.1428571428571428</v>
      </c>
      <c r="L1214" s="1243">
        <f>F1214/C1214*K1214</f>
        <v>39.270000000000003</v>
      </c>
    </row>
    <row r="1215" spans="1:12" ht="15" customHeight="1" x14ac:dyDescent="0.25">
      <c r="A1215" s="1238"/>
      <c r="B1215" s="1228" t="s">
        <v>443</v>
      </c>
      <c r="C1215" s="1228">
        <v>1000</v>
      </c>
      <c r="D1215" s="1239">
        <f>'Prec Materia Prima y Empaq'!$H$11</f>
        <v>8000</v>
      </c>
      <c r="E1215" s="1240">
        <f t="shared" ref="E1215:E1220" si="433">D1215*19%</f>
        <v>1520</v>
      </c>
      <c r="F1215" s="1241">
        <f t="shared" ref="F1215:F1225" si="434">+E1215+D1215</f>
        <v>9520</v>
      </c>
      <c r="G1215" s="1240">
        <f t="shared" ref="G1215:G1219" si="435">F1215/C1215*H1215</f>
        <v>5712</v>
      </c>
      <c r="H1215" s="1242">
        <v>600</v>
      </c>
      <c r="I1215" s="1228" t="s">
        <v>450</v>
      </c>
      <c r="K1215" s="1242">
        <f t="shared" ref="K1215:K1227" si="436">H1215/$C$1208</f>
        <v>1.4285714285714286</v>
      </c>
      <c r="L1215" s="1243">
        <f t="shared" ref="L1215:L1227" si="437">F1215/C1215*K1215</f>
        <v>13.6</v>
      </c>
    </row>
    <row r="1216" spans="1:12" ht="15" customHeight="1" x14ac:dyDescent="0.25">
      <c r="A1216" s="1238"/>
      <c r="B1216" s="1228" t="s">
        <v>253</v>
      </c>
      <c r="C1216" s="1228">
        <v>1000</v>
      </c>
      <c r="D1216" s="1239">
        <f>'Prec Materia Prima y Empaq'!$H$9</f>
        <v>5400</v>
      </c>
      <c r="E1216" s="1240">
        <f t="shared" si="433"/>
        <v>1026</v>
      </c>
      <c r="F1216" s="1241">
        <f t="shared" si="434"/>
        <v>6426</v>
      </c>
      <c r="G1216" s="1240">
        <f t="shared" si="435"/>
        <v>3213</v>
      </c>
      <c r="H1216" s="1242">
        <v>500</v>
      </c>
      <c r="I1216" s="1228" t="s">
        <v>450</v>
      </c>
      <c r="K1216" s="1242">
        <f t="shared" si="436"/>
        <v>1.1904761904761905</v>
      </c>
      <c r="L1216" s="1243">
        <f t="shared" si="437"/>
        <v>7.65</v>
      </c>
    </row>
    <row r="1217" spans="1:29" ht="15" customHeight="1" x14ac:dyDescent="0.25">
      <c r="A1217" s="1238"/>
      <c r="B1217" s="1228" t="s">
        <v>245</v>
      </c>
      <c r="C1217" s="1228">
        <v>1000</v>
      </c>
      <c r="D1217" s="1239">
        <f>'Prec Materia Prima y Empaq'!$H$44</f>
        <v>52325</v>
      </c>
      <c r="E1217" s="1240">
        <f t="shared" si="433"/>
        <v>9941.75</v>
      </c>
      <c r="F1217" s="1241">
        <f t="shared" si="434"/>
        <v>62266.75</v>
      </c>
      <c r="G1217" s="1240">
        <f t="shared" si="435"/>
        <v>6226.6750000000002</v>
      </c>
      <c r="H1217" s="1242">
        <v>100</v>
      </c>
      <c r="I1217" s="1228" t="s">
        <v>450</v>
      </c>
      <c r="K1217" s="1242">
        <f t="shared" si="436"/>
        <v>0.23809523809523808</v>
      </c>
      <c r="L1217" s="1243">
        <f t="shared" si="437"/>
        <v>14.825416666666666</v>
      </c>
    </row>
    <row r="1218" spans="1:29" ht="15" customHeight="1" x14ac:dyDescent="0.25">
      <c r="A1218" s="1238"/>
      <c r="B1218" s="1228" t="s">
        <v>261</v>
      </c>
      <c r="C1218" s="1228">
        <v>1000</v>
      </c>
      <c r="D1218" s="1239">
        <f>'Prec Materia Prima y Empaq'!$H$12</f>
        <v>4700</v>
      </c>
      <c r="E1218" s="1240">
        <f t="shared" si="433"/>
        <v>893</v>
      </c>
      <c r="F1218" s="1241">
        <f t="shared" si="434"/>
        <v>5593</v>
      </c>
      <c r="G1218" s="1240">
        <f t="shared" si="435"/>
        <v>1118.5999999999999</v>
      </c>
      <c r="H1218" s="1242">
        <v>200</v>
      </c>
      <c r="I1218" s="1228" t="s">
        <v>450</v>
      </c>
      <c r="K1218" s="1242">
        <f t="shared" si="436"/>
        <v>0.47619047619047616</v>
      </c>
      <c r="L1218" s="1243">
        <f t="shared" si="437"/>
        <v>2.6633333333333331</v>
      </c>
    </row>
    <row r="1219" spans="1:29" ht="15" customHeight="1" x14ac:dyDescent="0.25">
      <c r="A1219" s="1238"/>
      <c r="B1219" s="1228" t="s">
        <v>246</v>
      </c>
      <c r="C1219" s="1228">
        <v>1000</v>
      </c>
      <c r="D1219" s="1239">
        <f>'Prec Materia Prima y Empaq'!$H$41</f>
        <v>80268</v>
      </c>
      <c r="E1219" s="1240">
        <f t="shared" si="433"/>
        <v>15250.92</v>
      </c>
      <c r="F1219" s="1241">
        <f t="shared" si="434"/>
        <v>95518.92</v>
      </c>
      <c r="G1219" s="1240">
        <f t="shared" si="435"/>
        <v>1910.3783999999998</v>
      </c>
      <c r="H1219" s="1242">
        <v>20</v>
      </c>
      <c r="I1219" s="1228" t="s">
        <v>450</v>
      </c>
      <c r="K1219" s="1242">
        <f t="shared" si="436"/>
        <v>4.7619047619047616E-2</v>
      </c>
      <c r="L1219" s="1243">
        <f t="shared" si="437"/>
        <v>4.5485199999999999</v>
      </c>
    </row>
    <row r="1220" spans="1:29" ht="15" customHeight="1" x14ac:dyDescent="0.25">
      <c r="A1220" s="1238"/>
      <c r="B1220" s="1228" t="s">
        <v>382</v>
      </c>
      <c r="C1220" s="1228">
        <v>3785</v>
      </c>
      <c r="D1220" s="1239">
        <f>'Prec Materia Prima y Empaq'!$H$18</f>
        <v>24</v>
      </c>
      <c r="E1220" s="1240">
        <f t="shared" si="433"/>
        <v>4.5600000000000005</v>
      </c>
      <c r="F1220" s="1241">
        <f t="shared" si="434"/>
        <v>28.560000000000002</v>
      </c>
      <c r="G1220" s="1240">
        <f>F1220/C1220*H1220</f>
        <v>0.37727873183619554</v>
      </c>
      <c r="H1220" s="1242">
        <v>50</v>
      </c>
      <c r="I1220" s="1228" t="s">
        <v>450</v>
      </c>
      <c r="K1220" s="1242">
        <f t="shared" si="436"/>
        <v>0.11904761904761904</v>
      </c>
      <c r="L1220" s="1243">
        <f t="shared" si="437"/>
        <v>8.9828269484808459E-4</v>
      </c>
    </row>
    <row r="1221" spans="1:29" ht="31.5" customHeight="1" x14ac:dyDescent="0.25">
      <c r="B1221" s="1220" t="s">
        <v>247</v>
      </c>
      <c r="C1221" s="1228">
        <v>1000</v>
      </c>
      <c r="D1221" s="1244">
        <f>'Prec Materia Prima y Empaq'!$H$7</f>
        <v>50000</v>
      </c>
      <c r="E1221" s="1240">
        <v>0</v>
      </c>
      <c r="F1221" s="1241">
        <f t="shared" si="434"/>
        <v>50000</v>
      </c>
      <c r="G1221" s="1240">
        <f>F1221/C1221*H1221</f>
        <v>32.022471910112351</v>
      </c>
      <c r="H1221" s="1245">
        <v>0.64044943820224698</v>
      </c>
      <c r="I1221" s="1245" t="s">
        <v>453</v>
      </c>
      <c r="K1221" s="1242">
        <f t="shared" ref="K1221" si="438">H1221/$C$1068</f>
        <v>1.5248796147672547E-3</v>
      </c>
      <c r="L1221" s="1243">
        <f t="shared" si="437"/>
        <v>7.6243980738362735E-2</v>
      </c>
      <c r="N1221" s="1220" t="s">
        <v>247</v>
      </c>
      <c r="O1221" s="1247">
        <v>1</v>
      </c>
      <c r="P1221" s="1240">
        <f>$F$391/$C$391*$O$391</f>
        <v>50</v>
      </c>
      <c r="Q1221" s="1248"/>
      <c r="R1221" s="1249" t="e">
        <f>P1221/O1210</f>
        <v>#DIV/0!</v>
      </c>
      <c r="S1221" s="1248" t="e">
        <f>R1221*1000</f>
        <v>#DIV/0!</v>
      </c>
      <c r="T1221" s="1250">
        <f>O1221/$O$380*1000</f>
        <v>2.5641025641025641E-3</v>
      </c>
      <c r="U1221" s="1238">
        <f>T1221*$M$380</f>
        <v>1</v>
      </c>
      <c r="Y1221" s="1238"/>
      <c r="Z1221" s="1238"/>
      <c r="AA1221" s="1251"/>
      <c r="AC1221" s="1252"/>
    </row>
    <row r="1222" spans="1:29" ht="30.75" customHeight="1" x14ac:dyDescent="0.25">
      <c r="B1222" s="1220" t="s">
        <v>485</v>
      </c>
      <c r="C1222" s="1220">
        <v>1</v>
      </c>
      <c r="D1222" s="1244">
        <f>'Prec Materia Prima y Empaq'!$H$138</f>
        <v>650</v>
      </c>
      <c r="E1222" s="1240">
        <v>0</v>
      </c>
      <c r="F1222" s="1241">
        <f t="shared" si="434"/>
        <v>650</v>
      </c>
      <c r="G1222" s="1253">
        <f t="shared" ref="G1222:G1227" si="439">F1222*H1222</f>
        <v>273000</v>
      </c>
      <c r="H1222" s="1245">
        <f>$C$1208</f>
        <v>420</v>
      </c>
      <c r="I1222" s="1245" t="s">
        <v>453</v>
      </c>
      <c r="K1222" s="1242">
        <f t="shared" si="436"/>
        <v>1</v>
      </c>
      <c r="L1222" s="1243">
        <f t="shared" si="437"/>
        <v>650</v>
      </c>
    </row>
    <row r="1223" spans="1:29" ht="15" customHeight="1" x14ac:dyDescent="0.25">
      <c r="B1223" s="1220" t="s">
        <v>614</v>
      </c>
      <c r="C1223" s="1220">
        <v>1</v>
      </c>
      <c r="D1223" s="1244">
        <f>'Prec Materia Prima y Empaq'!$H$144</f>
        <v>70</v>
      </c>
      <c r="E1223" s="1240">
        <v>0</v>
      </c>
      <c r="F1223" s="1241">
        <f t="shared" si="434"/>
        <v>70</v>
      </c>
      <c r="G1223" s="1253">
        <f t="shared" si="439"/>
        <v>29400</v>
      </c>
      <c r="H1223" s="1245">
        <f t="shared" ref="H1223:H1227" si="440">$C$1208</f>
        <v>420</v>
      </c>
      <c r="I1223" s="1245" t="s">
        <v>453</v>
      </c>
      <c r="K1223" s="1242">
        <f t="shared" si="436"/>
        <v>1</v>
      </c>
      <c r="L1223" s="1243">
        <f t="shared" si="437"/>
        <v>70</v>
      </c>
    </row>
    <row r="1224" spans="1:29" ht="44.25" customHeight="1" x14ac:dyDescent="0.25">
      <c r="B1224" s="1220" t="s">
        <v>695</v>
      </c>
      <c r="C1224" s="1245">
        <v>1</v>
      </c>
      <c r="D1224" s="1272">
        <f>'Prec Materia Prima y Empaq'!$H$161</f>
        <v>300</v>
      </c>
      <c r="E1224" s="1240">
        <v>0</v>
      </c>
      <c r="F1224" s="1241">
        <f t="shared" si="434"/>
        <v>300</v>
      </c>
      <c r="G1224" s="1253">
        <f t="shared" si="439"/>
        <v>126000</v>
      </c>
      <c r="H1224" s="1245">
        <f t="shared" si="440"/>
        <v>420</v>
      </c>
      <c r="I1224" s="1245" t="s">
        <v>453</v>
      </c>
      <c r="K1224" s="1242">
        <f t="shared" si="436"/>
        <v>1</v>
      </c>
      <c r="L1224" s="1243">
        <f t="shared" si="437"/>
        <v>300</v>
      </c>
    </row>
    <row r="1225" spans="1:29" ht="19.5" customHeight="1" x14ac:dyDescent="0.25">
      <c r="B1225" s="1279" t="s">
        <v>675</v>
      </c>
      <c r="C1225" s="1245">
        <v>1</v>
      </c>
      <c r="D1225" s="1272">
        <f>'Prec Materia Prima y Empaq'!$H$162</f>
        <v>100</v>
      </c>
      <c r="E1225" s="1240"/>
      <c r="F1225" s="1241">
        <f t="shared" si="434"/>
        <v>100</v>
      </c>
      <c r="G1225" s="1253">
        <f t="shared" si="439"/>
        <v>42000</v>
      </c>
      <c r="H1225" s="1245">
        <f t="shared" si="440"/>
        <v>420</v>
      </c>
      <c r="I1225" s="1245" t="s">
        <v>453</v>
      </c>
      <c r="K1225" s="1242">
        <f t="shared" si="436"/>
        <v>1</v>
      </c>
      <c r="L1225" s="1243">
        <f t="shared" si="437"/>
        <v>100</v>
      </c>
    </row>
    <row r="1226" spans="1:29" ht="15" customHeight="1" x14ac:dyDescent="0.25">
      <c r="B1226" s="1220" t="s">
        <v>310</v>
      </c>
      <c r="C1226" s="1245">
        <v>1</v>
      </c>
      <c r="D1226" s="1272">
        <f>'Prec Materia Prima y Empaq'!$H$130</f>
        <v>100</v>
      </c>
      <c r="E1226" s="1240">
        <v>0</v>
      </c>
      <c r="F1226" s="1241">
        <f t="shared" ref="F1226:F1227" si="441">+E1226+D1226</f>
        <v>100</v>
      </c>
      <c r="G1226" s="1253">
        <f t="shared" si="439"/>
        <v>42000</v>
      </c>
      <c r="H1226" s="1245">
        <f t="shared" si="440"/>
        <v>420</v>
      </c>
      <c r="I1226" s="1245" t="s">
        <v>453</v>
      </c>
      <c r="K1226" s="1242">
        <f t="shared" si="436"/>
        <v>1</v>
      </c>
      <c r="L1226" s="1243">
        <f t="shared" si="437"/>
        <v>100</v>
      </c>
    </row>
    <row r="1227" spans="1:29" ht="15" customHeight="1" x14ac:dyDescent="0.25">
      <c r="B1227" s="1245" t="s">
        <v>309</v>
      </c>
      <c r="C1227" s="1245">
        <v>1</v>
      </c>
      <c r="D1227" s="1272">
        <f>'Prec Materia Prima y Empaq'!$H$129</f>
        <v>800</v>
      </c>
      <c r="E1227" s="1240">
        <v>0</v>
      </c>
      <c r="F1227" s="1241">
        <f t="shared" si="441"/>
        <v>800</v>
      </c>
      <c r="G1227" s="1253">
        <f t="shared" si="439"/>
        <v>336000</v>
      </c>
      <c r="H1227" s="1245">
        <f t="shared" si="440"/>
        <v>420</v>
      </c>
      <c r="I1227" s="1245" t="s">
        <v>453</v>
      </c>
      <c r="K1227" s="1242">
        <f t="shared" si="436"/>
        <v>1</v>
      </c>
      <c r="L1227" s="1243">
        <f t="shared" si="437"/>
        <v>800</v>
      </c>
    </row>
    <row r="1228" spans="1:29" ht="19.5" customHeight="1" thickBot="1" x14ac:dyDescent="0.3">
      <c r="B1228" s="1255"/>
      <c r="C1228" s="857"/>
      <c r="D1228" s="1256"/>
      <c r="E1228" s="1248"/>
      <c r="F1228" s="1257"/>
      <c r="G1228" s="1258">
        <f>SUM(G1214:G1227)/C1208</f>
        <v>2102.6344122634332</v>
      </c>
      <c r="H1228" s="1259" t="s">
        <v>454</v>
      </c>
      <c r="I1228" s="857"/>
      <c r="L1228" s="1260">
        <f>SUM(L1214:L1227)</f>
        <v>2102.6344122634332</v>
      </c>
    </row>
    <row r="1229" spans="1:29" ht="15" customHeight="1" thickTop="1" x14ac:dyDescent="0.25">
      <c r="B1229" s="1261" t="s">
        <v>409</v>
      </c>
      <c r="C1229" s="1262"/>
      <c r="D1229" s="1263">
        <f>+'Gtos Varios'!I14</f>
        <v>3672.93</v>
      </c>
      <c r="E1229" s="1262"/>
      <c r="F1229" s="1264">
        <f t="shared" ref="F1229" si="442">+E1229+D1229</f>
        <v>3672.93</v>
      </c>
      <c r="G1229" s="1265">
        <f>F1229</f>
        <v>3672.93</v>
      </c>
      <c r="H1229" s="1262" t="str">
        <f>B1229</f>
        <v xml:space="preserve">GASTOS VARIOS </v>
      </c>
      <c r="I1229" s="857"/>
    </row>
    <row r="1230" spans="1:29" ht="15" customHeight="1" x14ac:dyDescent="0.25">
      <c r="B1230" s="1255"/>
      <c r="C1230" s="857"/>
      <c r="D1230" s="1256"/>
      <c r="E1230" s="1248"/>
      <c r="F1230" s="1257"/>
      <c r="G1230" s="1266"/>
      <c r="H1230" s="857"/>
      <c r="I1230" s="857"/>
    </row>
    <row r="1231" spans="1:29" ht="15" customHeight="1" x14ac:dyDescent="0.25">
      <c r="B1231" s="1255"/>
      <c r="C1231" s="857"/>
      <c r="D1231" s="1256"/>
      <c r="E1231" s="1248"/>
      <c r="F1231" s="1257"/>
      <c r="G1231" s="1266"/>
      <c r="H1231" s="857"/>
      <c r="I1231" s="857"/>
    </row>
    <row r="1232" spans="1:29" ht="15" customHeight="1" thickBot="1" x14ac:dyDescent="0.3">
      <c r="F1232" s="1267">
        <f>SUM(F1214:F1227)</f>
        <v>249699.22999999998</v>
      </c>
      <c r="G1232" s="1268">
        <f>SUM(G1228:G1229)</f>
        <v>5775.564412263433</v>
      </c>
      <c r="H1232" s="733" t="s">
        <v>412</v>
      </c>
    </row>
    <row r="1233" spans="1:12" ht="15" customHeight="1" thickTop="1" x14ac:dyDescent="0.25">
      <c r="G1233" s="1295">
        <f>G1232*58%</f>
        <v>3349.8273591127909</v>
      </c>
      <c r="H1233" s="1274">
        <v>0.57999999999999996</v>
      </c>
      <c r="I1233" s="733" t="s">
        <v>539</v>
      </c>
    </row>
    <row r="1234" spans="1:12" ht="15" customHeight="1" thickBot="1" x14ac:dyDescent="0.3">
      <c r="G1234" s="1270">
        <f>G1232+G1233</f>
        <v>9125.3917713762239</v>
      </c>
      <c r="H1234" s="733" t="s">
        <v>414</v>
      </c>
    </row>
    <row r="1235" spans="1:12" ht="15" customHeight="1" thickTop="1" x14ac:dyDescent="0.25"/>
    <row r="1240" spans="1:12" ht="15" customHeight="1" x14ac:dyDescent="0.25">
      <c r="B1240" s="1222" t="s">
        <v>61</v>
      </c>
      <c r="C1240" s="1219" t="s">
        <v>160</v>
      </c>
      <c r="D1240" s="733"/>
      <c r="F1240" s="853"/>
    </row>
    <row r="1241" spans="1:12" ht="15" customHeight="1" x14ac:dyDescent="0.25">
      <c r="A1241" s="1223" t="s">
        <v>718</v>
      </c>
      <c r="B1241" s="1222" t="s">
        <v>62</v>
      </c>
      <c r="C1241" s="1219" t="str">
        <f>VLOOKUP(C1240,LISTPROD[],2,FALSE)</f>
        <v>NERVIO Y SUSTO</v>
      </c>
      <c r="D1241" s="1219" t="s">
        <v>486</v>
      </c>
      <c r="E1241" s="861" t="s">
        <v>487</v>
      </c>
      <c r="F1241" s="853"/>
    </row>
    <row r="1242" spans="1:12" ht="15" customHeight="1" x14ac:dyDescent="0.25">
      <c r="B1242" s="1222" t="s">
        <v>234</v>
      </c>
      <c r="C1242" s="1219" t="str">
        <f>VLOOKUP(C1240,LISTPROD[],9,FALSE)</f>
        <v>500 ML</v>
      </c>
      <c r="D1242" s="733"/>
      <c r="E1242" s="853"/>
      <c r="F1242" s="853"/>
    </row>
    <row r="1243" spans="1:12" ht="15" customHeight="1" x14ac:dyDescent="0.25">
      <c r="B1243" s="1222" t="s">
        <v>239</v>
      </c>
      <c r="C1243" s="1296">
        <v>420</v>
      </c>
      <c r="D1243" s="1218"/>
      <c r="E1243" s="853"/>
      <c r="F1243" s="853"/>
    </row>
    <row r="1244" spans="1:12" ht="15" customHeight="1" x14ac:dyDescent="0.25">
      <c r="B1244" s="1222" t="s">
        <v>240</v>
      </c>
      <c r="C1244" s="1219"/>
      <c r="D1244" s="733"/>
    </row>
    <row r="1245" spans="1:12" ht="15" customHeight="1" x14ac:dyDescent="0.25">
      <c r="B1245" s="1222" t="s">
        <v>238</v>
      </c>
      <c r="C1245" s="733" t="s">
        <v>56</v>
      </c>
      <c r="D1245" s="1218" t="s">
        <v>449</v>
      </c>
    </row>
    <row r="1246" spans="1:12" ht="15" customHeight="1" x14ac:dyDescent="0.25">
      <c r="B1246" s="1225" t="s">
        <v>410</v>
      </c>
      <c r="C1246" s="753">
        <v>500</v>
      </c>
      <c r="D1246" s="1226"/>
    </row>
    <row r="1247" spans="1:12" ht="15" customHeight="1" x14ac:dyDescent="0.25">
      <c r="B1247" s="1436" t="s">
        <v>404</v>
      </c>
      <c r="C1247" s="1436"/>
      <c r="D1247" s="1436"/>
      <c r="E1247" s="1436"/>
      <c r="F1247" s="1436"/>
      <c r="G1247" s="1228"/>
      <c r="H1247" s="1437" t="s">
        <v>416</v>
      </c>
      <c r="I1247" s="1438"/>
    </row>
    <row r="1248" spans="1:12" ht="15" customHeight="1" x14ac:dyDescent="0.25">
      <c r="B1248" s="1230" t="s">
        <v>398</v>
      </c>
      <c r="C1248" s="1231" t="s">
        <v>441</v>
      </c>
      <c r="D1248" s="1232" t="s">
        <v>399</v>
      </c>
      <c r="E1248" s="1233" t="s">
        <v>402</v>
      </c>
      <c r="F1248" s="1232" t="s">
        <v>399</v>
      </c>
      <c r="G1248" s="1232" t="s">
        <v>411</v>
      </c>
      <c r="H1248" s="1234" t="s">
        <v>408</v>
      </c>
      <c r="I1248" s="1235" t="s">
        <v>415</v>
      </c>
      <c r="K1248" s="1236" t="s">
        <v>603</v>
      </c>
      <c r="L1248" s="1237" t="s">
        <v>604</v>
      </c>
    </row>
    <row r="1249" spans="2:29" ht="15" customHeight="1" x14ac:dyDescent="0.25">
      <c r="B1249" s="1228" t="s">
        <v>248</v>
      </c>
      <c r="C1249" s="1228">
        <v>1000</v>
      </c>
      <c r="D1249" s="1239">
        <f>'Prec Materia Prima y Empaq'!$H$21</f>
        <v>15400</v>
      </c>
      <c r="E1249" s="1240">
        <f>D1249*19%</f>
        <v>2926</v>
      </c>
      <c r="F1249" s="1241">
        <f>+E1249+D1249</f>
        <v>18326</v>
      </c>
      <c r="G1249" s="1240">
        <f>F1249/C1249*H1249</f>
        <v>16493.400000000001</v>
      </c>
      <c r="H1249" s="1242">
        <v>900</v>
      </c>
      <c r="I1249" s="1228" t="s">
        <v>450</v>
      </c>
      <c r="K1249" s="1242">
        <f>H1249/$C$1243</f>
        <v>2.1428571428571428</v>
      </c>
      <c r="L1249" s="1243">
        <f>F1249/C1249*K1249</f>
        <v>39.270000000000003</v>
      </c>
    </row>
    <row r="1250" spans="2:29" ht="15" customHeight="1" x14ac:dyDescent="0.25">
      <c r="B1250" s="1228" t="s">
        <v>443</v>
      </c>
      <c r="C1250" s="1228">
        <v>1000</v>
      </c>
      <c r="D1250" s="1239">
        <f>'Prec Materia Prima y Empaq'!$H$11</f>
        <v>8000</v>
      </c>
      <c r="E1250" s="1240">
        <f t="shared" ref="E1250:E1256" si="443">D1250*19%</f>
        <v>1520</v>
      </c>
      <c r="F1250" s="1241">
        <f t="shared" ref="F1250:F1257" si="444">+E1250+D1250</f>
        <v>9520</v>
      </c>
      <c r="G1250" s="1240">
        <f t="shared" ref="G1250:G1256" si="445">F1250/C1250*H1250</f>
        <v>5712</v>
      </c>
      <c r="H1250" s="1242">
        <v>600</v>
      </c>
      <c r="I1250" s="1228" t="s">
        <v>450</v>
      </c>
      <c r="K1250" s="1242">
        <f t="shared" ref="K1250:K1263" si="446">H1250/$C$1243</f>
        <v>1.4285714285714286</v>
      </c>
      <c r="L1250" s="1243">
        <f t="shared" ref="L1250:L1263" si="447">F1250/C1250*K1250</f>
        <v>13.6</v>
      </c>
    </row>
    <row r="1251" spans="2:29" ht="15" customHeight="1" x14ac:dyDescent="0.25">
      <c r="B1251" s="1228" t="s">
        <v>253</v>
      </c>
      <c r="C1251" s="1228">
        <v>1000</v>
      </c>
      <c r="D1251" s="1239">
        <f>'Prec Materia Prima y Empaq'!$H$9</f>
        <v>5400</v>
      </c>
      <c r="E1251" s="1240">
        <f t="shared" si="443"/>
        <v>1026</v>
      </c>
      <c r="F1251" s="1241">
        <f t="shared" si="444"/>
        <v>6426</v>
      </c>
      <c r="G1251" s="1240">
        <f t="shared" si="445"/>
        <v>6426</v>
      </c>
      <c r="H1251" s="1242">
        <v>1000</v>
      </c>
      <c r="I1251" s="1228" t="s">
        <v>450</v>
      </c>
      <c r="K1251" s="1242">
        <f t="shared" si="446"/>
        <v>2.3809523809523809</v>
      </c>
      <c r="L1251" s="1243">
        <f t="shared" si="447"/>
        <v>15.3</v>
      </c>
    </row>
    <row r="1252" spans="2:29" ht="15" customHeight="1" x14ac:dyDescent="0.25">
      <c r="B1252" s="1228" t="s">
        <v>255</v>
      </c>
      <c r="C1252" s="1228">
        <v>1000</v>
      </c>
      <c r="D1252" s="1239">
        <f>'Prec Materia Prima y Empaq'!$H$26</f>
        <v>45404</v>
      </c>
      <c r="E1252" s="1240">
        <f t="shared" si="443"/>
        <v>8626.76</v>
      </c>
      <c r="F1252" s="1241">
        <f t="shared" si="444"/>
        <v>54030.76</v>
      </c>
      <c r="G1252" s="1240">
        <f t="shared" si="445"/>
        <v>8104.6140000000005</v>
      </c>
      <c r="H1252" s="1242">
        <v>150</v>
      </c>
      <c r="I1252" s="1228" t="s">
        <v>450</v>
      </c>
      <c r="K1252" s="1242">
        <f t="shared" si="446"/>
        <v>0.35714285714285715</v>
      </c>
      <c r="L1252" s="1243">
        <f t="shared" si="447"/>
        <v>19.296700000000001</v>
      </c>
    </row>
    <row r="1253" spans="2:29" ht="15" customHeight="1" x14ac:dyDescent="0.25">
      <c r="B1253" s="1228" t="s">
        <v>382</v>
      </c>
      <c r="C1253" s="1228">
        <v>3785</v>
      </c>
      <c r="D1253" s="1239">
        <f>'Prec Materia Prima y Empaq'!$H$18</f>
        <v>24</v>
      </c>
      <c r="E1253" s="1240">
        <f t="shared" si="443"/>
        <v>4.5600000000000005</v>
      </c>
      <c r="F1253" s="1241">
        <f t="shared" si="444"/>
        <v>28.560000000000002</v>
      </c>
      <c r="G1253" s="1240">
        <f t="shared" si="445"/>
        <v>0.37727873183619554</v>
      </c>
      <c r="H1253" s="1242">
        <v>50</v>
      </c>
      <c r="I1253" s="1228" t="s">
        <v>450</v>
      </c>
      <c r="K1253" s="1242">
        <f t="shared" si="446"/>
        <v>0.11904761904761904</v>
      </c>
      <c r="L1253" s="1243">
        <f t="shared" si="447"/>
        <v>8.9828269484808459E-4</v>
      </c>
    </row>
    <row r="1254" spans="2:29" ht="15" customHeight="1" x14ac:dyDescent="0.25">
      <c r="B1254" s="1228" t="s">
        <v>262</v>
      </c>
      <c r="C1254" s="1228">
        <v>1000</v>
      </c>
      <c r="D1254" s="1273">
        <f>'Prec Materia Prima y Empaq'!$H$55</f>
        <v>50522</v>
      </c>
      <c r="E1254" s="1240">
        <f t="shared" si="443"/>
        <v>9599.18</v>
      </c>
      <c r="F1254" s="1241">
        <f t="shared" si="444"/>
        <v>60121.18</v>
      </c>
      <c r="G1254" s="1240">
        <f t="shared" si="445"/>
        <v>6012.1180000000004</v>
      </c>
      <c r="H1254" s="1242">
        <v>100</v>
      </c>
      <c r="I1254" s="1228" t="s">
        <v>450</v>
      </c>
      <c r="K1254" s="1242">
        <f t="shared" si="446"/>
        <v>0.23809523809523808</v>
      </c>
      <c r="L1254" s="1243">
        <f t="shared" si="447"/>
        <v>14.314566666666666</v>
      </c>
    </row>
    <row r="1255" spans="2:29" ht="15" customHeight="1" x14ac:dyDescent="0.25">
      <c r="B1255" s="1228" t="s">
        <v>246</v>
      </c>
      <c r="C1255" s="1228">
        <v>1000</v>
      </c>
      <c r="D1255" s="1239">
        <f>'Prec Materia Prima y Empaq'!$H$41</f>
        <v>80268</v>
      </c>
      <c r="E1255" s="1240">
        <f t="shared" si="443"/>
        <v>15250.92</v>
      </c>
      <c r="F1255" s="1241">
        <f t="shared" si="444"/>
        <v>95518.92</v>
      </c>
      <c r="G1255" s="1240">
        <f t="shared" si="445"/>
        <v>1910.3783999999998</v>
      </c>
      <c r="H1255" s="1242">
        <v>20</v>
      </c>
      <c r="I1255" s="1228" t="s">
        <v>450</v>
      </c>
      <c r="K1255" s="1242">
        <f t="shared" si="446"/>
        <v>4.7619047619047616E-2</v>
      </c>
      <c r="L1255" s="1243">
        <f t="shared" si="447"/>
        <v>4.5485199999999999</v>
      </c>
    </row>
    <row r="1256" spans="2:29" ht="15" customHeight="1" x14ac:dyDescent="0.25">
      <c r="B1256" s="1228" t="s">
        <v>261</v>
      </c>
      <c r="C1256" s="1228">
        <v>1000</v>
      </c>
      <c r="D1256" s="1239">
        <f>'Prec Materia Prima y Empaq'!$H$12</f>
        <v>4700</v>
      </c>
      <c r="E1256" s="1240">
        <f t="shared" si="443"/>
        <v>893</v>
      </c>
      <c r="F1256" s="1241">
        <f t="shared" si="444"/>
        <v>5593</v>
      </c>
      <c r="G1256" s="1240">
        <f t="shared" si="445"/>
        <v>1118.5999999999999</v>
      </c>
      <c r="H1256" s="1228">
        <v>200</v>
      </c>
      <c r="I1256" s="1228" t="s">
        <v>450</v>
      </c>
      <c r="K1256" s="1242">
        <f t="shared" si="446"/>
        <v>0.47619047619047616</v>
      </c>
      <c r="L1256" s="1243">
        <f t="shared" si="447"/>
        <v>2.6633333333333331</v>
      </c>
    </row>
    <row r="1257" spans="2:29" ht="31.5" customHeight="1" x14ac:dyDescent="0.25">
      <c r="B1257" s="1220" t="s">
        <v>247</v>
      </c>
      <c r="C1257" s="1228">
        <v>1000</v>
      </c>
      <c r="D1257" s="1244">
        <f>'Prec Materia Prima y Empaq'!$H$7</f>
        <v>50000</v>
      </c>
      <c r="E1257" s="1240">
        <v>0</v>
      </c>
      <c r="F1257" s="1241">
        <f t="shared" si="444"/>
        <v>50000</v>
      </c>
      <c r="G1257" s="1240">
        <f>F1257/C1257*H1257</f>
        <v>32.022471910112351</v>
      </c>
      <c r="H1257" s="1245">
        <v>0.64044943820224698</v>
      </c>
      <c r="I1257" s="1245" t="s">
        <v>453</v>
      </c>
      <c r="K1257" s="1242">
        <f t="shared" ref="K1257" si="448">H1257/$C$1068</f>
        <v>1.5248796147672547E-3</v>
      </c>
      <c r="L1257" s="1243">
        <f t="shared" si="447"/>
        <v>7.6243980738362735E-2</v>
      </c>
      <c r="N1257" s="1220" t="s">
        <v>247</v>
      </c>
      <c r="O1257" s="1247">
        <v>1</v>
      </c>
      <c r="P1257" s="1240">
        <f>$F$391/$C$391*$O$391</f>
        <v>50</v>
      </c>
      <c r="Q1257" s="1248"/>
      <c r="R1257" s="1249" t="e">
        <f>P1257/O1246</f>
        <v>#DIV/0!</v>
      </c>
      <c r="S1257" s="1248" t="e">
        <f>R1257*1000</f>
        <v>#DIV/0!</v>
      </c>
      <c r="T1257" s="1250">
        <f>O1257/$O$380*1000</f>
        <v>2.5641025641025641E-3</v>
      </c>
      <c r="U1257" s="1238">
        <f>T1257*$M$380</f>
        <v>1</v>
      </c>
      <c r="Y1257" s="1238"/>
      <c r="Z1257" s="1238"/>
      <c r="AA1257" s="1251"/>
      <c r="AC1257" s="1252"/>
    </row>
    <row r="1258" spans="2:29" ht="15" customHeight="1" x14ac:dyDescent="0.25">
      <c r="B1258" s="1220" t="s">
        <v>485</v>
      </c>
      <c r="C1258" s="1220">
        <v>1</v>
      </c>
      <c r="D1258" s="1244">
        <f>'Prec Materia Prima y Empaq'!$H$138</f>
        <v>650</v>
      </c>
      <c r="E1258" s="1240">
        <v>0</v>
      </c>
      <c r="F1258" s="1241">
        <f t="shared" ref="F1258" si="449">+E1258+D1258</f>
        <v>650</v>
      </c>
      <c r="G1258" s="1253">
        <f t="shared" ref="G1258:G1263" si="450">F1258*H1258</f>
        <v>273000</v>
      </c>
      <c r="H1258" s="1242">
        <f>$C$1243</f>
        <v>420</v>
      </c>
      <c r="I1258" s="1245" t="s">
        <v>453</v>
      </c>
      <c r="K1258" s="1242">
        <f t="shared" si="446"/>
        <v>1</v>
      </c>
      <c r="L1258" s="1243">
        <f t="shared" ref="L1258" si="451">F1258/C1258*K1258</f>
        <v>650</v>
      </c>
    </row>
    <row r="1259" spans="2:29" ht="15" customHeight="1" x14ac:dyDescent="0.25">
      <c r="B1259" s="1220" t="s">
        <v>614</v>
      </c>
      <c r="C1259" s="1220">
        <v>1</v>
      </c>
      <c r="D1259" s="1244">
        <f>'Prec Materia Prima y Empaq'!$H$144</f>
        <v>70</v>
      </c>
      <c r="E1259" s="1240">
        <v>0</v>
      </c>
      <c r="F1259" s="1241">
        <f t="shared" ref="F1259:F1263" si="452">+E1259+D1259</f>
        <v>70</v>
      </c>
      <c r="G1259" s="1253">
        <f t="shared" si="450"/>
        <v>29400</v>
      </c>
      <c r="H1259" s="1242">
        <f t="shared" ref="H1259:H1263" si="453">$C$1243</f>
        <v>420</v>
      </c>
      <c r="I1259" s="1245" t="s">
        <v>453</v>
      </c>
      <c r="K1259" s="1242">
        <f t="shared" si="446"/>
        <v>1</v>
      </c>
      <c r="L1259" s="1243">
        <f t="shared" si="447"/>
        <v>70</v>
      </c>
    </row>
    <row r="1260" spans="2:29" ht="48.75" customHeight="1" x14ac:dyDescent="0.25">
      <c r="B1260" s="1220" t="s">
        <v>695</v>
      </c>
      <c r="C1260" s="1245">
        <v>1</v>
      </c>
      <c r="D1260" s="1272">
        <f>'Prec Materia Prima y Empaq'!$H$161</f>
        <v>300</v>
      </c>
      <c r="E1260" s="1240">
        <v>0</v>
      </c>
      <c r="F1260" s="1241">
        <f t="shared" si="452"/>
        <v>300</v>
      </c>
      <c r="G1260" s="1253">
        <f t="shared" si="450"/>
        <v>126000</v>
      </c>
      <c r="H1260" s="1242">
        <f t="shared" si="453"/>
        <v>420</v>
      </c>
      <c r="I1260" s="1245" t="s">
        <v>453</v>
      </c>
      <c r="K1260" s="1242">
        <f t="shared" si="446"/>
        <v>1</v>
      </c>
      <c r="L1260" s="1243">
        <f t="shared" si="447"/>
        <v>300</v>
      </c>
    </row>
    <row r="1261" spans="2:29" ht="15" customHeight="1" x14ac:dyDescent="0.25">
      <c r="B1261" s="1279" t="s">
        <v>675</v>
      </c>
      <c r="C1261" s="1245">
        <v>1</v>
      </c>
      <c r="D1261" s="1272">
        <f>'Prec Materia Prima y Empaq'!$H$162</f>
        <v>100</v>
      </c>
      <c r="E1261" s="1240">
        <v>0</v>
      </c>
      <c r="F1261" s="1241">
        <f t="shared" si="452"/>
        <v>100</v>
      </c>
      <c r="G1261" s="1253">
        <f t="shared" si="450"/>
        <v>42000</v>
      </c>
      <c r="H1261" s="1242">
        <f t="shared" si="453"/>
        <v>420</v>
      </c>
      <c r="I1261" s="1245" t="s">
        <v>453</v>
      </c>
      <c r="K1261" s="1242">
        <f t="shared" si="446"/>
        <v>1</v>
      </c>
      <c r="L1261" s="1243">
        <f t="shared" si="447"/>
        <v>100</v>
      </c>
    </row>
    <row r="1262" spans="2:29" ht="15" customHeight="1" x14ac:dyDescent="0.25">
      <c r="B1262" s="1220" t="s">
        <v>310</v>
      </c>
      <c r="C1262" s="1245">
        <v>1</v>
      </c>
      <c r="D1262" s="1272">
        <f>'Prec Materia Prima y Empaq'!$H$130</f>
        <v>100</v>
      </c>
      <c r="E1262" s="1240">
        <v>0</v>
      </c>
      <c r="F1262" s="1241">
        <f t="shared" si="452"/>
        <v>100</v>
      </c>
      <c r="G1262" s="1253">
        <f t="shared" si="450"/>
        <v>42000</v>
      </c>
      <c r="H1262" s="1242">
        <f t="shared" si="453"/>
        <v>420</v>
      </c>
      <c r="I1262" s="1245" t="s">
        <v>453</v>
      </c>
      <c r="K1262" s="1242">
        <f t="shared" si="446"/>
        <v>1</v>
      </c>
      <c r="L1262" s="1243">
        <f t="shared" si="447"/>
        <v>100</v>
      </c>
    </row>
    <row r="1263" spans="2:29" ht="15" customHeight="1" x14ac:dyDescent="0.25">
      <c r="B1263" s="1245" t="s">
        <v>309</v>
      </c>
      <c r="C1263" s="1245">
        <v>1</v>
      </c>
      <c r="D1263" s="1272">
        <f>'Prec Materia Prima y Empaq'!$H$129</f>
        <v>800</v>
      </c>
      <c r="E1263" s="1240">
        <v>0</v>
      </c>
      <c r="F1263" s="1241">
        <f t="shared" si="452"/>
        <v>800</v>
      </c>
      <c r="G1263" s="1253">
        <f t="shared" si="450"/>
        <v>336000</v>
      </c>
      <c r="H1263" s="1242">
        <f t="shared" si="453"/>
        <v>420</v>
      </c>
      <c r="I1263" s="1245" t="s">
        <v>453</v>
      </c>
      <c r="K1263" s="1242">
        <f t="shared" si="446"/>
        <v>1</v>
      </c>
      <c r="L1263" s="1243">
        <f t="shared" si="447"/>
        <v>800</v>
      </c>
    </row>
    <row r="1264" spans="2:29" ht="15" customHeight="1" thickBot="1" x14ac:dyDescent="0.3">
      <c r="B1264" s="1255"/>
      <c r="C1264" s="857"/>
      <c r="D1264" s="1256"/>
      <c r="E1264" s="1248"/>
      <c r="F1264" s="1257"/>
      <c r="G1264" s="1258">
        <f>SUM(G1249:G1263)/C1243</f>
        <v>2129.0702622634331</v>
      </c>
      <c r="H1264" s="1259" t="s">
        <v>454</v>
      </c>
      <c r="I1264" s="857"/>
      <c r="L1264" s="1260">
        <f>SUM(L1249:L1263)</f>
        <v>2129.0702622634331</v>
      </c>
    </row>
    <row r="1265" spans="1:9" ht="15" customHeight="1" thickTop="1" x14ac:dyDescent="0.25">
      <c r="B1265" s="1261" t="s">
        <v>409</v>
      </c>
      <c r="C1265" s="1262"/>
      <c r="D1265" s="1263">
        <f>+'Gtos Varios'!I14</f>
        <v>3672.93</v>
      </c>
      <c r="E1265" s="1262"/>
      <c r="F1265" s="1264">
        <f t="shared" ref="F1265" si="454">+E1265+D1265</f>
        <v>3672.93</v>
      </c>
      <c r="G1265" s="1265">
        <f>F1265</f>
        <v>3672.93</v>
      </c>
      <c r="H1265" s="1262" t="str">
        <f>B1265</f>
        <v xml:space="preserve">GASTOS VARIOS </v>
      </c>
      <c r="I1265" s="1262"/>
    </row>
    <row r="1266" spans="1:9" ht="15" customHeight="1" x14ac:dyDescent="0.25">
      <c r="B1266" s="1255"/>
      <c r="C1266" s="857"/>
      <c r="D1266" s="1256"/>
      <c r="E1266" s="1248"/>
      <c r="F1266" s="1257"/>
      <c r="G1266" s="1266"/>
      <c r="H1266" s="857"/>
      <c r="I1266" s="857"/>
    </row>
    <row r="1267" spans="1:9" ht="15" customHeight="1" x14ac:dyDescent="0.25">
      <c r="B1267" s="1255"/>
      <c r="C1267" s="857"/>
      <c r="D1267" s="1256"/>
      <c r="E1267" s="1248"/>
      <c r="F1267" s="1257"/>
      <c r="G1267" s="1266"/>
      <c r="H1267" s="857"/>
      <c r="I1267" s="857"/>
    </row>
    <row r="1268" spans="1:9" ht="15" customHeight="1" thickBot="1" x14ac:dyDescent="0.3">
      <c r="F1268" s="1267">
        <f>SUM(F1249:F1263)</f>
        <v>301584.42</v>
      </c>
      <c r="G1268" s="1268">
        <f>SUM(G1264:G1265)</f>
        <v>5802.0002622634329</v>
      </c>
      <c r="H1268" s="733" t="s">
        <v>412</v>
      </c>
    </row>
    <row r="1269" spans="1:9" ht="15" customHeight="1" thickTop="1" x14ac:dyDescent="0.25">
      <c r="G1269" s="1257">
        <f>G1268*58%</f>
        <v>3365.1601521127909</v>
      </c>
      <c r="H1269" s="1274">
        <v>0.57999999999999996</v>
      </c>
      <c r="I1269" s="733" t="s">
        <v>539</v>
      </c>
    </row>
    <row r="1270" spans="1:9" ht="15" customHeight="1" thickBot="1" x14ac:dyDescent="0.3">
      <c r="G1270" s="1270">
        <f>G1268+G1269</f>
        <v>9167.1604143762233</v>
      </c>
      <c r="H1270" s="733" t="s">
        <v>414</v>
      </c>
    </row>
    <row r="1271" spans="1:9" ht="15" customHeight="1" thickTop="1" x14ac:dyDescent="0.25"/>
    <row r="1273" spans="1:9" ht="15" customHeight="1" x14ac:dyDescent="0.25">
      <c r="B1273" s="1222" t="s">
        <v>61</v>
      </c>
      <c r="C1273" s="1219" t="s">
        <v>162</v>
      </c>
      <c r="D1273" s="733"/>
    </row>
    <row r="1274" spans="1:9" ht="15" customHeight="1" x14ac:dyDescent="0.25">
      <c r="A1274" s="1223" t="s">
        <v>718</v>
      </c>
      <c r="B1274" s="1222" t="s">
        <v>62</v>
      </c>
      <c r="C1274" s="1219" t="str">
        <f>VLOOKUP(C1273,LISTPROD[],2,FALSE)</f>
        <v>NEURO PLUS LT</v>
      </c>
      <c r="D1274" s="733" t="s">
        <v>486</v>
      </c>
      <c r="E1274" s="733" t="s">
        <v>491</v>
      </c>
    </row>
    <row r="1275" spans="1:9" ht="15" customHeight="1" x14ac:dyDescent="0.25">
      <c r="B1275" s="1222" t="s">
        <v>234</v>
      </c>
      <c r="C1275" s="1219" t="str">
        <f>VLOOKUP(C1273,LISTPROD[],9,FALSE)</f>
        <v>1000 ML</v>
      </c>
      <c r="D1275" s="733"/>
    </row>
    <row r="1276" spans="1:9" ht="15" customHeight="1" x14ac:dyDescent="0.25">
      <c r="B1276" s="1222" t="s">
        <v>239</v>
      </c>
      <c r="C1276" s="1224">
        <v>220</v>
      </c>
      <c r="D1276" s="1218"/>
    </row>
    <row r="1277" spans="1:9" ht="15" customHeight="1" x14ac:dyDescent="0.25">
      <c r="B1277" s="1222" t="s">
        <v>240</v>
      </c>
      <c r="C1277" s="1219"/>
      <c r="D1277" s="733"/>
    </row>
    <row r="1278" spans="1:9" ht="15" customHeight="1" x14ac:dyDescent="0.25">
      <c r="B1278" s="1222" t="s">
        <v>238</v>
      </c>
      <c r="C1278" s="733" t="s">
        <v>56</v>
      </c>
      <c r="D1278" s="1218" t="s">
        <v>449</v>
      </c>
    </row>
    <row r="1279" spans="1:9" ht="15" customHeight="1" x14ac:dyDescent="0.25">
      <c r="B1279" s="1225" t="s">
        <v>410</v>
      </c>
      <c r="C1279" s="753">
        <v>1000</v>
      </c>
      <c r="D1279" s="1226"/>
    </row>
    <row r="1280" spans="1:9" ht="15" customHeight="1" x14ac:dyDescent="0.25">
      <c r="A1280" s="1227"/>
      <c r="B1280" s="1436" t="s">
        <v>404</v>
      </c>
      <c r="C1280" s="1436"/>
      <c r="D1280" s="1436"/>
      <c r="E1280" s="1436"/>
      <c r="F1280" s="1436"/>
      <c r="G1280" s="1228"/>
      <c r="H1280" s="1437" t="s">
        <v>416</v>
      </c>
      <c r="I1280" s="1438"/>
    </row>
    <row r="1281" spans="1:29" ht="54.75" customHeight="1" x14ac:dyDescent="0.25">
      <c r="A1281" s="1229"/>
      <c r="B1281" s="1230" t="s">
        <v>398</v>
      </c>
      <c r="C1281" s="1231" t="s">
        <v>441</v>
      </c>
      <c r="D1281" s="1232" t="s">
        <v>399</v>
      </c>
      <c r="E1281" s="1233" t="s">
        <v>402</v>
      </c>
      <c r="F1281" s="1232" t="s">
        <v>399</v>
      </c>
      <c r="G1281" s="1232" t="s">
        <v>411</v>
      </c>
      <c r="H1281" s="1234" t="s">
        <v>408</v>
      </c>
      <c r="I1281" s="1235" t="s">
        <v>415</v>
      </c>
      <c r="K1281" s="1236" t="s">
        <v>603</v>
      </c>
      <c r="L1281" s="1237" t="s">
        <v>604</v>
      </c>
    </row>
    <row r="1282" spans="1:29" ht="15" customHeight="1" x14ac:dyDescent="0.25">
      <c r="A1282" s="1238"/>
      <c r="B1282" s="1228" t="s">
        <v>248</v>
      </c>
      <c r="C1282" s="1228">
        <v>1000</v>
      </c>
      <c r="D1282" s="1239">
        <f>'Prec Materia Prima y Empaq'!$H$21</f>
        <v>15400</v>
      </c>
      <c r="E1282" s="1240">
        <f>D1282*19%</f>
        <v>2926</v>
      </c>
      <c r="F1282" s="1241">
        <f>+E1282+D1282</f>
        <v>18326</v>
      </c>
      <c r="G1282" s="1240">
        <f>F1282/C1282*H1282</f>
        <v>14660.800000000001</v>
      </c>
      <c r="H1282" s="1242">
        <v>800</v>
      </c>
      <c r="I1282" s="1228" t="s">
        <v>450</v>
      </c>
      <c r="K1282" s="1242">
        <f>H1282/$C$1276</f>
        <v>3.6363636363636362</v>
      </c>
      <c r="L1282" s="1243">
        <f>F1282/C1282*K1282</f>
        <v>66.64</v>
      </c>
    </row>
    <row r="1283" spans="1:29" ht="15" customHeight="1" x14ac:dyDescent="0.25">
      <c r="A1283" s="1238"/>
      <c r="B1283" s="1228" t="s">
        <v>443</v>
      </c>
      <c r="C1283" s="1228">
        <v>1000</v>
      </c>
      <c r="D1283" s="1239">
        <f>'Prec Materia Prima y Empaq'!$H$11</f>
        <v>8000</v>
      </c>
      <c r="E1283" s="1240">
        <f t="shared" ref="E1283:E1289" si="455">D1283*19%</f>
        <v>1520</v>
      </c>
      <c r="F1283" s="1241">
        <f t="shared" ref="F1283:F1295" si="456">+E1283+D1283</f>
        <v>9520</v>
      </c>
      <c r="G1283" s="1240">
        <f t="shared" ref="G1283:G1287" si="457">F1283/C1283*H1283</f>
        <v>5712</v>
      </c>
      <c r="H1283" s="1242">
        <v>600</v>
      </c>
      <c r="I1283" s="1228" t="s">
        <v>450</v>
      </c>
      <c r="K1283" s="1242">
        <f t="shared" ref="K1283:K1295" si="458">H1283/$C$1276</f>
        <v>2.7272727272727271</v>
      </c>
      <c r="L1283" s="1243">
        <f t="shared" ref="L1283:L1295" si="459">F1283/C1283*K1283</f>
        <v>25.963636363636361</v>
      </c>
    </row>
    <row r="1284" spans="1:29" ht="15" customHeight="1" x14ac:dyDescent="0.25">
      <c r="A1284" s="1238"/>
      <c r="B1284" s="1228" t="s">
        <v>253</v>
      </c>
      <c r="C1284" s="1228">
        <v>1000</v>
      </c>
      <c r="D1284" s="1239">
        <f>'Prec Materia Prima y Empaq'!$H$9</f>
        <v>5400</v>
      </c>
      <c r="E1284" s="1240">
        <f t="shared" si="455"/>
        <v>1026</v>
      </c>
      <c r="F1284" s="1241">
        <f t="shared" si="456"/>
        <v>6426</v>
      </c>
      <c r="G1284" s="1240">
        <f t="shared" si="457"/>
        <v>1927.8</v>
      </c>
      <c r="H1284" s="1242">
        <v>300</v>
      </c>
      <c r="I1284" s="1228" t="s">
        <v>450</v>
      </c>
      <c r="K1284" s="1242">
        <f t="shared" si="458"/>
        <v>1.3636363636363635</v>
      </c>
      <c r="L1284" s="1243">
        <f t="shared" si="459"/>
        <v>8.7627272727272718</v>
      </c>
    </row>
    <row r="1285" spans="1:29" ht="15" customHeight="1" x14ac:dyDescent="0.25">
      <c r="A1285" s="1238"/>
      <c r="B1285" s="1228" t="s">
        <v>262</v>
      </c>
      <c r="C1285" s="1228">
        <v>1000</v>
      </c>
      <c r="D1285" s="1239">
        <f>'Prec Materia Prima y Empaq'!$H$55</f>
        <v>50522</v>
      </c>
      <c r="E1285" s="1240">
        <f t="shared" si="455"/>
        <v>9599.18</v>
      </c>
      <c r="F1285" s="1241">
        <f t="shared" si="456"/>
        <v>60121.18</v>
      </c>
      <c r="G1285" s="1240">
        <f t="shared" si="457"/>
        <v>12024.236000000001</v>
      </c>
      <c r="H1285" s="1242">
        <v>200</v>
      </c>
      <c r="I1285" s="1228" t="s">
        <v>450</v>
      </c>
      <c r="K1285" s="1242">
        <f t="shared" si="458"/>
        <v>0.90909090909090906</v>
      </c>
      <c r="L1285" s="1243">
        <f t="shared" si="459"/>
        <v>54.655618181818184</v>
      </c>
    </row>
    <row r="1286" spans="1:29" ht="15" customHeight="1" x14ac:dyDescent="0.25">
      <c r="A1286" s="1238"/>
      <c r="B1286" s="1228" t="s">
        <v>261</v>
      </c>
      <c r="C1286" s="1228">
        <v>1000</v>
      </c>
      <c r="D1286" s="1239">
        <f>'Prec Materia Prima y Empaq'!$H$12</f>
        <v>4700</v>
      </c>
      <c r="E1286" s="1240">
        <f t="shared" si="455"/>
        <v>893</v>
      </c>
      <c r="F1286" s="1241">
        <f t="shared" si="456"/>
        <v>5593</v>
      </c>
      <c r="G1286" s="1240">
        <f t="shared" si="457"/>
        <v>1398.25</v>
      </c>
      <c r="H1286" s="1242">
        <v>250</v>
      </c>
      <c r="I1286" s="1228" t="s">
        <v>450</v>
      </c>
      <c r="K1286" s="1242">
        <f t="shared" si="458"/>
        <v>1.1363636363636365</v>
      </c>
      <c r="L1286" s="1243">
        <f t="shared" si="459"/>
        <v>6.3556818181818189</v>
      </c>
    </row>
    <row r="1287" spans="1:29" ht="15" customHeight="1" x14ac:dyDescent="0.25">
      <c r="A1287" s="1238"/>
      <c r="B1287" s="1228" t="s">
        <v>246</v>
      </c>
      <c r="C1287" s="1228">
        <v>1000</v>
      </c>
      <c r="D1287" s="1239">
        <f>'Prec Materia Prima y Empaq'!$H$41</f>
        <v>80268</v>
      </c>
      <c r="E1287" s="1240">
        <f t="shared" si="455"/>
        <v>15250.92</v>
      </c>
      <c r="F1287" s="1241">
        <f t="shared" si="456"/>
        <v>95518.92</v>
      </c>
      <c r="G1287" s="1240">
        <f t="shared" si="457"/>
        <v>5731.1351999999997</v>
      </c>
      <c r="H1287" s="1242">
        <v>60</v>
      </c>
      <c r="I1287" s="1228" t="s">
        <v>450</v>
      </c>
      <c r="K1287" s="1242">
        <f t="shared" si="458"/>
        <v>0.27272727272727271</v>
      </c>
      <c r="L1287" s="1243">
        <f t="shared" si="459"/>
        <v>26.050614545454543</v>
      </c>
    </row>
    <row r="1288" spans="1:29" ht="15" customHeight="1" x14ac:dyDescent="0.25">
      <c r="A1288" s="1238"/>
      <c r="B1288" s="1228" t="s">
        <v>268</v>
      </c>
      <c r="C1288" s="1228">
        <v>1000</v>
      </c>
      <c r="D1288" s="1239">
        <f>'Prec Materia Prima y Empaq'!H31</f>
        <v>20000</v>
      </c>
      <c r="E1288" s="1240"/>
      <c r="F1288" s="1241">
        <f t="shared" ref="F1288" si="460">+E1288+D1288</f>
        <v>20000</v>
      </c>
      <c r="G1288" s="1240">
        <f t="shared" ref="G1288" si="461">F1288/C1288*H1288</f>
        <v>20000</v>
      </c>
      <c r="H1288" s="1242">
        <v>1000</v>
      </c>
      <c r="I1288" s="1228" t="s">
        <v>450</v>
      </c>
      <c r="K1288" s="1242">
        <f t="shared" ref="K1288" si="462">H1288/$C$1276</f>
        <v>4.5454545454545459</v>
      </c>
      <c r="L1288" s="1243">
        <f t="shared" ref="L1288" si="463">F1288/C1288*K1288</f>
        <v>90.909090909090921</v>
      </c>
    </row>
    <row r="1289" spans="1:29" ht="15" customHeight="1" x14ac:dyDescent="0.25">
      <c r="A1289" s="1238"/>
      <c r="B1289" s="1228" t="s">
        <v>382</v>
      </c>
      <c r="C1289" s="1228">
        <v>3785</v>
      </c>
      <c r="D1289" s="1239">
        <f>'Prec Materia Prima y Empaq'!$H$18</f>
        <v>24</v>
      </c>
      <c r="E1289" s="1240">
        <f t="shared" si="455"/>
        <v>4.5600000000000005</v>
      </c>
      <c r="F1289" s="1241">
        <f t="shared" si="456"/>
        <v>28.560000000000002</v>
      </c>
      <c r="G1289" s="1240">
        <f>F1289/C1289*H1289</f>
        <v>0.37727873183619554</v>
      </c>
      <c r="H1289" s="1242">
        <v>50</v>
      </c>
      <c r="I1289" s="1228" t="s">
        <v>450</v>
      </c>
      <c r="K1289" s="1242">
        <f t="shared" ref="K1289:K1290" si="464">H1289/$C$1103</f>
        <v>0.11904761904761904</v>
      </c>
      <c r="L1289" s="1243">
        <f t="shared" si="459"/>
        <v>8.9828269484808459E-4</v>
      </c>
    </row>
    <row r="1290" spans="1:29" ht="15" customHeight="1" x14ac:dyDescent="0.25">
      <c r="A1290" s="1238"/>
      <c r="B1290" s="1228" t="s">
        <v>251</v>
      </c>
      <c r="C1290" s="1228">
        <v>1000</v>
      </c>
      <c r="D1290" s="1239">
        <f>'Prec Materia Prima y Empaq'!$H$26</f>
        <v>45404</v>
      </c>
      <c r="E1290" s="1240">
        <f t="shared" ref="E1290" si="465">D1290*19%</f>
        <v>8626.76</v>
      </c>
      <c r="F1290" s="1241">
        <f t="shared" ref="F1290:F1291" si="466">+E1290+D1290</f>
        <v>54030.76</v>
      </c>
      <c r="G1290" s="1240">
        <f>F1290/C1290*H1290</f>
        <v>5403.076</v>
      </c>
      <c r="H1290" s="1242">
        <v>100</v>
      </c>
      <c r="I1290" s="1228" t="s">
        <v>450</v>
      </c>
      <c r="K1290" s="1242">
        <f t="shared" si="464"/>
        <v>0.23809523809523808</v>
      </c>
      <c r="L1290" s="1243">
        <f t="shared" si="459"/>
        <v>12.864466666666667</v>
      </c>
    </row>
    <row r="1291" spans="1:29" ht="31.5" customHeight="1" x14ac:dyDescent="0.25">
      <c r="B1291" s="1220" t="s">
        <v>247</v>
      </c>
      <c r="C1291" s="1228">
        <v>1000</v>
      </c>
      <c r="D1291" s="1244">
        <f>'Prec Materia Prima y Empaq'!$H$7</f>
        <v>50000</v>
      </c>
      <c r="E1291" s="1240">
        <v>0</v>
      </c>
      <c r="F1291" s="1241">
        <f t="shared" si="466"/>
        <v>50000</v>
      </c>
      <c r="G1291" s="1240">
        <f>F1291/C1291*H1291</f>
        <v>32.022471910112351</v>
      </c>
      <c r="H1291" s="1245">
        <v>0.64044943820224698</v>
      </c>
      <c r="I1291" s="1245" t="s">
        <v>453</v>
      </c>
      <c r="K1291" s="1242">
        <f t="shared" ref="K1291" si="467">H1291/$C$1068</f>
        <v>1.5248796147672547E-3</v>
      </c>
      <c r="L1291" s="1243">
        <f t="shared" si="459"/>
        <v>7.6243980738362735E-2</v>
      </c>
      <c r="N1291" s="1220" t="s">
        <v>247</v>
      </c>
      <c r="O1291" s="1247">
        <v>1</v>
      </c>
      <c r="P1291" s="1240">
        <f>$F$391/$C$391*$O$391</f>
        <v>50</v>
      </c>
      <c r="Q1291" s="1248"/>
      <c r="R1291" s="1249" t="e">
        <f>P1291/O1280</f>
        <v>#DIV/0!</v>
      </c>
      <c r="S1291" s="1248" t="e">
        <f>R1291*1000</f>
        <v>#DIV/0!</v>
      </c>
      <c r="T1291" s="1250">
        <f>O1291/$O$380*1000</f>
        <v>2.5641025641025641E-3</v>
      </c>
      <c r="U1291" s="1238">
        <f>T1291*$M$380</f>
        <v>1</v>
      </c>
      <c r="Y1291" s="1238"/>
      <c r="Z1291" s="1238"/>
      <c r="AA1291" s="1251"/>
      <c r="AC1291" s="1252"/>
    </row>
    <row r="1292" spans="1:29" ht="30.75" customHeight="1" x14ac:dyDescent="0.25">
      <c r="B1292" s="1220" t="s">
        <v>494</v>
      </c>
      <c r="C1292" s="1220">
        <v>1</v>
      </c>
      <c r="D1292" s="1244">
        <f>'Prec Materia Prima y Empaq'!$H$141</f>
        <v>1500</v>
      </c>
      <c r="E1292" s="1240">
        <v>0</v>
      </c>
      <c r="F1292" s="1241">
        <f t="shared" si="456"/>
        <v>1500</v>
      </c>
      <c r="G1292" s="1253">
        <f t="shared" ref="G1292:G1295" si="468">F1292*H1292</f>
        <v>330000</v>
      </c>
      <c r="H1292" s="1245">
        <f>$C$1276</f>
        <v>220</v>
      </c>
      <c r="I1292" s="1245" t="s">
        <v>453</v>
      </c>
      <c r="K1292" s="1242">
        <f t="shared" si="458"/>
        <v>1</v>
      </c>
      <c r="L1292" s="1243">
        <f t="shared" si="459"/>
        <v>1500</v>
      </c>
    </row>
    <row r="1293" spans="1:29" ht="15" customHeight="1" x14ac:dyDescent="0.25">
      <c r="B1293" s="1220" t="s">
        <v>614</v>
      </c>
      <c r="C1293" s="1220">
        <v>1</v>
      </c>
      <c r="D1293" s="1244">
        <f>'Prec Materia Prima y Empaq'!$H$144</f>
        <v>70</v>
      </c>
      <c r="E1293" s="1240">
        <v>0</v>
      </c>
      <c r="F1293" s="1241">
        <f t="shared" si="456"/>
        <v>70</v>
      </c>
      <c r="G1293" s="1253">
        <f t="shared" si="468"/>
        <v>15400</v>
      </c>
      <c r="H1293" s="1245">
        <f t="shared" ref="H1293" si="469">$C$1276</f>
        <v>220</v>
      </c>
      <c r="I1293" s="1245" t="s">
        <v>453</v>
      </c>
      <c r="K1293" s="1242">
        <f t="shared" si="458"/>
        <v>1</v>
      </c>
      <c r="L1293" s="1243">
        <f t="shared" si="459"/>
        <v>70</v>
      </c>
    </row>
    <row r="1294" spans="1:29" ht="48" customHeight="1" x14ac:dyDescent="0.25">
      <c r="B1294" s="1220" t="s">
        <v>695</v>
      </c>
      <c r="C1294" s="1220">
        <v>1</v>
      </c>
      <c r="D1294" s="1272">
        <f>'Prec Materia Prima y Empaq'!$H$161</f>
        <v>300</v>
      </c>
      <c r="E1294" s="1240">
        <v>0</v>
      </c>
      <c r="F1294" s="1241">
        <f t="shared" si="456"/>
        <v>300</v>
      </c>
      <c r="G1294" s="1253">
        <f t="shared" si="468"/>
        <v>66000</v>
      </c>
      <c r="H1294" s="1245">
        <f t="shared" ref="H1294:H1295" si="470">$C$711</f>
        <v>220</v>
      </c>
      <c r="I1294" s="1245" t="s">
        <v>453</v>
      </c>
      <c r="K1294" s="1242">
        <f t="shared" si="458"/>
        <v>1</v>
      </c>
      <c r="L1294" s="1243">
        <f t="shared" si="459"/>
        <v>300</v>
      </c>
    </row>
    <row r="1295" spans="1:29" ht="17.25" customHeight="1" x14ac:dyDescent="0.25">
      <c r="B1295" s="1254" t="s">
        <v>310</v>
      </c>
      <c r="C1295" s="1245">
        <v>1</v>
      </c>
      <c r="D1295" s="1244">
        <f>'Prec Materia Prima y Empaq'!$H$130</f>
        <v>100</v>
      </c>
      <c r="E1295" s="1240">
        <v>0</v>
      </c>
      <c r="F1295" s="1241">
        <f t="shared" si="456"/>
        <v>100</v>
      </c>
      <c r="G1295" s="1253">
        <f t="shared" si="468"/>
        <v>22000</v>
      </c>
      <c r="H1295" s="1245">
        <f t="shared" si="470"/>
        <v>220</v>
      </c>
      <c r="I1295" s="1245" t="s">
        <v>453</v>
      </c>
      <c r="K1295" s="1242">
        <f t="shared" si="458"/>
        <v>1</v>
      </c>
      <c r="L1295" s="1243">
        <f t="shared" si="459"/>
        <v>100</v>
      </c>
    </row>
    <row r="1296" spans="1:29" ht="19.5" customHeight="1" thickBot="1" x14ac:dyDescent="0.3">
      <c r="B1296" s="1255"/>
      <c r="C1296" s="857"/>
      <c r="D1296" s="1256"/>
      <c r="E1296" s="1248"/>
      <c r="F1296" s="1257"/>
      <c r="G1296" s="1258">
        <f>SUM(G1282:G1295)/C1276</f>
        <v>2274.0440770483724</v>
      </c>
      <c r="H1296" s="1259" t="s">
        <v>454</v>
      </c>
      <c r="I1296" s="857"/>
      <c r="L1296" s="1260">
        <f>SUM(L1282:L1295)</f>
        <v>2262.2789780210087</v>
      </c>
    </row>
    <row r="1297" spans="1:9" ht="15" customHeight="1" thickTop="1" x14ac:dyDescent="0.25">
      <c r="B1297" s="1261" t="s">
        <v>409</v>
      </c>
      <c r="C1297" s="1262"/>
      <c r="D1297" s="1263">
        <f>+'Gtos Varios'!I14</f>
        <v>3672.93</v>
      </c>
      <c r="E1297" s="1262"/>
      <c r="F1297" s="1264">
        <f t="shared" ref="F1297" si="471">+E1297+D1297</f>
        <v>3672.93</v>
      </c>
      <c r="G1297" s="1265">
        <f>F1297</f>
        <v>3672.93</v>
      </c>
      <c r="H1297" s="1262" t="str">
        <f>B1297</f>
        <v xml:space="preserve">GASTOS VARIOS </v>
      </c>
      <c r="I1297" s="1262"/>
    </row>
    <row r="1298" spans="1:9" ht="15" customHeight="1" x14ac:dyDescent="0.25">
      <c r="B1298" s="1255"/>
      <c r="C1298" s="857"/>
      <c r="D1298" s="1256"/>
      <c r="E1298" s="1248"/>
      <c r="F1298" s="1257"/>
      <c r="G1298" s="1266"/>
      <c r="H1298" s="857"/>
      <c r="I1298" s="857"/>
    </row>
    <row r="1299" spans="1:9" ht="15" customHeight="1" x14ac:dyDescent="0.25">
      <c r="B1299" s="1255"/>
      <c r="C1299" s="857"/>
      <c r="D1299" s="1256"/>
      <c r="E1299" s="1248"/>
      <c r="F1299" s="1257"/>
      <c r="G1299" s="1266"/>
      <c r="H1299" s="857"/>
      <c r="I1299" s="857"/>
    </row>
    <row r="1300" spans="1:9" ht="15" customHeight="1" thickBot="1" x14ac:dyDescent="0.3">
      <c r="F1300" s="1267">
        <f>SUM(F1282:F1295)</f>
        <v>321534.42</v>
      </c>
      <c r="G1300" s="1268">
        <f>SUM(G1296:G1297)</f>
        <v>5946.9740770483722</v>
      </c>
      <c r="H1300" s="733" t="s">
        <v>412</v>
      </c>
    </row>
    <row r="1301" spans="1:9" ht="15" customHeight="1" thickTop="1" x14ac:dyDescent="0.25">
      <c r="G1301" s="1295">
        <f>G1300*56%</f>
        <v>3330.3054831470886</v>
      </c>
      <c r="H1301" s="1274">
        <v>0.56000000000000005</v>
      </c>
      <c r="I1301" s="733" t="s">
        <v>539</v>
      </c>
    </row>
    <row r="1302" spans="1:9" ht="15" customHeight="1" thickBot="1" x14ac:dyDescent="0.3">
      <c r="G1302" s="1270">
        <f>G1300+G1301</f>
        <v>9277.2795601954604</v>
      </c>
      <c r="H1302" s="733" t="s">
        <v>414</v>
      </c>
    </row>
    <row r="1303" spans="1:9" ht="15" customHeight="1" thickTop="1" x14ac:dyDescent="0.25"/>
    <row r="1305" spans="1:9" ht="15" customHeight="1" x14ac:dyDescent="0.25">
      <c r="B1305" s="1222" t="s">
        <v>61</v>
      </c>
      <c r="C1305" s="1219" t="s">
        <v>166</v>
      </c>
      <c r="D1305" s="733"/>
    </row>
    <row r="1306" spans="1:9" ht="15" customHeight="1" x14ac:dyDescent="0.25">
      <c r="A1306" s="1223" t="s">
        <v>718</v>
      </c>
      <c r="B1306" s="1222" t="s">
        <v>62</v>
      </c>
      <c r="C1306" s="1219" t="str">
        <f>VLOOKUP(C1305,LISTPROD[],2,FALSE)</f>
        <v>OXTEOMAX</v>
      </c>
      <c r="D1306" s="733" t="s">
        <v>690</v>
      </c>
      <c r="E1306" s="733" t="s">
        <v>691</v>
      </c>
    </row>
    <row r="1307" spans="1:9" ht="15" customHeight="1" x14ac:dyDescent="0.25">
      <c r="B1307" s="1222" t="s">
        <v>234</v>
      </c>
      <c r="C1307" s="1219" t="str">
        <f>VLOOKUP(C1305,LISTPROD[],9,FALSE)</f>
        <v>500 ML</v>
      </c>
      <c r="D1307" s="733"/>
    </row>
    <row r="1308" spans="1:9" ht="15" customHeight="1" x14ac:dyDescent="0.25">
      <c r="B1308" s="1222" t="s">
        <v>239</v>
      </c>
      <c r="C1308" s="1224">
        <v>390</v>
      </c>
      <c r="D1308" s="1218"/>
    </row>
    <row r="1309" spans="1:9" ht="15" customHeight="1" x14ac:dyDescent="0.25">
      <c r="B1309" s="1222" t="s">
        <v>240</v>
      </c>
      <c r="C1309" s="1219"/>
      <c r="D1309" s="733"/>
    </row>
    <row r="1310" spans="1:9" ht="15" customHeight="1" x14ac:dyDescent="0.25">
      <c r="B1310" s="1222" t="s">
        <v>238</v>
      </c>
      <c r="C1310" s="733" t="s">
        <v>56</v>
      </c>
      <c r="D1310" s="1218" t="s">
        <v>449</v>
      </c>
    </row>
    <row r="1311" spans="1:9" ht="15" customHeight="1" x14ac:dyDescent="0.25">
      <c r="B1311" s="1225" t="s">
        <v>410</v>
      </c>
      <c r="C1311" s="753">
        <v>500</v>
      </c>
      <c r="D1311" s="1226"/>
    </row>
    <row r="1312" spans="1:9" ht="15" customHeight="1" x14ac:dyDescent="0.25">
      <c r="A1312" s="1227"/>
      <c r="B1312" s="1436" t="s">
        <v>404</v>
      </c>
      <c r="C1312" s="1436"/>
      <c r="D1312" s="1436"/>
      <c r="E1312" s="1436"/>
      <c r="F1312" s="1436"/>
      <c r="G1312" s="1228"/>
      <c r="H1312" s="1437" t="s">
        <v>416</v>
      </c>
      <c r="I1312" s="1438"/>
    </row>
    <row r="1313" spans="1:29" ht="34.5" customHeight="1" x14ac:dyDescent="0.25">
      <c r="A1313" s="1229"/>
      <c r="B1313" s="1230" t="s">
        <v>398</v>
      </c>
      <c r="C1313" s="1231" t="s">
        <v>441</v>
      </c>
      <c r="D1313" s="1232" t="s">
        <v>399</v>
      </c>
      <c r="E1313" s="1233" t="s">
        <v>402</v>
      </c>
      <c r="F1313" s="1232" t="s">
        <v>399</v>
      </c>
      <c r="G1313" s="1232" t="s">
        <v>411</v>
      </c>
      <c r="H1313" s="1234" t="s">
        <v>408</v>
      </c>
      <c r="I1313" s="1235" t="s">
        <v>415</v>
      </c>
      <c r="K1313" s="1236" t="s">
        <v>603</v>
      </c>
      <c r="L1313" s="1237" t="s">
        <v>604</v>
      </c>
    </row>
    <row r="1314" spans="1:29" ht="15" customHeight="1" x14ac:dyDescent="0.25">
      <c r="A1314" s="1238"/>
      <c r="B1314" s="1228" t="s">
        <v>248</v>
      </c>
      <c r="C1314" s="1228">
        <v>1000</v>
      </c>
      <c r="D1314" s="1239">
        <f>'Prec Materia Prima y Empaq'!$H$21</f>
        <v>15400</v>
      </c>
      <c r="E1314" s="1240">
        <f>D1314*19%</f>
        <v>2926</v>
      </c>
      <c r="F1314" s="1241">
        <f>+E1314+D1314</f>
        <v>18326</v>
      </c>
      <c r="G1314" s="1240">
        <f>F1314/C1314*H1314</f>
        <v>12828.2</v>
      </c>
      <c r="H1314" s="1242">
        <v>700</v>
      </c>
      <c r="I1314" s="1228" t="s">
        <v>450</v>
      </c>
      <c r="K1314" s="1242">
        <f>H1314/$C$1308</f>
        <v>1.7948717948717949</v>
      </c>
      <c r="L1314" s="1243">
        <f>F1314/C1314*K1314</f>
        <v>32.892820512820514</v>
      </c>
    </row>
    <row r="1315" spans="1:29" ht="15" customHeight="1" x14ac:dyDescent="0.25">
      <c r="A1315" s="1238"/>
      <c r="B1315" s="1228" t="s">
        <v>443</v>
      </c>
      <c r="C1315" s="1228">
        <v>1000</v>
      </c>
      <c r="D1315" s="1239">
        <f>'Prec Materia Prima y Empaq'!$H$11</f>
        <v>8000</v>
      </c>
      <c r="E1315" s="1240">
        <f t="shared" ref="E1315:E1319" si="472">D1315*19%</f>
        <v>1520</v>
      </c>
      <c r="F1315" s="1241">
        <f t="shared" ref="F1315:F1319" si="473">+E1315+D1315</f>
        <v>9520</v>
      </c>
      <c r="G1315" s="1240">
        <f t="shared" ref="G1315:G1319" si="474">F1315/C1315*H1315</f>
        <v>5712</v>
      </c>
      <c r="H1315" s="1242">
        <v>600</v>
      </c>
      <c r="I1315" s="1228" t="s">
        <v>450</v>
      </c>
      <c r="K1315" s="1242">
        <f t="shared" ref="K1315:K1327" si="475">H1315/$C$1308</f>
        <v>1.5384615384615385</v>
      </c>
      <c r="L1315" s="1243">
        <f t="shared" ref="L1315:L1327" si="476">F1315/C1315*K1315</f>
        <v>14.646153846153846</v>
      </c>
    </row>
    <row r="1316" spans="1:29" ht="15" customHeight="1" x14ac:dyDescent="0.25">
      <c r="A1316" s="1238"/>
      <c r="B1316" s="1228" t="s">
        <v>253</v>
      </c>
      <c r="C1316" s="1228">
        <v>1000</v>
      </c>
      <c r="D1316" s="1239">
        <f>'Prec Materia Prima y Empaq'!$H$9</f>
        <v>5400</v>
      </c>
      <c r="E1316" s="1240">
        <f t="shared" si="472"/>
        <v>1026</v>
      </c>
      <c r="F1316" s="1241">
        <f t="shared" si="473"/>
        <v>6426</v>
      </c>
      <c r="G1316" s="1240">
        <f t="shared" si="474"/>
        <v>3213</v>
      </c>
      <c r="H1316" s="1242">
        <v>500</v>
      </c>
      <c r="I1316" s="1228" t="s">
        <v>450</v>
      </c>
      <c r="K1316" s="1242">
        <f t="shared" si="475"/>
        <v>1.2820512820512822</v>
      </c>
      <c r="L1316" s="1243">
        <f t="shared" si="476"/>
        <v>8.2384615384615394</v>
      </c>
    </row>
    <row r="1317" spans="1:29" ht="15" customHeight="1" x14ac:dyDescent="0.25">
      <c r="A1317" s="1238"/>
      <c r="B1317" s="1228" t="s">
        <v>245</v>
      </c>
      <c r="C1317" s="1228">
        <v>1000</v>
      </c>
      <c r="D1317" s="1239">
        <f>'Prec Materia Prima y Empaq'!$H$44</f>
        <v>52325</v>
      </c>
      <c r="E1317" s="1240">
        <f t="shared" si="472"/>
        <v>9941.75</v>
      </c>
      <c r="F1317" s="1241">
        <f t="shared" si="473"/>
        <v>62266.75</v>
      </c>
      <c r="G1317" s="1240">
        <f t="shared" si="474"/>
        <v>6226.6750000000002</v>
      </c>
      <c r="H1317" s="1242">
        <v>100</v>
      </c>
      <c r="I1317" s="1228" t="s">
        <v>450</v>
      </c>
      <c r="K1317" s="1242">
        <f t="shared" si="475"/>
        <v>0.25641025641025639</v>
      </c>
      <c r="L1317" s="1243">
        <f t="shared" si="476"/>
        <v>15.965833333333332</v>
      </c>
    </row>
    <row r="1318" spans="1:29" ht="15" customHeight="1" x14ac:dyDescent="0.25">
      <c r="A1318" s="1238"/>
      <c r="B1318" s="1228" t="s">
        <v>261</v>
      </c>
      <c r="C1318" s="1228">
        <v>1000</v>
      </c>
      <c r="D1318" s="1239">
        <f>'Prec Materia Prima y Empaq'!$H$12</f>
        <v>4700</v>
      </c>
      <c r="E1318" s="1240">
        <f t="shared" si="472"/>
        <v>893</v>
      </c>
      <c r="F1318" s="1241">
        <f t="shared" si="473"/>
        <v>5593</v>
      </c>
      <c r="G1318" s="1240">
        <f t="shared" si="474"/>
        <v>1118.5999999999999</v>
      </c>
      <c r="H1318" s="1242">
        <v>200</v>
      </c>
      <c r="I1318" s="1228" t="s">
        <v>450</v>
      </c>
      <c r="K1318" s="1242">
        <f t="shared" si="475"/>
        <v>0.51282051282051277</v>
      </c>
      <c r="L1318" s="1243">
        <f t="shared" si="476"/>
        <v>2.868205128205128</v>
      </c>
    </row>
    <row r="1319" spans="1:29" ht="15" customHeight="1" x14ac:dyDescent="0.25">
      <c r="A1319" s="1238"/>
      <c r="B1319" s="1228" t="s">
        <v>246</v>
      </c>
      <c r="C1319" s="1228">
        <v>1000</v>
      </c>
      <c r="D1319" s="1239">
        <f>'Prec Materia Prima y Empaq'!$H$41</f>
        <v>80268</v>
      </c>
      <c r="E1319" s="1240">
        <f t="shared" si="472"/>
        <v>15250.92</v>
      </c>
      <c r="F1319" s="1241">
        <f t="shared" si="473"/>
        <v>95518.92</v>
      </c>
      <c r="G1319" s="1240">
        <f t="shared" si="474"/>
        <v>1910.3783999999998</v>
      </c>
      <c r="H1319" s="1242">
        <v>20</v>
      </c>
      <c r="I1319" s="1228" t="s">
        <v>450</v>
      </c>
      <c r="K1319" s="1242">
        <f t="shared" si="475"/>
        <v>5.128205128205128E-2</v>
      </c>
      <c r="L1319" s="1243">
        <f t="shared" si="476"/>
        <v>4.8984061538461532</v>
      </c>
    </row>
    <row r="1320" spans="1:29" ht="15" customHeight="1" x14ac:dyDescent="0.25">
      <c r="A1320" s="1238"/>
      <c r="B1320" s="1228" t="s">
        <v>272</v>
      </c>
      <c r="C1320" s="1228">
        <v>1000</v>
      </c>
      <c r="D1320" s="1239">
        <f>'Prec Materia Prima y Empaq'!$H$15</f>
        <v>18000</v>
      </c>
      <c r="E1320" s="1240">
        <f t="shared" ref="E1320" si="477">D1320*19%</f>
        <v>3420</v>
      </c>
      <c r="F1320" s="1241">
        <f t="shared" ref="F1320" si="478">+E1320+D1320</f>
        <v>21420</v>
      </c>
      <c r="G1320" s="1240">
        <f t="shared" ref="G1320" si="479">F1320/C1320*H1320</f>
        <v>107100.00000000001</v>
      </c>
      <c r="H1320" s="1242">
        <v>5000</v>
      </c>
      <c r="I1320" s="1228" t="s">
        <v>450</v>
      </c>
      <c r="K1320" s="1242">
        <f t="shared" si="475"/>
        <v>12.820512820512821</v>
      </c>
      <c r="L1320" s="1243">
        <f t="shared" si="476"/>
        <v>274.61538461538464</v>
      </c>
    </row>
    <row r="1321" spans="1:29" ht="15" customHeight="1" x14ac:dyDescent="0.25">
      <c r="A1321" s="1238"/>
      <c r="B1321" s="1228" t="s">
        <v>251</v>
      </c>
      <c r="C1321" s="1228">
        <v>1000</v>
      </c>
      <c r="D1321" s="1239">
        <f>'Prec Materia Prima y Empaq'!$H$26</f>
        <v>45404</v>
      </c>
      <c r="E1321" s="1240">
        <f t="shared" ref="E1321:E1322" si="480">D1321*19%</f>
        <v>8626.76</v>
      </c>
      <c r="F1321" s="1241">
        <f t="shared" ref="F1321:F1327" si="481">+E1321+D1321</f>
        <v>54030.76</v>
      </c>
      <c r="G1321" s="1240">
        <f t="shared" ref="G1321" si="482">F1321/C1321*H1321</f>
        <v>2701.538</v>
      </c>
      <c r="H1321" s="1242">
        <v>50</v>
      </c>
      <c r="I1321" s="1228" t="s">
        <v>450</v>
      </c>
      <c r="K1321" s="1242">
        <f t="shared" si="475"/>
        <v>0.12820512820512819</v>
      </c>
      <c r="L1321" s="1243">
        <f t="shared" si="476"/>
        <v>6.927020512820512</v>
      </c>
    </row>
    <row r="1322" spans="1:29" ht="15" customHeight="1" x14ac:dyDescent="0.25">
      <c r="A1322" s="1238"/>
      <c r="B1322" s="1228" t="s">
        <v>382</v>
      </c>
      <c r="C1322" s="1228">
        <v>3785</v>
      </c>
      <c r="D1322" s="1239">
        <f>'Prec Materia Prima y Empaq'!$H$18</f>
        <v>24</v>
      </c>
      <c r="E1322" s="1240">
        <f t="shared" si="480"/>
        <v>4.5600000000000005</v>
      </c>
      <c r="F1322" s="1241">
        <f t="shared" si="481"/>
        <v>28.560000000000002</v>
      </c>
      <c r="G1322" s="1240">
        <f>F1322/C1322*H1322</f>
        <v>0.37727873183619554</v>
      </c>
      <c r="H1322" s="1242">
        <v>50</v>
      </c>
      <c r="I1322" s="1228" t="s">
        <v>450</v>
      </c>
      <c r="K1322" s="1242">
        <f t="shared" si="475"/>
        <v>0.12820512820512819</v>
      </c>
      <c r="L1322" s="1243">
        <f t="shared" si="476"/>
        <v>9.6738136368255262E-4</v>
      </c>
    </row>
    <row r="1323" spans="1:29" ht="31.5" customHeight="1" x14ac:dyDescent="0.25">
      <c r="B1323" s="1220" t="s">
        <v>247</v>
      </c>
      <c r="C1323" s="1228">
        <v>1000</v>
      </c>
      <c r="D1323" s="1244">
        <f>'Prec Materia Prima y Empaq'!$H$7</f>
        <v>50000</v>
      </c>
      <c r="E1323" s="1240">
        <v>0</v>
      </c>
      <c r="F1323" s="1241">
        <f t="shared" si="481"/>
        <v>50000</v>
      </c>
      <c r="G1323" s="1240">
        <f>F1323/C1323*H1323</f>
        <v>32.022471910112351</v>
      </c>
      <c r="H1323" s="1245">
        <v>0.64044943820224698</v>
      </c>
      <c r="I1323" s="1245" t="s">
        <v>453</v>
      </c>
      <c r="K1323" s="1242">
        <f t="shared" ref="K1323" si="483">H1323/$C$1068</f>
        <v>1.5248796147672547E-3</v>
      </c>
      <c r="L1323" s="1243">
        <f t="shared" si="476"/>
        <v>7.6243980738362735E-2</v>
      </c>
      <c r="N1323" s="1220" t="s">
        <v>247</v>
      </c>
      <c r="O1323" s="1247">
        <v>1</v>
      </c>
      <c r="P1323" s="1240">
        <f>$F$391/$C$391*$O$391</f>
        <v>50</v>
      </c>
      <c r="Q1323" s="1248"/>
      <c r="R1323" s="1249" t="e">
        <f>P1323/O1312</f>
        <v>#DIV/0!</v>
      </c>
      <c r="S1323" s="1248" t="e">
        <f>R1323*1000</f>
        <v>#DIV/0!</v>
      </c>
      <c r="T1323" s="1250">
        <f>O1323/$O$380*1000</f>
        <v>2.5641025641025641E-3</v>
      </c>
      <c r="U1323" s="1238">
        <f>T1323*$M$380</f>
        <v>1</v>
      </c>
      <c r="Y1323" s="1238"/>
      <c r="Z1323" s="1238"/>
      <c r="AA1323" s="1251"/>
      <c r="AC1323" s="1252"/>
    </row>
    <row r="1324" spans="1:29" ht="30.75" customHeight="1" x14ac:dyDescent="0.25">
      <c r="B1324" s="1220" t="s">
        <v>493</v>
      </c>
      <c r="C1324" s="1220">
        <v>1</v>
      </c>
      <c r="D1324" s="1244">
        <f>'Prec Materia Prima y Empaq'!$H$142</f>
        <v>650</v>
      </c>
      <c r="E1324" s="1240">
        <v>0</v>
      </c>
      <c r="F1324" s="1241">
        <f t="shared" si="481"/>
        <v>650</v>
      </c>
      <c r="G1324" s="1253">
        <f t="shared" ref="G1324:G1327" si="484">F1324*H1324</f>
        <v>253500</v>
      </c>
      <c r="H1324" s="1245">
        <f>$C$47</f>
        <v>390</v>
      </c>
      <c r="I1324" s="1245" t="s">
        <v>453</v>
      </c>
      <c r="K1324" s="1242">
        <f t="shared" si="475"/>
        <v>1</v>
      </c>
      <c r="L1324" s="1243">
        <f t="shared" si="476"/>
        <v>650</v>
      </c>
    </row>
    <row r="1325" spans="1:29" ht="15" customHeight="1" x14ac:dyDescent="0.25">
      <c r="B1325" s="1220" t="s">
        <v>614</v>
      </c>
      <c r="C1325" s="1220">
        <v>1</v>
      </c>
      <c r="D1325" s="1244">
        <f>'Prec Materia Prima y Empaq'!$H$144</f>
        <v>70</v>
      </c>
      <c r="E1325" s="1240">
        <v>0</v>
      </c>
      <c r="F1325" s="1241">
        <f t="shared" si="481"/>
        <v>70</v>
      </c>
      <c r="G1325" s="1253">
        <f t="shared" si="484"/>
        <v>27300</v>
      </c>
      <c r="H1325" s="1245">
        <f>$C$47</f>
        <v>390</v>
      </c>
      <c r="I1325" s="1245" t="s">
        <v>453</v>
      </c>
      <c r="K1325" s="1242">
        <f t="shared" si="475"/>
        <v>1</v>
      </c>
      <c r="L1325" s="1243">
        <f t="shared" si="476"/>
        <v>70</v>
      </c>
    </row>
    <row r="1326" spans="1:29" ht="15" customHeight="1" x14ac:dyDescent="0.25">
      <c r="B1326" s="1220" t="s">
        <v>503</v>
      </c>
      <c r="C1326" s="1245">
        <v>1</v>
      </c>
      <c r="D1326" s="1244">
        <f>'Prec Materia Prima y Empaq'!$H$143</f>
        <v>250</v>
      </c>
      <c r="E1326" s="1240">
        <v>0</v>
      </c>
      <c r="F1326" s="1241">
        <f t="shared" si="481"/>
        <v>250</v>
      </c>
      <c r="G1326" s="1253">
        <f t="shared" si="484"/>
        <v>97500</v>
      </c>
      <c r="H1326" s="1245">
        <f>$C$47</f>
        <v>390</v>
      </c>
      <c r="I1326" s="1245" t="s">
        <v>453</v>
      </c>
      <c r="K1326" s="1242">
        <f t="shared" si="475"/>
        <v>1</v>
      </c>
      <c r="L1326" s="1243">
        <f t="shared" si="476"/>
        <v>250</v>
      </c>
    </row>
    <row r="1327" spans="1:29" ht="76.5" customHeight="1" x14ac:dyDescent="0.25">
      <c r="A1327" s="1275" t="s">
        <v>754</v>
      </c>
      <c r="B1327" s="1292" t="s">
        <v>731</v>
      </c>
      <c r="C1327" s="1282">
        <v>1</v>
      </c>
      <c r="D1327" s="1283">
        <f>'Prec Materia Prima y Empaq'!$H$200</f>
        <v>0</v>
      </c>
      <c r="E1327" s="1240">
        <v>0</v>
      </c>
      <c r="F1327" s="1241">
        <f t="shared" si="481"/>
        <v>0</v>
      </c>
      <c r="G1327" s="1253">
        <f t="shared" si="484"/>
        <v>0</v>
      </c>
      <c r="H1327" s="1245">
        <f>$C$47</f>
        <v>390</v>
      </c>
      <c r="I1327" s="1245" t="s">
        <v>453</v>
      </c>
      <c r="K1327" s="1242">
        <f t="shared" si="475"/>
        <v>1</v>
      </c>
      <c r="L1327" s="1243">
        <f t="shared" si="476"/>
        <v>0</v>
      </c>
    </row>
    <row r="1328" spans="1:29" ht="19.5" customHeight="1" thickBot="1" x14ac:dyDescent="0.3">
      <c r="B1328" s="1255"/>
      <c r="C1328" s="857"/>
      <c r="D1328" s="1256"/>
      <c r="E1328" s="1248"/>
      <c r="F1328" s="1257"/>
      <c r="G1328" s="1258">
        <f>SUM(G1314:G1327)/C1308</f>
        <v>1331.1353619247229</v>
      </c>
      <c r="H1328" s="1259" t="s">
        <v>454</v>
      </c>
      <c r="I1328" s="857"/>
      <c r="L1328" s="1260">
        <f>SUM(L1314:L1327)</f>
        <v>1331.1294970031277</v>
      </c>
    </row>
    <row r="1329" spans="1:9" ht="15" customHeight="1" thickTop="1" x14ac:dyDescent="0.25">
      <c r="B1329" s="1261" t="s">
        <v>409</v>
      </c>
      <c r="C1329" s="1262"/>
      <c r="D1329" s="1263">
        <f>+'Gtos Varios'!I14</f>
        <v>3672.93</v>
      </c>
      <c r="E1329" s="1262"/>
      <c r="F1329" s="1264">
        <f t="shared" ref="F1329" si="485">+E1329+D1329</f>
        <v>3672.93</v>
      </c>
      <c r="G1329" s="1265">
        <f>F1329</f>
        <v>3672.93</v>
      </c>
      <c r="H1329" s="1262" t="str">
        <f>B1329</f>
        <v xml:space="preserve">GASTOS VARIOS </v>
      </c>
      <c r="I1329" s="1262"/>
    </row>
    <row r="1330" spans="1:9" ht="15" customHeight="1" x14ac:dyDescent="0.25">
      <c r="B1330" s="1255"/>
      <c r="C1330" s="857"/>
      <c r="D1330" s="1256"/>
      <c r="E1330" s="1248"/>
      <c r="F1330" s="1257"/>
      <c r="G1330" s="1266"/>
      <c r="H1330" s="857"/>
      <c r="I1330" s="857"/>
    </row>
    <row r="1331" spans="1:9" ht="15" customHeight="1" x14ac:dyDescent="0.25">
      <c r="B1331" s="1255"/>
      <c r="C1331" s="857"/>
      <c r="D1331" s="1256"/>
      <c r="E1331" s="1248"/>
      <c r="F1331" s="1257"/>
      <c r="G1331" s="1266"/>
      <c r="H1331" s="857"/>
      <c r="I1331" s="857"/>
    </row>
    <row r="1332" spans="1:9" ht="15" customHeight="1" thickBot="1" x14ac:dyDescent="0.3">
      <c r="F1332" s="1267">
        <f>SUM(F1314:F1327)</f>
        <v>324099.99</v>
      </c>
      <c r="G1332" s="1268">
        <f>SUM(G1328:G1329)</f>
        <v>5004.0653619247223</v>
      </c>
      <c r="H1332" s="733" t="s">
        <v>412</v>
      </c>
    </row>
    <row r="1333" spans="1:9" ht="15" customHeight="1" thickTop="1" x14ac:dyDescent="0.25">
      <c r="G1333" s="1295">
        <f>G1332*69%</f>
        <v>3452.8050997280579</v>
      </c>
      <c r="H1333" s="1274">
        <v>0.69</v>
      </c>
      <c r="I1333" s="733" t="s">
        <v>539</v>
      </c>
    </row>
    <row r="1334" spans="1:9" ht="15" customHeight="1" thickBot="1" x14ac:dyDescent="0.3">
      <c r="G1334" s="1270">
        <f>G1332+G1333</f>
        <v>8456.8704616527793</v>
      </c>
      <c r="H1334" s="733" t="s">
        <v>414</v>
      </c>
    </row>
    <row r="1335" spans="1:9" ht="15" customHeight="1" thickTop="1" x14ac:dyDescent="0.25"/>
    <row r="1338" spans="1:9" ht="15" customHeight="1" x14ac:dyDescent="0.25">
      <c r="B1338" s="1222" t="s">
        <v>61</v>
      </c>
      <c r="C1338" s="1219" t="s">
        <v>168</v>
      </c>
      <c r="D1338" s="733"/>
    </row>
    <row r="1339" spans="1:9" ht="15" customHeight="1" x14ac:dyDescent="0.25">
      <c r="A1339" s="1223" t="s">
        <v>718</v>
      </c>
      <c r="B1339" s="1222" t="s">
        <v>62</v>
      </c>
      <c r="C1339" s="1219" t="str">
        <f>VLOOKUP(C1338,LISTPROD[],2,FALSE)</f>
        <v>PAP BRAZ JARABE LITRO</v>
      </c>
      <c r="D1339" s="733" t="s">
        <v>486</v>
      </c>
      <c r="E1339" s="733" t="s">
        <v>491</v>
      </c>
    </row>
    <row r="1340" spans="1:9" ht="15" customHeight="1" x14ac:dyDescent="0.25">
      <c r="B1340" s="1222" t="s">
        <v>234</v>
      </c>
      <c r="C1340" s="1219" t="str">
        <f>VLOOKUP(C1338,LISTPROD[],9,FALSE)</f>
        <v>1000 ML</v>
      </c>
      <c r="D1340" s="733"/>
    </row>
    <row r="1341" spans="1:9" ht="15" customHeight="1" x14ac:dyDescent="0.25">
      <c r="B1341" s="1222" t="s">
        <v>239</v>
      </c>
      <c r="C1341" s="1224">
        <v>220</v>
      </c>
      <c r="D1341" s="1218"/>
    </row>
    <row r="1342" spans="1:9" ht="15" customHeight="1" x14ac:dyDescent="0.25">
      <c r="B1342" s="1222" t="s">
        <v>240</v>
      </c>
      <c r="C1342" s="1219"/>
      <c r="D1342" s="733"/>
    </row>
    <row r="1343" spans="1:9" ht="15" customHeight="1" x14ac:dyDescent="0.25">
      <c r="B1343" s="1222" t="s">
        <v>238</v>
      </c>
      <c r="C1343" s="733" t="s">
        <v>56</v>
      </c>
      <c r="D1343" s="1218" t="s">
        <v>449</v>
      </c>
    </row>
    <row r="1344" spans="1:9" ht="15" customHeight="1" x14ac:dyDescent="0.25">
      <c r="B1344" s="1225" t="s">
        <v>410</v>
      </c>
      <c r="C1344" s="753">
        <v>1000</v>
      </c>
      <c r="D1344" s="1226"/>
    </row>
    <row r="1345" spans="1:29" ht="15" customHeight="1" x14ac:dyDescent="0.25">
      <c r="A1345" s="1227"/>
      <c r="B1345" s="1436" t="s">
        <v>404</v>
      </c>
      <c r="C1345" s="1436"/>
      <c r="D1345" s="1436"/>
      <c r="E1345" s="1436"/>
      <c r="F1345" s="1436"/>
      <c r="G1345" s="1228"/>
      <c r="H1345" s="1437" t="s">
        <v>416</v>
      </c>
      <c r="I1345" s="1438"/>
    </row>
    <row r="1346" spans="1:29" ht="34.5" customHeight="1" x14ac:dyDescent="0.25">
      <c r="A1346" s="1229"/>
      <c r="B1346" s="1230" t="s">
        <v>398</v>
      </c>
      <c r="C1346" s="1231" t="s">
        <v>441</v>
      </c>
      <c r="D1346" s="1232" t="s">
        <v>399</v>
      </c>
      <c r="E1346" s="1233" t="s">
        <v>402</v>
      </c>
      <c r="F1346" s="1232" t="s">
        <v>399</v>
      </c>
      <c r="G1346" s="1232" t="s">
        <v>411</v>
      </c>
      <c r="H1346" s="1234" t="s">
        <v>408</v>
      </c>
      <c r="I1346" s="1235" t="s">
        <v>415</v>
      </c>
      <c r="K1346" s="1236" t="s">
        <v>603</v>
      </c>
      <c r="L1346" s="1237" t="s">
        <v>604</v>
      </c>
    </row>
    <row r="1347" spans="1:29" ht="15" customHeight="1" x14ac:dyDescent="0.25">
      <c r="A1347" s="1238"/>
      <c r="B1347" s="1228" t="s">
        <v>248</v>
      </c>
      <c r="C1347" s="1228">
        <v>1000</v>
      </c>
      <c r="D1347" s="1239">
        <f>'Prec Materia Prima y Empaq'!$H$21</f>
        <v>15400</v>
      </c>
      <c r="E1347" s="1240">
        <f>D1347*19%</f>
        <v>2926</v>
      </c>
      <c r="F1347" s="1241">
        <f>+E1347+D1347</f>
        <v>18326</v>
      </c>
      <c r="G1347" s="1240">
        <f>F1347/C1347*H1347</f>
        <v>16493.400000000001</v>
      </c>
      <c r="H1347" s="1242">
        <v>900</v>
      </c>
      <c r="I1347" s="1228" t="s">
        <v>450</v>
      </c>
      <c r="K1347" s="1242">
        <f t="shared" ref="K1347:K1356" si="486">H1347/$C$1341</f>
        <v>4.0909090909090908</v>
      </c>
      <c r="L1347" s="1243">
        <f>F1347/C1347*K1347</f>
        <v>74.97</v>
      </c>
    </row>
    <row r="1348" spans="1:29" ht="15" customHeight="1" x14ac:dyDescent="0.25">
      <c r="A1348" s="1238"/>
      <c r="B1348" s="1228" t="s">
        <v>443</v>
      </c>
      <c r="C1348" s="1228">
        <v>1000</v>
      </c>
      <c r="D1348" s="1239">
        <f>'Prec Materia Prima y Empaq'!$H$11</f>
        <v>8000</v>
      </c>
      <c r="E1348" s="1240">
        <f t="shared" ref="E1348:E1353" si="487">D1348*19%</f>
        <v>1520</v>
      </c>
      <c r="F1348" s="1241">
        <f t="shared" ref="F1348:F1354" si="488">+E1348+D1348</f>
        <v>9520</v>
      </c>
      <c r="G1348" s="1240">
        <f t="shared" ref="G1348:G1353" si="489">F1348/C1348*H1348</f>
        <v>5712</v>
      </c>
      <c r="H1348" s="1242">
        <v>600</v>
      </c>
      <c r="I1348" s="1228" t="s">
        <v>450</v>
      </c>
      <c r="K1348" s="1242">
        <f t="shared" si="486"/>
        <v>2.7272727272727271</v>
      </c>
      <c r="L1348" s="1243">
        <f t="shared" ref="L1348:L1356" si="490">F1348/C1348*K1348</f>
        <v>25.963636363636361</v>
      </c>
    </row>
    <row r="1349" spans="1:29" ht="15" customHeight="1" x14ac:dyDescent="0.25">
      <c r="A1349" s="1238"/>
      <c r="B1349" s="1228" t="s">
        <v>253</v>
      </c>
      <c r="C1349" s="1228">
        <v>1000</v>
      </c>
      <c r="D1349" s="1239">
        <f>'Prec Materia Prima y Empaq'!$H$9</f>
        <v>5400</v>
      </c>
      <c r="E1349" s="1240">
        <f t="shared" si="487"/>
        <v>1026</v>
      </c>
      <c r="F1349" s="1241">
        <f t="shared" si="488"/>
        <v>6426</v>
      </c>
      <c r="G1349" s="1240">
        <f t="shared" si="489"/>
        <v>3534.3</v>
      </c>
      <c r="H1349" s="1242">
        <v>550</v>
      </c>
      <c r="I1349" s="1228" t="s">
        <v>450</v>
      </c>
      <c r="K1349" s="1242">
        <f t="shared" si="486"/>
        <v>2.5</v>
      </c>
      <c r="L1349" s="1243">
        <f t="shared" si="490"/>
        <v>16.065000000000001</v>
      </c>
    </row>
    <row r="1350" spans="1:29" ht="15" customHeight="1" x14ac:dyDescent="0.25">
      <c r="A1350" s="1238"/>
      <c r="B1350" s="1228" t="s">
        <v>382</v>
      </c>
      <c r="C1350" s="1228">
        <v>3785</v>
      </c>
      <c r="D1350" s="1239">
        <f>'Prec Materia Prima y Empaq'!$H$18</f>
        <v>24</v>
      </c>
      <c r="E1350" s="1240">
        <f t="shared" si="487"/>
        <v>4.5600000000000005</v>
      </c>
      <c r="F1350" s="1241">
        <f t="shared" si="488"/>
        <v>28.560000000000002</v>
      </c>
      <c r="G1350" s="1240">
        <f t="shared" si="489"/>
        <v>0.37727873183619554</v>
      </c>
      <c r="H1350" s="1242">
        <v>50</v>
      </c>
      <c r="I1350" s="1228" t="s">
        <v>450</v>
      </c>
      <c r="K1350" s="1242">
        <f t="shared" si="486"/>
        <v>0.22727272727272727</v>
      </c>
      <c r="L1350" s="1243">
        <f t="shared" si="490"/>
        <v>1.7149033265281615E-3</v>
      </c>
    </row>
    <row r="1351" spans="1:29" ht="15" customHeight="1" x14ac:dyDescent="0.25">
      <c r="A1351" s="1238"/>
      <c r="B1351" s="1228" t="s">
        <v>246</v>
      </c>
      <c r="C1351" s="1228">
        <v>1000</v>
      </c>
      <c r="D1351" s="1239">
        <f>'Prec Materia Prima y Empaq'!$H$41</f>
        <v>80268</v>
      </c>
      <c r="E1351" s="1240">
        <f t="shared" si="487"/>
        <v>15250.92</v>
      </c>
      <c r="F1351" s="1241">
        <f t="shared" si="488"/>
        <v>95518.92</v>
      </c>
      <c r="G1351" s="1240">
        <f t="shared" si="489"/>
        <v>2387.973</v>
      </c>
      <c r="H1351" s="1242">
        <v>25</v>
      </c>
      <c r="I1351" s="1228" t="s">
        <v>450</v>
      </c>
      <c r="K1351" s="1242">
        <f t="shared" si="486"/>
        <v>0.11363636363636363</v>
      </c>
      <c r="L1351" s="1243">
        <f t="shared" si="490"/>
        <v>10.854422727272727</v>
      </c>
    </row>
    <row r="1352" spans="1:29" ht="15" customHeight="1" x14ac:dyDescent="0.25">
      <c r="A1352" s="1238"/>
      <c r="B1352" s="1228" t="s">
        <v>262</v>
      </c>
      <c r="C1352" s="1228">
        <v>1000</v>
      </c>
      <c r="D1352" s="1239">
        <f>'Prec Materia Prima y Empaq'!$H$55</f>
        <v>50522</v>
      </c>
      <c r="E1352" s="1240">
        <f t="shared" si="487"/>
        <v>9599.18</v>
      </c>
      <c r="F1352" s="1241">
        <f t="shared" si="488"/>
        <v>60121.18</v>
      </c>
      <c r="G1352" s="1240">
        <f t="shared" si="489"/>
        <v>6012.1180000000004</v>
      </c>
      <c r="H1352" s="1228">
        <v>100</v>
      </c>
      <c r="I1352" s="1228" t="s">
        <v>450</v>
      </c>
      <c r="K1352" s="1242">
        <f t="shared" si="486"/>
        <v>0.45454545454545453</v>
      </c>
      <c r="L1352" s="1243">
        <f t="shared" si="490"/>
        <v>27.327809090909092</v>
      </c>
    </row>
    <row r="1353" spans="1:29" ht="25.5" customHeight="1" x14ac:dyDescent="0.25">
      <c r="A1353" s="1238"/>
      <c r="B1353" s="1228" t="s">
        <v>261</v>
      </c>
      <c r="C1353" s="1228">
        <v>1000</v>
      </c>
      <c r="D1353" s="1239">
        <f>'Preci Comp Prod'!$E$13</f>
        <v>4700</v>
      </c>
      <c r="E1353" s="1240">
        <f t="shared" si="487"/>
        <v>893</v>
      </c>
      <c r="F1353" s="1241">
        <f t="shared" si="488"/>
        <v>5593</v>
      </c>
      <c r="G1353" s="1240">
        <f t="shared" si="489"/>
        <v>1118.5999999999999</v>
      </c>
      <c r="H1353" s="1228">
        <v>200</v>
      </c>
      <c r="I1353" s="1228" t="s">
        <v>450</v>
      </c>
      <c r="K1353" s="1242">
        <f t="shared" si="486"/>
        <v>0.90909090909090906</v>
      </c>
      <c r="L1353" s="1243">
        <f t="shared" si="490"/>
        <v>5.084545454545454</v>
      </c>
    </row>
    <row r="1354" spans="1:29" ht="31.5" customHeight="1" x14ac:dyDescent="0.25">
      <c r="B1354" s="1220" t="s">
        <v>247</v>
      </c>
      <c r="C1354" s="1228">
        <v>1000</v>
      </c>
      <c r="D1354" s="1244">
        <f>'Prec Materia Prima y Empaq'!$H$7</f>
        <v>50000</v>
      </c>
      <c r="E1354" s="1240">
        <v>0</v>
      </c>
      <c r="F1354" s="1241">
        <f t="shared" si="488"/>
        <v>50000</v>
      </c>
      <c r="G1354" s="1240">
        <f>F1354/C1354*H1354</f>
        <v>32.022471910112351</v>
      </c>
      <c r="H1354" s="1245">
        <v>0.64044943820224698</v>
      </c>
      <c r="I1354" s="1245" t="s">
        <v>453</v>
      </c>
      <c r="K1354" s="1242">
        <f t="shared" ref="K1354" si="491">H1354/$C$1068</f>
        <v>1.5248796147672547E-3</v>
      </c>
      <c r="L1354" s="1243">
        <f t="shared" si="490"/>
        <v>7.6243980738362735E-2</v>
      </c>
      <c r="N1354" s="1220" t="s">
        <v>247</v>
      </c>
      <c r="O1354" s="1247">
        <v>1</v>
      </c>
      <c r="P1354" s="1240">
        <f>$F$391/$C$391*$O$391</f>
        <v>50</v>
      </c>
      <c r="Q1354" s="1248"/>
      <c r="R1354" s="1249" t="e">
        <f>P1354/O1343</f>
        <v>#DIV/0!</v>
      </c>
      <c r="S1354" s="1248" t="e">
        <f>R1354*1000</f>
        <v>#DIV/0!</v>
      </c>
      <c r="T1354" s="1250">
        <f>O1354/$O$380*1000</f>
        <v>2.5641025641025641E-3</v>
      </c>
      <c r="U1354" s="1238">
        <f>T1354*$M$380</f>
        <v>1</v>
      </c>
      <c r="Y1354" s="1238"/>
      <c r="Z1354" s="1238"/>
      <c r="AA1354" s="1251"/>
      <c r="AC1354" s="1252"/>
    </row>
    <row r="1355" spans="1:29" ht="45.75" customHeight="1" x14ac:dyDescent="0.25">
      <c r="B1355" s="1220" t="s">
        <v>494</v>
      </c>
      <c r="C1355" s="1220">
        <v>1</v>
      </c>
      <c r="D1355" s="1244">
        <f>'Prec Materia Prima y Empaq'!$H$141</f>
        <v>1500</v>
      </c>
      <c r="E1355" s="1240">
        <v>0</v>
      </c>
      <c r="F1355" s="1241">
        <f t="shared" ref="F1355:F1356" si="492">+E1355+D1355</f>
        <v>1500</v>
      </c>
      <c r="G1355" s="1253">
        <f>F1355*H1355</f>
        <v>330000</v>
      </c>
      <c r="H1355" s="1245">
        <f>$C$1341</f>
        <v>220</v>
      </c>
      <c r="I1355" s="1228" t="s">
        <v>450</v>
      </c>
      <c r="K1355" s="1242">
        <f t="shared" si="486"/>
        <v>1</v>
      </c>
      <c r="L1355" s="1243">
        <f t="shared" si="490"/>
        <v>1500</v>
      </c>
    </row>
    <row r="1356" spans="1:29" ht="68.25" customHeight="1" x14ac:dyDescent="0.25">
      <c r="A1356" s="1275" t="s">
        <v>754</v>
      </c>
      <c r="B1356" s="1281" t="s">
        <v>723</v>
      </c>
      <c r="C1356" s="1281">
        <v>1</v>
      </c>
      <c r="D1356" s="1283">
        <f>'Prec Materia Prima y Empaq'!$H$198</f>
        <v>0</v>
      </c>
      <c r="E1356" s="1240">
        <v>0</v>
      </c>
      <c r="F1356" s="1241">
        <f t="shared" si="492"/>
        <v>0</v>
      </c>
      <c r="G1356" s="1253">
        <f t="shared" ref="G1356" si="493">F1356*H1356</f>
        <v>0</v>
      </c>
      <c r="H1356" s="1245">
        <f>$C$1341</f>
        <v>220</v>
      </c>
      <c r="I1356" s="1245" t="s">
        <v>453</v>
      </c>
      <c r="K1356" s="1242">
        <f t="shared" si="486"/>
        <v>1</v>
      </c>
      <c r="L1356" s="1243">
        <f t="shared" si="490"/>
        <v>0</v>
      </c>
    </row>
    <row r="1357" spans="1:29" ht="19.5" customHeight="1" thickBot="1" x14ac:dyDescent="0.3">
      <c r="B1357" s="1255"/>
      <c r="C1357" s="857"/>
      <c r="D1357" s="1256"/>
      <c r="E1357" s="1248"/>
      <c r="F1357" s="1257"/>
      <c r="G1357" s="1258">
        <f>SUM(G1347:G1356)/C1341</f>
        <v>1660.4126852301906</v>
      </c>
      <c r="H1357" s="1259" t="s">
        <v>454</v>
      </c>
      <c r="I1357" s="857"/>
      <c r="L1357" s="1260">
        <f>SUM(L1347:L1356)</f>
        <v>1660.3433725204286</v>
      </c>
    </row>
    <row r="1358" spans="1:29" ht="15" customHeight="1" thickTop="1" x14ac:dyDescent="0.25">
      <c r="B1358" s="1261" t="s">
        <v>409</v>
      </c>
      <c r="C1358" s="1262"/>
      <c r="D1358" s="1263">
        <f>+'Gtos Varios'!I14</f>
        <v>3672.93</v>
      </c>
      <c r="E1358" s="1262"/>
      <c r="F1358" s="1264">
        <f t="shared" ref="F1358" si="494">+E1358+D1358</f>
        <v>3672.93</v>
      </c>
      <c r="G1358" s="1265">
        <f>F1358</f>
        <v>3672.93</v>
      </c>
      <c r="H1358" s="1262" t="str">
        <f>B1358</f>
        <v xml:space="preserve">GASTOS VARIOS </v>
      </c>
      <c r="I1358" s="1262"/>
    </row>
    <row r="1359" spans="1:29" ht="15" customHeight="1" x14ac:dyDescent="0.25">
      <c r="B1359" s="1255"/>
      <c r="C1359" s="857"/>
      <c r="D1359" s="1256"/>
      <c r="E1359" s="1248"/>
      <c r="F1359" s="1257"/>
      <c r="G1359" s="1266"/>
      <c r="H1359" s="857"/>
      <c r="I1359" s="857"/>
    </row>
    <row r="1360" spans="1:29" ht="15" customHeight="1" x14ac:dyDescent="0.25">
      <c r="B1360" s="1255"/>
      <c r="C1360" s="857"/>
      <c r="D1360" s="1256"/>
      <c r="E1360" s="1248"/>
      <c r="F1360" s="1257"/>
      <c r="G1360" s="1266"/>
      <c r="H1360" s="857"/>
      <c r="I1360" s="857"/>
    </row>
    <row r="1361" spans="1:12" ht="15" customHeight="1" thickBot="1" x14ac:dyDescent="0.3">
      <c r="F1361" s="1267">
        <f>SUM(F1347:F1356)</f>
        <v>247033.66</v>
      </c>
      <c r="G1361" s="1268">
        <f>SUM(G1357:G1358)</f>
        <v>5333.3426852301909</v>
      </c>
      <c r="H1361" s="733" t="s">
        <v>412</v>
      </c>
    </row>
    <row r="1362" spans="1:12" ht="15" customHeight="1" thickTop="1" x14ac:dyDescent="0.25">
      <c r="G1362" s="1295">
        <f>G1361*64%</f>
        <v>3413.3393185473224</v>
      </c>
      <c r="H1362" s="1274">
        <v>0.64</v>
      </c>
      <c r="I1362" s="733" t="s">
        <v>539</v>
      </c>
    </row>
    <row r="1363" spans="1:12" ht="15" customHeight="1" thickBot="1" x14ac:dyDescent="0.3">
      <c r="G1363" s="1270">
        <f>G1361+G1362</f>
        <v>8746.6820037775142</v>
      </c>
      <c r="H1363" s="733" t="s">
        <v>414</v>
      </c>
    </row>
    <row r="1364" spans="1:12" ht="15" customHeight="1" thickTop="1" x14ac:dyDescent="0.25"/>
    <row r="1368" spans="1:12" ht="15" customHeight="1" x14ac:dyDescent="0.25">
      <c r="B1368" s="1222" t="s">
        <v>61</v>
      </c>
      <c r="C1368" s="1219" t="s">
        <v>169</v>
      </c>
      <c r="D1368" s="733"/>
      <c r="E1368" s="853"/>
      <c r="F1368" s="853"/>
      <c r="G1368" s="853"/>
      <c r="H1368" s="853"/>
    </row>
    <row r="1369" spans="1:12" ht="34.5" customHeight="1" x14ac:dyDescent="0.25">
      <c r="A1369" s="1223" t="s">
        <v>736</v>
      </c>
      <c r="B1369" s="1222" t="s">
        <v>62</v>
      </c>
      <c r="C1369" s="1222" t="str">
        <f>VLOOKUP(C1368,LISTPROD[],2,FALSE)</f>
        <v>PAPA SILVESTRE JARABE 240ML</v>
      </c>
      <c r="D1369" s="1219" t="s">
        <v>486</v>
      </c>
      <c r="E1369" s="858" t="s">
        <v>714</v>
      </c>
      <c r="F1369" s="853"/>
      <c r="G1369" s="853"/>
      <c r="H1369" s="853"/>
    </row>
    <row r="1370" spans="1:12" ht="15" customHeight="1" x14ac:dyDescent="0.25">
      <c r="B1370" s="1222" t="s">
        <v>234</v>
      </c>
      <c r="C1370" s="1219" t="str">
        <f>VLOOKUP(C1368,LISTPROD[],9,FALSE)</f>
        <v>240 ML</v>
      </c>
      <c r="D1370" s="733"/>
      <c r="E1370" s="853"/>
      <c r="F1370" s="853"/>
      <c r="G1370" s="853"/>
      <c r="H1370" s="853"/>
    </row>
    <row r="1371" spans="1:12" ht="15" customHeight="1" x14ac:dyDescent="0.25">
      <c r="B1371" s="1222" t="s">
        <v>239</v>
      </c>
      <c r="C1371" s="1224">
        <v>840</v>
      </c>
      <c r="D1371" s="1218"/>
      <c r="E1371" s="853"/>
      <c r="F1371" s="853"/>
      <c r="G1371" s="853"/>
      <c r="H1371" s="853"/>
    </row>
    <row r="1372" spans="1:12" ht="15" customHeight="1" x14ac:dyDescent="0.25">
      <c r="B1372" s="1222" t="s">
        <v>240</v>
      </c>
      <c r="C1372" s="1219"/>
      <c r="D1372" s="733"/>
    </row>
    <row r="1373" spans="1:12" ht="15" customHeight="1" x14ac:dyDescent="0.25">
      <c r="B1373" s="1222" t="s">
        <v>238</v>
      </c>
      <c r="C1373" s="733" t="s">
        <v>56</v>
      </c>
      <c r="D1373" s="1218" t="s">
        <v>449</v>
      </c>
    </row>
    <row r="1374" spans="1:12" ht="15" customHeight="1" x14ac:dyDescent="0.25">
      <c r="B1374" s="1225" t="s">
        <v>410</v>
      </c>
      <c r="C1374" s="1305">
        <v>240</v>
      </c>
      <c r="D1374" s="1226"/>
    </row>
    <row r="1375" spans="1:12" ht="15" customHeight="1" x14ac:dyDescent="0.25">
      <c r="A1375" s="1227"/>
      <c r="B1375" s="1436" t="s">
        <v>404</v>
      </c>
      <c r="C1375" s="1436"/>
      <c r="D1375" s="1436"/>
      <c r="E1375" s="1436"/>
      <c r="F1375" s="1436"/>
      <c r="G1375" s="1228"/>
      <c r="H1375" s="1437" t="s">
        <v>416</v>
      </c>
      <c r="I1375" s="1438"/>
    </row>
    <row r="1376" spans="1:12" ht="43.5" customHeight="1" x14ac:dyDescent="0.25">
      <c r="A1376" s="1229"/>
      <c r="B1376" s="1230" t="s">
        <v>398</v>
      </c>
      <c r="C1376" s="1231" t="s">
        <v>441</v>
      </c>
      <c r="D1376" s="1232" t="s">
        <v>399</v>
      </c>
      <c r="E1376" s="1233" t="s">
        <v>402</v>
      </c>
      <c r="F1376" s="1232" t="s">
        <v>399</v>
      </c>
      <c r="G1376" s="1232" t="s">
        <v>411</v>
      </c>
      <c r="H1376" s="1234" t="s">
        <v>408</v>
      </c>
      <c r="I1376" s="1235" t="s">
        <v>415</v>
      </c>
      <c r="K1376" s="1236" t="s">
        <v>603</v>
      </c>
      <c r="L1376" s="1237" t="s">
        <v>604</v>
      </c>
    </row>
    <row r="1377" spans="1:29" ht="15" customHeight="1" x14ac:dyDescent="0.25">
      <c r="A1377" s="1238"/>
      <c r="B1377" s="1228" t="s">
        <v>248</v>
      </c>
      <c r="C1377" s="1228">
        <v>1000</v>
      </c>
      <c r="D1377" s="1239">
        <f>'Prec Materia Prima y Empaq'!$H$21</f>
        <v>15400</v>
      </c>
      <c r="E1377" s="1240">
        <f>D1377*19%</f>
        <v>2926</v>
      </c>
      <c r="F1377" s="1241">
        <f>+E1377+D1377</f>
        <v>18326</v>
      </c>
      <c r="G1377" s="1240">
        <f>F1377/C1377*H1377</f>
        <v>10995.6</v>
      </c>
      <c r="H1377" s="1242">
        <v>600</v>
      </c>
      <c r="I1377" s="1228" t="s">
        <v>450</v>
      </c>
      <c r="K1377" s="1242">
        <f>H1377/$C$1371</f>
        <v>0.7142857142857143</v>
      </c>
      <c r="L1377" s="1243">
        <f>F1377/C1377*K1377</f>
        <v>13.09</v>
      </c>
    </row>
    <row r="1378" spans="1:29" ht="15" customHeight="1" x14ac:dyDescent="0.25">
      <c r="A1378" s="1238"/>
      <c r="B1378" s="1228" t="s">
        <v>443</v>
      </c>
      <c r="C1378" s="1228">
        <v>1000</v>
      </c>
      <c r="D1378" s="1239">
        <f>'Prec Materia Prima y Empaq'!$H$11</f>
        <v>8000</v>
      </c>
      <c r="E1378" s="1240">
        <f t="shared" ref="E1378:E1384" si="495">D1378*19%</f>
        <v>1520</v>
      </c>
      <c r="F1378" s="1241">
        <f t="shared" ref="F1378:F1388" si="496">+E1378+D1378</f>
        <v>9520</v>
      </c>
      <c r="G1378" s="1240">
        <f>F1378/C1378*H1378</f>
        <v>5712</v>
      </c>
      <c r="H1378" s="1242">
        <v>600</v>
      </c>
      <c r="I1378" s="1228" t="s">
        <v>450</v>
      </c>
      <c r="K1378" s="1242">
        <f t="shared" ref="K1378:K1388" si="497">H1378/$C$1371</f>
        <v>0.7142857142857143</v>
      </c>
      <c r="L1378" s="1243">
        <f t="shared" ref="L1378:L1388" si="498">F1378/C1378*K1378</f>
        <v>6.8</v>
      </c>
    </row>
    <row r="1379" spans="1:29" ht="15" customHeight="1" x14ac:dyDescent="0.25">
      <c r="A1379" s="1238"/>
      <c r="B1379" s="1228" t="s">
        <v>253</v>
      </c>
      <c r="C1379" s="1228">
        <v>1000</v>
      </c>
      <c r="D1379" s="1239">
        <f>'Prec Materia Prima y Empaq'!$H$9</f>
        <v>5400</v>
      </c>
      <c r="E1379" s="1240">
        <f t="shared" si="495"/>
        <v>1026</v>
      </c>
      <c r="F1379" s="1241">
        <f t="shared" si="496"/>
        <v>6426</v>
      </c>
      <c r="G1379" s="1240">
        <f t="shared" ref="G1379:G1384" si="499">F1379/C1379*H1379</f>
        <v>1285.2</v>
      </c>
      <c r="H1379" s="1242">
        <v>200</v>
      </c>
      <c r="I1379" s="1228" t="s">
        <v>450</v>
      </c>
      <c r="K1379" s="1242">
        <f t="shared" si="497"/>
        <v>0.23809523809523808</v>
      </c>
      <c r="L1379" s="1243">
        <f t="shared" si="498"/>
        <v>1.53</v>
      </c>
    </row>
    <row r="1380" spans="1:29" ht="15" customHeight="1" x14ac:dyDescent="0.25">
      <c r="A1380" s="1238"/>
      <c r="B1380" s="1306" t="s">
        <v>294</v>
      </c>
      <c r="C1380" s="1228">
        <v>1000</v>
      </c>
      <c r="D1380" s="1239">
        <f>'Prec Materia Prima y Empaq'!$H$45</f>
        <v>53393</v>
      </c>
      <c r="E1380" s="1240">
        <f t="shared" si="495"/>
        <v>10144.67</v>
      </c>
      <c r="F1380" s="1241">
        <f t="shared" si="496"/>
        <v>63537.67</v>
      </c>
      <c r="G1380" s="1240">
        <f t="shared" si="499"/>
        <v>6353.7669999999998</v>
      </c>
      <c r="H1380" s="1242">
        <v>100</v>
      </c>
      <c r="I1380" s="1228" t="s">
        <v>450</v>
      </c>
      <c r="K1380" s="1242">
        <f t="shared" si="497"/>
        <v>0.11904761904761904</v>
      </c>
      <c r="L1380" s="1243">
        <f t="shared" si="498"/>
        <v>7.5640083333333328</v>
      </c>
    </row>
    <row r="1381" spans="1:29" ht="15" customHeight="1" x14ac:dyDescent="0.25">
      <c r="A1381" s="1238"/>
      <c r="B1381" s="1228" t="s">
        <v>261</v>
      </c>
      <c r="C1381" s="1228">
        <v>1000</v>
      </c>
      <c r="D1381" s="1239">
        <f>'Prec Materia Prima y Empaq'!$H$12</f>
        <v>4700</v>
      </c>
      <c r="E1381" s="1240">
        <f t="shared" si="495"/>
        <v>893</v>
      </c>
      <c r="F1381" s="1241">
        <f t="shared" si="496"/>
        <v>5593</v>
      </c>
      <c r="G1381" s="1240">
        <f t="shared" si="499"/>
        <v>1118.5999999999999</v>
      </c>
      <c r="H1381" s="1242">
        <v>200</v>
      </c>
      <c r="I1381" s="1228" t="s">
        <v>450</v>
      </c>
      <c r="K1381" s="1242">
        <f t="shared" si="497"/>
        <v>0.23809523809523808</v>
      </c>
      <c r="L1381" s="1243">
        <f t="shared" si="498"/>
        <v>1.3316666666666666</v>
      </c>
    </row>
    <row r="1382" spans="1:29" ht="15" customHeight="1" x14ac:dyDescent="0.25">
      <c r="A1382" s="1238"/>
      <c r="B1382" s="1228" t="s">
        <v>246</v>
      </c>
      <c r="C1382" s="1228">
        <v>1000</v>
      </c>
      <c r="D1382" s="1239">
        <f>'Prec Materia Prima y Empaq'!$H$41</f>
        <v>80268</v>
      </c>
      <c r="E1382" s="1240">
        <f t="shared" si="495"/>
        <v>15250.92</v>
      </c>
      <c r="F1382" s="1241">
        <f t="shared" si="496"/>
        <v>95518.92</v>
      </c>
      <c r="G1382" s="1240">
        <f t="shared" si="499"/>
        <v>286.55676</v>
      </c>
      <c r="H1382" s="1242">
        <v>3</v>
      </c>
      <c r="I1382" s="1228" t="s">
        <v>450</v>
      </c>
      <c r="K1382" s="1242">
        <f t="shared" si="497"/>
        <v>3.5714285714285713E-3</v>
      </c>
      <c r="L1382" s="1243">
        <f t="shared" si="498"/>
        <v>0.34113899999999997</v>
      </c>
    </row>
    <row r="1383" spans="1:29" ht="15" customHeight="1" x14ac:dyDescent="0.25">
      <c r="A1383" s="1238"/>
      <c r="B1383" s="1228" t="s">
        <v>251</v>
      </c>
      <c r="C1383" s="1228">
        <v>1000</v>
      </c>
      <c r="D1383" s="1239">
        <f>'Prec Materia Prima y Empaq'!$H$26</f>
        <v>45404</v>
      </c>
      <c r="E1383" s="1240">
        <f t="shared" si="495"/>
        <v>8626.76</v>
      </c>
      <c r="F1383" s="1241">
        <f t="shared" si="496"/>
        <v>54030.76</v>
      </c>
      <c r="G1383" s="1240">
        <f t="shared" si="499"/>
        <v>10806.152</v>
      </c>
      <c r="H1383" s="1242">
        <v>200</v>
      </c>
      <c r="I1383" s="1228" t="s">
        <v>450</v>
      </c>
      <c r="K1383" s="1242">
        <f t="shared" si="497"/>
        <v>0.23809523809523808</v>
      </c>
      <c r="L1383" s="1243">
        <f t="shared" si="498"/>
        <v>12.864466666666667</v>
      </c>
    </row>
    <row r="1384" spans="1:29" ht="15" customHeight="1" x14ac:dyDescent="0.25">
      <c r="A1384" s="1238"/>
      <c r="B1384" s="1228" t="s">
        <v>382</v>
      </c>
      <c r="C1384" s="1228">
        <v>3785</v>
      </c>
      <c r="D1384" s="1239">
        <f>'Prec Materia Prima y Empaq'!$H$18</f>
        <v>24</v>
      </c>
      <c r="E1384" s="1240">
        <f t="shared" si="495"/>
        <v>4.5600000000000005</v>
      </c>
      <c r="F1384" s="1241">
        <f t="shared" si="496"/>
        <v>28.560000000000002</v>
      </c>
      <c r="G1384" s="1240">
        <f t="shared" si="499"/>
        <v>0.37727873183619554</v>
      </c>
      <c r="H1384" s="1242">
        <v>50</v>
      </c>
      <c r="I1384" s="1228" t="s">
        <v>450</v>
      </c>
      <c r="K1384" s="1242">
        <f t="shared" si="497"/>
        <v>5.9523809523809521E-2</v>
      </c>
      <c r="L1384" s="1243">
        <f t="shared" si="498"/>
        <v>4.491413474240423E-4</v>
      </c>
    </row>
    <row r="1385" spans="1:29" ht="31.5" customHeight="1" x14ac:dyDescent="0.25">
      <c r="B1385" s="1220" t="s">
        <v>247</v>
      </c>
      <c r="C1385" s="1228">
        <v>1000</v>
      </c>
      <c r="D1385" s="1244">
        <f>'Prec Materia Prima y Empaq'!$H$7</f>
        <v>50000</v>
      </c>
      <c r="E1385" s="1240">
        <v>0</v>
      </c>
      <c r="F1385" s="1241">
        <f t="shared" si="496"/>
        <v>50000</v>
      </c>
      <c r="G1385" s="1240">
        <f>F1385/C1385*H1385</f>
        <v>32.022471910112351</v>
      </c>
      <c r="H1385" s="1245">
        <v>0.64044943820224698</v>
      </c>
      <c r="I1385" s="1245" t="s">
        <v>453</v>
      </c>
      <c r="K1385" s="1242">
        <f t="shared" si="497"/>
        <v>7.6243980738362736E-4</v>
      </c>
      <c r="L1385" s="1243">
        <f t="shared" si="498"/>
        <v>3.8121990369181367E-2</v>
      </c>
      <c r="N1385" s="1220" t="s">
        <v>247</v>
      </c>
      <c r="O1385" s="1247">
        <v>1</v>
      </c>
      <c r="P1385" s="1240">
        <f>$F$391/$C$391*$O$391</f>
        <v>50</v>
      </c>
      <c r="Q1385" s="1248"/>
      <c r="R1385" s="1249" t="e">
        <f>P1385/O1374</f>
        <v>#DIV/0!</v>
      </c>
      <c r="S1385" s="1248" t="e">
        <f>R1385*1000</f>
        <v>#DIV/0!</v>
      </c>
      <c r="T1385" s="1250">
        <f>O1385/$O$380*1000</f>
        <v>2.5641025641025641E-3</v>
      </c>
      <c r="U1385" s="1238">
        <f>T1385*$M$380</f>
        <v>1</v>
      </c>
      <c r="Y1385" s="1238"/>
      <c r="Z1385" s="1238"/>
      <c r="AA1385" s="1251"/>
      <c r="AC1385" s="1252"/>
    </row>
    <row r="1386" spans="1:29" ht="30.75" customHeight="1" x14ac:dyDescent="0.25">
      <c r="B1386" s="1220" t="s">
        <v>734</v>
      </c>
      <c r="C1386" s="1220">
        <v>1</v>
      </c>
      <c r="D1386" s="1272">
        <f>'Prec Materia Prima y Empaq'!$H$146</f>
        <v>350</v>
      </c>
      <c r="E1386" s="1240">
        <v>0</v>
      </c>
      <c r="F1386" s="1241">
        <f t="shared" si="496"/>
        <v>350</v>
      </c>
      <c r="G1386" s="1253">
        <f>F1386*H1386</f>
        <v>294000</v>
      </c>
      <c r="H1386" s="1245">
        <f>$C$1371</f>
        <v>840</v>
      </c>
      <c r="I1386" s="1245" t="s">
        <v>453</v>
      </c>
      <c r="K1386" s="1242">
        <f t="shared" si="497"/>
        <v>1</v>
      </c>
      <c r="L1386" s="1243">
        <f t="shared" si="498"/>
        <v>350</v>
      </c>
    </row>
    <row r="1387" spans="1:29" ht="28.5" customHeight="1" x14ac:dyDescent="0.25">
      <c r="B1387" s="1220" t="s">
        <v>735</v>
      </c>
      <c r="C1387" s="1220">
        <v>1</v>
      </c>
      <c r="D1387" s="1272">
        <f>'Prec Materia Prima y Empaq'!$H$148</f>
        <v>70</v>
      </c>
      <c r="E1387" s="1240">
        <v>0</v>
      </c>
      <c r="F1387" s="1241">
        <f t="shared" si="496"/>
        <v>70</v>
      </c>
      <c r="G1387" s="1253">
        <f t="shared" ref="G1387:G1388" si="500">F1387*H1387</f>
        <v>58800</v>
      </c>
      <c r="H1387" s="1245">
        <f>$C$1371</f>
        <v>840</v>
      </c>
      <c r="I1387" s="1245" t="s">
        <v>453</v>
      </c>
      <c r="K1387" s="1242">
        <f t="shared" si="497"/>
        <v>1</v>
      </c>
      <c r="L1387" s="1243">
        <f t="shared" si="498"/>
        <v>70</v>
      </c>
    </row>
    <row r="1388" spans="1:29" ht="42.75" customHeight="1" x14ac:dyDescent="0.25">
      <c r="B1388" s="1220" t="s">
        <v>1064</v>
      </c>
      <c r="C1388" s="1245">
        <v>1</v>
      </c>
      <c r="D1388" s="1244">
        <f>'Prec Materia Prima y Empaq'!$H$152</f>
        <v>100</v>
      </c>
      <c r="E1388" s="1240">
        <v>0</v>
      </c>
      <c r="F1388" s="1241">
        <f t="shared" si="496"/>
        <v>100</v>
      </c>
      <c r="G1388" s="1253">
        <f t="shared" si="500"/>
        <v>84000</v>
      </c>
      <c r="H1388" s="1245">
        <f>$C$1371</f>
        <v>840</v>
      </c>
      <c r="I1388" s="1245" t="s">
        <v>453</v>
      </c>
      <c r="K1388" s="1242">
        <f t="shared" si="497"/>
        <v>1</v>
      </c>
      <c r="L1388" s="1243">
        <f t="shared" si="498"/>
        <v>100</v>
      </c>
    </row>
    <row r="1389" spans="1:29" ht="19.5" customHeight="1" thickBot="1" x14ac:dyDescent="0.3">
      <c r="B1389" s="1255"/>
      <c r="C1389" s="857"/>
      <c r="D1389" s="1256"/>
      <c r="E1389" s="1248"/>
      <c r="F1389" s="1257"/>
      <c r="G1389" s="1258">
        <f>SUM(G1377:G1388)/C1371</f>
        <v>563.55985179838319</v>
      </c>
      <c r="H1389" s="1259" t="s">
        <v>454</v>
      </c>
      <c r="I1389" s="857"/>
      <c r="L1389" s="1260">
        <f>SUM(L1377:L1388)</f>
        <v>563.55985179838331</v>
      </c>
    </row>
    <row r="1390" spans="1:29" ht="15" customHeight="1" thickTop="1" x14ac:dyDescent="0.25">
      <c r="B1390" s="1261" t="s">
        <v>409</v>
      </c>
      <c r="C1390" s="1262"/>
      <c r="D1390" s="1263">
        <f>+'Gtos Varios'!I14</f>
        <v>3672.93</v>
      </c>
      <c r="E1390" s="1262"/>
      <c r="F1390" s="1264">
        <f t="shared" ref="F1390" si="501">+E1390+D1390</f>
        <v>3672.93</v>
      </c>
      <c r="G1390" s="1265">
        <f>F1390</f>
        <v>3672.93</v>
      </c>
      <c r="H1390" s="1262" t="str">
        <f>B1390</f>
        <v xml:space="preserve">GASTOS VARIOS </v>
      </c>
      <c r="I1390" s="857"/>
    </row>
    <row r="1391" spans="1:29" ht="15" customHeight="1" x14ac:dyDescent="0.25">
      <c r="B1391" s="1255"/>
      <c r="C1391" s="857"/>
      <c r="D1391" s="1256"/>
      <c r="E1391" s="1248"/>
      <c r="F1391" s="1257"/>
      <c r="G1391" s="1266"/>
      <c r="H1391" s="857"/>
      <c r="I1391" s="857"/>
    </row>
    <row r="1392" spans="1:29" ht="15" customHeight="1" x14ac:dyDescent="0.25">
      <c r="B1392" s="1255"/>
      <c r="C1392" s="857"/>
      <c r="D1392" s="1256"/>
      <c r="E1392" s="1248"/>
      <c r="F1392" s="1257"/>
      <c r="G1392" s="1266"/>
      <c r="H1392" s="857"/>
      <c r="I1392" s="857"/>
    </row>
    <row r="1393" spans="1:12" ht="15" customHeight="1" thickBot="1" x14ac:dyDescent="0.3">
      <c r="F1393" s="1267">
        <f>SUM(F1377:F1388)</f>
        <v>303500.91000000003</v>
      </c>
      <c r="G1393" s="1268">
        <f>SUM(G1389:G1390)</f>
        <v>4236.4898517983829</v>
      </c>
      <c r="H1393" s="733" t="s">
        <v>412</v>
      </c>
    </row>
    <row r="1394" spans="1:12" ht="15" customHeight="1" thickTop="1" x14ac:dyDescent="0.25">
      <c r="G1394" s="1307">
        <f>G1393*83%</f>
        <v>3516.2865769926575</v>
      </c>
      <c r="H1394" s="1269">
        <v>0.83</v>
      </c>
      <c r="I1394" s="733" t="s">
        <v>539</v>
      </c>
    </row>
    <row r="1395" spans="1:12" ht="15" customHeight="1" thickBot="1" x14ac:dyDescent="0.3">
      <c r="G1395" s="1270">
        <f>G1393+G1394</f>
        <v>7752.7764287910404</v>
      </c>
      <c r="H1395" s="733" t="s">
        <v>414</v>
      </c>
    </row>
    <row r="1396" spans="1:12" ht="15" customHeight="1" thickTop="1" x14ac:dyDescent="0.25">
      <c r="G1396" s="1258"/>
    </row>
    <row r="1397" spans="1:12" ht="15" customHeight="1" x14ac:dyDescent="0.25">
      <c r="G1397" s="1258"/>
    </row>
    <row r="1398" spans="1:12" ht="15" customHeight="1" x14ac:dyDescent="0.25">
      <c r="G1398" s="1258"/>
    </row>
    <row r="1400" spans="1:12" ht="15" customHeight="1" x14ac:dyDescent="0.25">
      <c r="B1400" s="1222" t="s">
        <v>61</v>
      </c>
      <c r="C1400" s="1219" t="s">
        <v>171</v>
      </c>
      <c r="D1400" s="733"/>
      <c r="E1400" s="853"/>
      <c r="F1400" s="853"/>
      <c r="G1400" s="853"/>
      <c r="H1400" s="853"/>
    </row>
    <row r="1401" spans="1:12" ht="48.75" customHeight="1" x14ac:dyDescent="0.25">
      <c r="A1401" s="1308"/>
      <c r="B1401" s="1222" t="s">
        <v>62</v>
      </c>
      <c r="C1401" s="1222" t="str">
        <f>VLOOKUP(C1400,LISTPROD[],2,FALSE)</f>
        <v>PAPA SILVESTRE POLVO (500 gr)</v>
      </c>
      <c r="D1401" s="1219" t="s">
        <v>486</v>
      </c>
      <c r="E1401" s="858" t="s">
        <v>714</v>
      </c>
      <c r="F1401" s="853"/>
      <c r="G1401" s="853"/>
      <c r="H1401" s="853"/>
    </row>
    <row r="1402" spans="1:12" ht="15" customHeight="1" x14ac:dyDescent="0.25">
      <c r="B1402" s="1222" t="s">
        <v>234</v>
      </c>
      <c r="C1402" s="1219" t="str">
        <f>VLOOKUP(C1400,LISTPROD[],9,FALSE)</f>
        <v>500 ML</v>
      </c>
      <c r="D1402" s="733"/>
      <c r="E1402" s="853"/>
      <c r="F1402" s="853"/>
      <c r="G1402" s="853"/>
      <c r="H1402" s="853"/>
    </row>
    <row r="1403" spans="1:12" ht="15" customHeight="1" x14ac:dyDescent="0.25">
      <c r="B1403" s="1222" t="s">
        <v>239</v>
      </c>
      <c r="C1403" s="1309"/>
      <c r="D1403" s="1218"/>
      <c r="E1403" s="853"/>
      <c r="F1403" s="853"/>
      <c r="G1403" s="853"/>
      <c r="H1403" s="853"/>
    </row>
    <row r="1404" spans="1:12" ht="15" customHeight="1" x14ac:dyDescent="0.25">
      <c r="B1404" s="1222" t="s">
        <v>240</v>
      </c>
      <c r="C1404" s="1219"/>
      <c r="D1404" s="733"/>
    </row>
    <row r="1405" spans="1:12" ht="15" customHeight="1" x14ac:dyDescent="0.25">
      <c r="B1405" s="1222" t="s">
        <v>238</v>
      </c>
      <c r="C1405" s="733" t="s">
        <v>56</v>
      </c>
      <c r="D1405" s="1259" t="s">
        <v>473</v>
      </c>
    </row>
    <row r="1406" spans="1:12" ht="15" customHeight="1" x14ac:dyDescent="0.25">
      <c r="B1406" s="1225" t="s">
        <v>410</v>
      </c>
      <c r="C1406" s="1305">
        <v>240</v>
      </c>
      <c r="D1406" s="1226"/>
    </row>
    <row r="1407" spans="1:12" ht="15" customHeight="1" x14ac:dyDescent="0.25">
      <c r="A1407" s="1227"/>
      <c r="B1407" s="1436" t="s">
        <v>404</v>
      </c>
      <c r="C1407" s="1436"/>
      <c r="D1407" s="1436"/>
      <c r="E1407" s="1436"/>
      <c r="F1407" s="1436"/>
      <c r="G1407" s="1228"/>
      <c r="H1407" s="1437" t="s">
        <v>416</v>
      </c>
      <c r="I1407" s="1438"/>
    </row>
    <row r="1408" spans="1:12" ht="43.5" customHeight="1" x14ac:dyDescent="0.25">
      <c r="A1408" s="1229"/>
      <c r="B1408" s="1230" t="s">
        <v>398</v>
      </c>
      <c r="C1408" s="1231" t="s">
        <v>441</v>
      </c>
      <c r="D1408" s="1232" t="s">
        <v>399</v>
      </c>
      <c r="E1408" s="1233" t="s">
        <v>402</v>
      </c>
      <c r="F1408" s="1232" t="s">
        <v>399</v>
      </c>
      <c r="G1408" s="1232" t="s">
        <v>411</v>
      </c>
      <c r="H1408" s="1234" t="s">
        <v>408</v>
      </c>
      <c r="I1408" s="1235" t="s">
        <v>415</v>
      </c>
      <c r="K1408" s="1236" t="s">
        <v>603</v>
      </c>
      <c r="L1408" s="1237" t="s">
        <v>604</v>
      </c>
    </row>
    <row r="1409" spans="1:12" ht="21" customHeight="1" x14ac:dyDescent="0.25">
      <c r="A1409" s="1238"/>
      <c r="B1409" s="1306" t="s">
        <v>1065</v>
      </c>
      <c r="C1409" s="1228">
        <v>1000</v>
      </c>
      <c r="D1409" s="1310"/>
      <c r="E1409" s="1240">
        <f>D1409*19%</f>
        <v>0</v>
      </c>
      <c r="F1409" s="1241">
        <f>+E1409+D1409</f>
        <v>0</v>
      </c>
      <c r="G1409" s="1240">
        <f>F1409/C1409*H1409</f>
        <v>0</v>
      </c>
      <c r="H1409" s="1242">
        <f>(50*1000)</f>
        <v>50000</v>
      </c>
      <c r="I1409" s="1228" t="s">
        <v>450</v>
      </c>
      <c r="K1409" s="1242">
        <f>H1409/$C$1371</f>
        <v>59.523809523809526</v>
      </c>
      <c r="L1409" s="1243">
        <f>F1409/C1409*K1409</f>
        <v>0</v>
      </c>
    </row>
    <row r="1410" spans="1:12" ht="19.5" customHeight="1" x14ac:dyDescent="0.25">
      <c r="A1410" s="1238"/>
      <c r="B1410" s="1306" t="s">
        <v>1066</v>
      </c>
      <c r="C1410" s="1228">
        <v>1000</v>
      </c>
      <c r="D1410" s="1310"/>
      <c r="E1410" s="1240">
        <f t="shared" ref="E1410:E1411" si="502">D1410*19%</f>
        <v>0</v>
      </c>
      <c r="F1410" s="1241">
        <f t="shared" ref="F1410:F1414" si="503">+E1410+D1410</f>
        <v>0</v>
      </c>
      <c r="G1410" s="1240">
        <f t="shared" ref="G1410:G1411" si="504">F1410/C1410*H1410</f>
        <v>0</v>
      </c>
      <c r="H1410" s="1242">
        <v>2500</v>
      </c>
      <c r="I1410" s="1228" t="s">
        <v>450</v>
      </c>
      <c r="K1410" s="1242">
        <f t="shared" ref="K1410:K1414" si="505">H1410/$C$1371</f>
        <v>2.9761904761904763</v>
      </c>
      <c r="L1410" s="1243">
        <f t="shared" ref="L1410:L1414" si="506">F1410/C1410*K1410</f>
        <v>0</v>
      </c>
    </row>
    <row r="1411" spans="1:12" ht="23.25" customHeight="1" x14ac:dyDescent="0.25">
      <c r="A1411" s="1238"/>
      <c r="B1411" s="1306" t="s">
        <v>1067</v>
      </c>
      <c r="C1411" s="1228">
        <v>1000</v>
      </c>
      <c r="D1411" s="1310"/>
      <c r="E1411" s="1240">
        <f t="shared" si="502"/>
        <v>0</v>
      </c>
      <c r="F1411" s="1241">
        <f t="shared" si="503"/>
        <v>0</v>
      </c>
      <c r="G1411" s="1240">
        <f t="shared" si="504"/>
        <v>0</v>
      </c>
      <c r="H1411" s="1242">
        <v>2500</v>
      </c>
      <c r="I1411" s="1228" t="s">
        <v>450</v>
      </c>
      <c r="K1411" s="1242">
        <f t="shared" si="505"/>
        <v>2.9761904761904763</v>
      </c>
      <c r="L1411" s="1243">
        <f t="shared" si="506"/>
        <v>0</v>
      </c>
    </row>
    <row r="1412" spans="1:12" ht="30.75" customHeight="1" x14ac:dyDescent="0.25">
      <c r="B1412" s="1220" t="s">
        <v>1068</v>
      </c>
      <c r="C1412" s="1220">
        <v>1</v>
      </c>
      <c r="D1412" s="1272">
        <f>'Prec Materia Prima y Empaq'!$H$146</f>
        <v>350</v>
      </c>
      <c r="E1412" s="1240">
        <v>0</v>
      </c>
      <c r="F1412" s="1241">
        <f t="shared" si="503"/>
        <v>350</v>
      </c>
      <c r="G1412" s="1253">
        <f>F1412*H1412</f>
        <v>0</v>
      </c>
      <c r="H1412" s="1311">
        <f>$C$1403</f>
        <v>0</v>
      </c>
      <c r="I1412" s="1245" t="s">
        <v>453</v>
      </c>
      <c r="K1412" s="1242">
        <f t="shared" si="505"/>
        <v>0</v>
      </c>
      <c r="L1412" s="1243">
        <f t="shared" si="506"/>
        <v>0</v>
      </c>
    </row>
    <row r="1413" spans="1:12" ht="28.5" customHeight="1" x14ac:dyDescent="0.25">
      <c r="B1413" s="1220" t="s">
        <v>735</v>
      </c>
      <c r="C1413" s="1220">
        <v>1</v>
      </c>
      <c r="D1413" s="1272">
        <f>'Prec Materia Prima y Empaq'!$H$148</f>
        <v>70</v>
      </c>
      <c r="E1413" s="1240">
        <v>0</v>
      </c>
      <c r="F1413" s="1241">
        <f t="shared" si="503"/>
        <v>70</v>
      </c>
      <c r="G1413" s="1253">
        <f t="shared" ref="G1413:G1414" si="507">F1413*H1413</f>
        <v>0</v>
      </c>
      <c r="H1413" s="1311">
        <f>H1412</f>
        <v>0</v>
      </c>
      <c r="I1413" s="1245" t="s">
        <v>453</v>
      </c>
      <c r="K1413" s="1242">
        <f t="shared" si="505"/>
        <v>0</v>
      </c>
      <c r="L1413" s="1243">
        <f t="shared" si="506"/>
        <v>0</v>
      </c>
    </row>
    <row r="1414" spans="1:12" ht="42.75" customHeight="1" x14ac:dyDescent="0.25">
      <c r="B1414" s="1220" t="s">
        <v>1064</v>
      </c>
      <c r="C1414" s="1245">
        <v>1</v>
      </c>
      <c r="D1414" s="1244">
        <f>'Prec Materia Prima y Empaq'!$H$152</f>
        <v>100</v>
      </c>
      <c r="E1414" s="1240">
        <v>0</v>
      </c>
      <c r="F1414" s="1241">
        <f t="shared" si="503"/>
        <v>100</v>
      </c>
      <c r="G1414" s="1253">
        <f t="shared" si="507"/>
        <v>0</v>
      </c>
      <c r="H1414" s="1311">
        <f>H1412</f>
        <v>0</v>
      </c>
      <c r="I1414" s="1245" t="s">
        <v>453</v>
      </c>
      <c r="K1414" s="1242">
        <f t="shared" si="505"/>
        <v>0</v>
      </c>
      <c r="L1414" s="1243">
        <f t="shared" si="506"/>
        <v>0</v>
      </c>
    </row>
    <row r="1415" spans="1:12" ht="19.5" customHeight="1" thickBot="1" x14ac:dyDescent="0.3">
      <c r="B1415" s="1255"/>
      <c r="C1415" s="857"/>
      <c r="D1415" s="1256"/>
      <c r="E1415" s="1248"/>
      <c r="F1415" s="1257"/>
      <c r="G1415" s="1258" t="e">
        <f>SUM(G1409:G1414)/C1403</f>
        <v>#DIV/0!</v>
      </c>
      <c r="H1415" s="1259" t="s">
        <v>454</v>
      </c>
      <c r="I1415" s="857"/>
      <c r="L1415" s="1260">
        <f>SUM(L1409:L1414)</f>
        <v>0</v>
      </c>
    </row>
    <row r="1416" spans="1:12" ht="15" customHeight="1" thickTop="1" x14ac:dyDescent="0.25">
      <c r="B1416" s="1261" t="s">
        <v>409</v>
      </c>
      <c r="C1416" s="1262"/>
      <c r="D1416" s="1263">
        <f>+'Gtos Varios'!I14</f>
        <v>3672.93</v>
      </c>
      <c r="E1416" s="1262"/>
      <c r="F1416" s="1264">
        <f t="shared" ref="F1416" si="508">+E1416+D1416</f>
        <v>3672.93</v>
      </c>
      <c r="G1416" s="1265">
        <f>F1416</f>
        <v>3672.93</v>
      </c>
      <c r="H1416" s="1262" t="str">
        <f>B1416</f>
        <v xml:space="preserve">GASTOS VARIOS </v>
      </c>
      <c r="I1416" s="857"/>
    </row>
    <row r="1417" spans="1:12" ht="15" customHeight="1" x14ac:dyDescent="0.25">
      <c r="B1417" s="1255"/>
      <c r="C1417" s="857"/>
      <c r="D1417" s="1256"/>
      <c r="E1417" s="1248"/>
      <c r="F1417" s="1257"/>
      <c r="G1417" s="1266"/>
      <c r="H1417" s="857"/>
      <c r="I1417" s="857"/>
    </row>
    <row r="1418" spans="1:12" ht="15" customHeight="1" x14ac:dyDescent="0.25">
      <c r="B1418" s="1255"/>
      <c r="C1418" s="857"/>
      <c r="D1418" s="1256"/>
      <c r="E1418" s="1248"/>
      <c r="F1418" s="1257"/>
      <c r="G1418" s="1266"/>
      <c r="H1418" s="857"/>
      <c r="I1418" s="857"/>
    </row>
    <row r="1419" spans="1:12" ht="15" customHeight="1" thickBot="1" x14ac:dyDescent="0.3">
      <c r="F1419" s="1267">
        <f>SUM(F1409:F1414)</f>
        <v>520</v>
      </c>
      <c r="G1419" s="1268" t="e">
        <f>SUM(G1415:G1416)</f>
        <v>#DIV/0!</v>
      </c>
      <c r="H1419" s="733" t="s">
        <v>412</v>
      </c>
    </row>
    <row r="1420" spans="1:12" ht="15" customHeight="1" thickTop="1" x14ac:dyDescent="0.25">
      <c r="G1420" s="1307" t="e">
        <f>G1419*49%</f>
        <v>#DIV/0!</v>
      </c>
      <c r="H1420" s="1269">
        <v>0.49</v>
      </c>
      <c r="I1420" s="733" t="s">
        <v>539</v>
      </c>
    </row>
    <row r="1421" spans="1:12" ht="15" customHeight="1" thickBot="1" x14ac:dyDescent="0.3">
      <c r="G1421" s="1270" t="e">
        <f>G1419+G1420</f>
        <v>#DIV/0!</v>
      </c>
      <c r="H1421" s="733" t="s">
        <v>414</v>
      </c>
    </row>
    <row r="1422" spans="1:12" ht="15" customHeight="1" thickTop="1" x14ac:dyDescent="0.25">
      <c r="G1422" s="1258"/>
    </row>
    <row r="1423" spans="1:12" ht="15" customHeight="1" x14ac:dyDescent="0.25">
      <c r="G1423" s="1258"/>
    </row>
    <row r="1424" spans="1:12" ht="15" customHeight="1" x14ac:dyDescent="0.25">
      <c r="G1424" s="1258"/>
    </row>
    <row r="1425" spans="7:7" ht="15" customHeight="1" x14ac:dyDescent="0.25">
      <c r="G1425" s="1258"/>
    </row>
    <row r="1426" spans="7:7" ht="15" customHeight="1" x14ac:dyDescent="0.25">
      <c r="G1426" s="1258"/>
    </row>
    <row r="1427" spans="7:7" ht="15" customHeight="1" x14ac:dyDescent="0.25">
      <c r="G1427" s="1258"/>
    </row>
    <row r="1428" spans="7:7" ht="15" customHeight="1" x14ac:dyDescent="0.25">
      <c r="G1428" s="1258"/>
    </row>
    <row r="1429" spans="7:7" ht="15" customHeight="1" x14ac:dyDescent="0.25">
      <c r="G1429" s="1258"/>
    </row>
    <row r="1430" spans="7:7" ht="15" customHeight="1" x14ac:dyDescent="0.25">
      <c r="G1430" s="1258"/>
    </row>
    <row r="1431" spans="7:7" ht="15" customHeight="1" x14ac:dyDescent="0.25">
      <c r="G1431" s="1258"/>
    </row>
    <row r="1432" spans="7:7" ht="15" customHeight="1" x14ac:dyDescent="0.25">
      <c r="G1432" s="1258"/>
    </row>
    <row r="1433" spans="7:7" ht="15" customHeight="1" x14ac:dyDescent="0.25">
      <c r="G1433" s="1258"/>
    </row>
    <row r="1434" spans="7:7" ht="15" customHeight="1" x14ac:dyDescent="0.25">
      <c r="G1434" s="1258"/>
    </row>
    <row r="1435" spans="7:7" ht="15" customHeight="1" x14ac:dyDescent="0.25">
      <c r="G1435" s="1258"/>
    </row>
    <row r="1436" spans="7:7" ht="15" customHeight="1" x14ac:dyDescent="0.25">
      <c r="G1436" s="1258"/>
    </row>
    <row r="1437" spans="7:7" ht="15" customHeight="1" x14ac:dyDescent="0.25">
      <c r="G1437" s="1258"/>
    </row>
    <row r="1438" spans="7:7" ht="15" customHeight="1" x14ac:dyDescent="0.25">
      <c r="G1438" s="1258"/>
    </row>
    <row r="1439" spans="7:7" ht="15" customHeight="1" x14ac:dyDescent="0.25">
      <c r="G1439" s="1258"/>
    </row>
    <row r="1440" spans="7:7" ht="15" customHeight="1" x14ac:dyDescent="0.25">
      <c r="G1440" s="1258"/>
    </row>
    <row r="1441" spans="7:7" ht="15" customHeight="1" x14ac:dyDescent="0.25">
      <c r="G1441" s="1258"/>
    </row>
    <row r="1442" spans="7:7" ht="15" customHeight="1" x14ac:dyDescent="0.25">
      <c r="G1442" s="1258"/>
    </row>
    <row r="1443" spans="7:7" ht="15" customHeight="1" x14ac:dyDescent="0.25">
      <c r="G1443" s="1258"/>
    </row>
    <row r="1444" spans="7:7" ht="15" customHeight="1" x14ac:dyDescent="0.25">
      <c r="G1444" s="1258"/>
    </row>
    <row r="1445" spans="7:7" ht="15" customHeight="1" x14ac:dyDescent="0.25">
      <c r="G1445" s="1258"/>
    </row>
    <row r="1446" spans="7:7" ht="15" customHeight="1" x14ac:dyDescent="0.25">
      <c r="G1446" s="1258"/>
    </row>
    <row r="1447" spans="7:7" ht="15" customHeight="1" x14ac:dyDescent="0.25">
      <c r="G1447" s="1258"/>
    </row>
    <row r="1448" spans="7:7" ht="15" customHeight="1" x14ac:dyDescent="0.25">
      <c r="G1448" s="1258"/>
    </row>
    <row r="1449" spans="7:7" ht="15" customHeight="1" x14ac:dyDescent="0.25">
      <c r="G1449" s="1258"/>
    </row>
    <row r="1450" spans="7:7" ht="15" customHeight="1" x14ac:dyDescent="0.25">
      <c r="G1450" s="1258"/>
    </row>
    <row r="1451" spans="7:7" ht="15" customHeight="1" x14ac:dyDescent="0.25">
      <c r="G1451" s="1258"/>
    </row>
    <row r="1452" spans="7:7" ht="15" customHeight="1" x14ac:dyDescent="0.25">
      <c r="G1452" s="1258"/>
    </row>
    <row r="1453" spans="7:7" ht="15" customHeight="1" x14ac:dyDescent="0.25">
      <c r="G1453" s="1258"/>
    </row>
    <row r="1454" spans="7:7" ht="15" customHeight="1" x14ac:dyDescent="0.25">
      <c r="G1454" s="1258"/>
    </row>
    <row r="1455" spans="7:7" ht="15" customHeight="1" x14ac:dyDescent="0.25">
      <c r="G1455" s="1258"/>
    </row>
    <row r="1456" spans="7:7" ht="15" customHeight="1" x14ac:dyDescent="0.25">
      <c r="G1456" s="1258"/>
    </row>
    <row r="1457" spans="1:12" ht="15" customHeight="1" x14ac:dyDescent="0.25">
      <c r="G1457" s="1258"/>
    </row>
    <row r="1458" spans="1:12" ht="15" customHeight="1" x14ac:dyDescent="0.25">
      <c r="G1458" s="1258"/>
    </row>
    <row r="1463" spans="1:12" ht="15" customHeight="1" x14ac:dyDescent="0.25">
      <c r="B1463" s="1222" t="s">
        <v>61</v>
      </c>
      <c r="C1463" s="1219" t="s">
        <v>174</v>
      </c>
      <c r="D1463" s="733"/>
    </row>
    <row r="1464" spans="1:12" ht="15" customHeight="1" x14ac:dyDescent="0.25">
      <c r="A1464" s="1223" t="s">
        <v>718</v>
      </c>
      <c r="B1464" s="1222" t="s">
        <v>62</v>
      </c>
      <c r="C1464" s="1219" t="str">
        <f>VLOOKUP(C1463,LISTPROD[],2,FALSE)</f>
        <v>PPG</v>
      </c>
      <c r="D1464" s="733" t="s">
        <v>486</v>
      </c>
      <c r="E1464" s="1308" t="s">
        <v>724</v>
      </c>
    </row>
    <row r="1465" spans="1:12" ht="15" customHeight="1" x14ac:dyDescent="0.25">
      <c r="B1465" s="1222" t="s">
        <v>234</v>
      </c>
      <c r="C1465" s="1219" t="str">
        <f>VLOOKUP(C1463,LISTPROD[],9,FALSE)</f>
        <v>750 ML</v>
      </c>
      <c r="D1465" s="733"/>
    </row>
    <row r="1466" spans="1:12" ht="15" customHeight="1" x14ac:dyDescent="0.25">
      <c r="A1466" s="1312" t="s">
        <v>745</v>
      </c>
      <c r="B1466" s="1222" t="s">
        <v>239</v>
      </c>
      <c r="C1466" s="1301">
        <v>262</v>
      </c>
      <c r="D1466" s="1218"/>
    </row>
    <row r="1467" spans="1:12" ht="15" customHeight="1" x14ac:dyDescent="0.25">
      <c r="B1467" s="1222" t="s">
        <v>240</v>
      </c>
      <c r="C1467" s="1219"/>
      <c r="D1467" s="733"/>
    </row>
    <row r="1468" spans="1:12" ht="15" customHeight="1" x14ac:dyDescent="0.25">
      <c r="B1468" s="1222" t="s">
        <v>238</v>
      </c>
      <c r="C1468" s="733" t="s">
        <v>56</v>
      </c>
      <c r="D1468" s="1218" t="s">
        <v>449</v>
      </c>
    </row>
    <row r="1469" spans="1:12" ht="15" customHeight="1" x14ac:dyDescent="0.25">
      <c r="B1469" s="1225" t="s">
        <v>410</v>
      </c>
      <c r="C1469" s="753">
        <v>750</v>
      </c>
      <c r="D1469" s="1226"/>
    </row>
    <row r="1470" spans="1:12" ht="15" customHeight="1" x14ac:dyDescent="0.25">
      <c r="A1470" s="1227"/>
      <c r="B1470" s="1436" t="s">
        <v>404</v>
      </c>
      <c r="C1470" s="1436"/>
      <c r="D1470" s="1436"/>
      <c r="E1470" s="1436"/>
      <c r="F1470" s="1436"/>
      <c r="G1470" s="1228"/>
      <c r="H1470" s="1437" t="s">
        <v>416</v>
      </c>
      <c r="I1470" s="1438"/>
    </row>
    <row r="1471" spans="1:12" ht="34.5" customHeight="1" x14ac:dyDescent="0.25">
      <c r="A1471" s="1229"/>
      <c r="B1471" s="1230" t="s">
        <v>398</v>
      </c>
      <c r="C1471" s="1231" t="s">
        <v>441</v>
      </c>
      <c r="D1471" s="1232" t="s">
        <v>399</v>
      </c>
      <c r="E1471" s="1233" t="s">
        <v>402</v>
      </c>
      <c r="F1471" s="1232" t="s">
        <v>399</v>
      </c>
      <c r="G1471" s="1232" t="s">
        <v>411</v>
      </c>
      <c r="H1471" s="1234" t="s">
        <v>408</v>
      </c>
      <c r="I1471" s="1235" t="s">
        <v>415</v>
      </c>
      <c r="K1471" s="1236" t="s">
        <v>603</v>
      </c>
      <c r="L1471" s="1237" t="s">
        <v>604</v>
      </c>
    </row>
    <row r="1472" spans="1:12" ht="15" customHeight="1" x14ac:dyDescent="0.25">
      <c r="A1472" s="1238"/>
      <c r="B1472" s="1228" t="s">
        <v>443</v>
      </c>
      <c r="C1472" s="1228">
        <v>1000</v>
      </c>
      <c r="D1472" s="1239">
        <f>'Prec Materia Prima y Empaq'!$H$11</f>
        <v>8000</v>
      </c>
      <c r="E1472" s="1240">
        <f t="shared" ref="E1472:E1476" si="509">D1472*19%</f>
        <v>1520</v>
      </c>
      <c r="F1472" s="1241">
        <f t="shared" ref="F1472:F1477" si="510">+E1472+D1472</f>
        <v>9520</v>
      </c>
      <c r="G1472" s="1240">
        <f t="shared" ref="G1472:G1476" si="511">F1472/C1472*H1472</f>
        <v>2856</v>
      </c>
      <c r="H1472" s="1242">
        <v>300</v>
      </c>
      <c r="I1472" s="1228" t="s">
        <v>450</v>
      </c>
      <c r="K1472" s="1242">
        <f>H1472/$C$1466</f>
        <v>1.1450381679389312</v>
      </c>
      <c r="L1472" s="1243">
        <f t="shared" ref="L1472:L1479" si="512">F1472/C1472*K1472</f>
        <v>10.900763358778624</v>
      </c>
    </row>
    <row r="1473" spans="1:12" ht="15" customHeight="1" x14ac:dyDescent="0.25">
      <c r="A1473" s="1238"/>
      <c r="B1473" s="1228" t="s">
        <v>272</v>
      </c>
      <c r="C1473" s="1228">
        <v>1000</v>
      </c>
      <c r="D1473" s="1239">
        <f>'Prec Materia Prima y Empaq'!$H$15</f>
        <v>18000</v>
      </c>
      <c r="E1473" s="1240">
        <f t="shared" si="509"/>
        <v>3420</v>
      </c>
      <c r="F1473" s="1241">
        <f t="shared" si="510"/>
        <v>21420</v>
      </c>
      <c r="G1473" s="1240">
        <f t="shared" si="511"/>
        <v>96390.000000000015</v>
      </c>
      <c r="H1473" s="1242">
        <v>4500</v>
      </c>
      <c r="I1473" s="1228" t="s">
        <v>450</v>
      </c>
      <c r="K1473" s="1242">
        <f t="shared" ref="K1473:K1477" si="513">H1473/$C$1466</f>
        <v>17.175572519083971</v>
      </c>
      <c r="L1473" s="1243">
        <f t="shared" si="512"/>
        <v>367.9007633587787</v>
      </c>
    </row>
    <row r="1474" spans="1:12" ht="15" customHeight="1" x14ac:dyDescent="0.25">
      <c r="A1474" s="1238"/>
      <c r="B1474" s="1228" t="s">
        <v>245</v>
      </c>
      <c r="C1474" s="1228">
        <v>1000</v>
      </c>
      <c r="D1474" s="1239">
        <f>'Prec Materia Prima y Empaq'!$H$44</f>
        <v>52325</v>
      </c>
      <c r="E1474" s="1240">
        <f t="shared" si="509"/>
        <v>9941.75</v>
      </c>
      <c r="F1474" s="1241">
        <f t="shared" si="510"/>
        <v>62266.75</v>
      </c>
      <c r="G1474" s="1240">
        <f t="shared" si="511"/>
        <v>6226.6750000000002</v>
      </c>
      <c r="H1474" s="1242">
        <v>100</v>
      </c>
      <c r="I1474" s="1228" t="s">
        <v>450</v>
      </c>
      <c r="K1474" s="1242">
        <f t="shared" si="513"/>
        <v>0.38167938931297712</v>
      </c>
      <c r="L1474" s="1243">
        <f t="shared" si="512"/>
        <v>23.765935114503819</v>
      </c>
    </row>
    <row r="1475" spans="1:12" ht="15" customHeight="1" x14ac:dyDescent="0.25">
      <c r="A1475" s="1238"/>
      <c r="B1475" s="1228" t="s">
        <v>261</v>
      </c>
      <c r="C1475" s="1228">
        <v>1000</v>
      </c>
      <c r="D1475" s="1239">
        <f>'Prec Materia Prima y Empaq'!$H$12</f>
        <v>4700</v>
      </c>
      <c r="E1475" s="1240">
        <f t="shared" si="509"/>
        <v>893</v>
      </c>
      <c r="F1475" s="1241">
        <f t="shared" si="510"/>
        <v>5593</v>
      </c>
      <c r="G1475" s="1240">
        <f t="shared" si="511"/>
        <v>1342.32</v>
      </c>
      <c r="H1475" s="1242">
        <v>240</v>
      </c>
      <c r="I1475" s="1228" t="s">
        <v>450</v>
      </c>
      <c r="K1475" s="1242">
        <f t="shared" si="513"/>
        <v>0.91603053435114501</v>
      </c>
      <c r="L1475" s="1243">
        <f t="shared" si="512"/>
        <v>5.1233587786259536</v>
      </c>
    </row>
    <row r="1476" spans="1:12" ht="19.5" customHeight="1" x14ac:dyDescent="0.25">
      <c r="A1476" s="1238"/>
      <c r="B1476" s="1228" t="s">
        <v>264</v>
      </c>
      <c r="C1476" s="1228">
        <v>1000</v>
      </c>
      <c r="D1476" s="1239">
        <f>'Prec Materia Prima y Empaq'!$H$38</f>
        <v>61698</v>
      </c>
      <c r="E1476" s="1240">
        <f t="shared" si="509"/>
        <v>11722.62</v>
      </c>
      <c r="F1476" s="1241">
        <f t="shared" si="510"/>
        <v>73420.62</v>
      </c>
      <c r="G1476" s="1240">
        <f t="shared" si="511"/>
        <v>2936.8247999999999</v>
      </c>
      <c r="H1476" s="1242">
        <v>40</v>
      </c>
      <c r="I1476" s="1228" t="s">
        <v>450</v>
      </c>
      <c r="K1476" s="1242">
        <f t="shared" si="513"/>
        <v>0.15267175572519084</v>
      </c>
      <c r="L1476" s="1243">
        <f t="shared" si="512"/>
        <v>11.209254961832061</v>
      </c>
    </row>
    <row r="1477" spans="1:12" ht="30.75" customHeight="1" x14ac:dyDescent="0.25">
      <c r="B1477" s="1220" t="s">
        <v>725</v>
      </c>
      <c r="C1477" s="1220">
        <v>1</v>
      </c>
      <c r="D1477" s="1244">
        <f>'Prec Materia Prima y Empaq'!$H$149</f>
        <v>2837</v>
      </c>
      <c r="E1477" s="1240">
        <v>0</v>
      </c>
      <c r="F1477" s="1241">
        <f t="shared" si="510"/>
        <v>2837</v>
      </c>
      <c r="G1477" s="1253">
        <f>F1477*H1477</f>
        <v>743294</v>
      </c>
      <c r="H1477" s="1245">
        <f>$C$1466</f>
        <v>262</v>
      </c>
      <c r="I1477" s="1245" t="s">
        <v>453</v>
      </c>
      <c r="K1477" s="1242">
        <f t="shared" si="513"/>
        <v>1</v>
      </c>
      <c r="L1477" s="1243">
        <f t="shared" si="512"/>
        <v>2837</v>
      </c>
    </row>
    <row r="1478" spans="1:12" ht="30.75" customHeight="1" x14ac:dyDescent="0.25">
      <c r="B1478" s="1220" t="s">
        <v>680</v>
      </c>
      <c r="C1478" s="1220">
        <v>1</v>
      </c>
      <c r="D1478" s="1244">
        <f>'Prec Materia Prima y Empaq'!$H$150</f>
        <v>73</v>
      </c>
      <c r="E1478" s="1240">
        <v>0</v>
      </c>
      <c r="F1478" s="1241">
        <f t="shared" ref="F1478" si="514">+E1478+D1478</f>
        <v>73</v>
      </c>
      <c r="G1478" s="1253">
        <f t="shared" ref="G1478:G1479" si="515">F1478*H1478</f>
        <v>19126</v>
      </c>
      <c r="H1478" s="1245">
        <f>$C$1466</f>
        <v>262</v>
      </c>
      <c r="I1478" s="1245" t="s">
        <v>453</v>
      </c>
      <c r="K1478" s="1242">
        <f t="shared" ref="K1478" si="516">H1478/$C$1466</f>
        <v>1</v>
      </c>
      <c r="L1478" s="1243">
        <f t="shared" ref="L1478" si="517">F1478/C1478*K1478</f>
        <v>73</v>
      </c>
    </row>
    <row r="1479" spans="1:12" ht="15" customHeight="1" x14ac:dyDescent="0.25">
      <c r="B1479" s="1313" t="s">
        <v>310</v>
      </c>
      <c r="C1479" s="1245">
        <v>1</v>
      </c>
      <c r="D1479" s="1244">
        <f>'Prec Materia Prima y Empaq'!$H$130</f>
        <v>100</v>
      </c>
      <c r="E1479" s="1240">
        <v>0</v>
      </c>
      <c r="F1479" s="1241">
        <f t="shared" ref="F1479" si="518">+E1479+D1479</f>
        <v>100</v>
      </c>
      <c r="G1479" s="1253">
        <f t="shared" si="515"/>
        <v>26200</v>
      </c>
      <c r="H1479" s="1245">
        <f>$C$1466</f>
        <v>262</v>
      </c>
      <c r="I1479" s="1245" t="s">
        <v>453</v>
      </c>
      <c r="K1479" s="1242">
        <f>H1479/$C$1466</f>
        <v>1</v>
      </c>
      <c r="L1479" s="1243">
        <f t="shared" si="512"/>
        <v>100</v>
      </c>
    </row>
    <row r="1480" spans="1:12" ht="19.5" customHeight="1" thickBot="1" x14ac:dyDescent="0.3">
      <c r="B1480" s="1255"/>
      <c r="C1480" s="857"/>
      <c r="D1480" s="1256"/>
      <c r="E1480" s="1248"/>
      <c r="F1480" s="1257"/>
      <c r="G1480" s="1258">
        <f>SUM(G1472:G1479)/C1466</f>
        <v>3428.9000755725192</v>
      </c>
      <c r="H1480" s="1259" t="s">
        <v>454</v>
      </c>
      <c r="I1480" s="857"/>
      <c r="L1480" s="1260">
        <f>SUM(L1472:L1479)</f>
        <v>3428.9000755725192</v>
      </c>
    </row>
    <row r="1481" spans="1:12" ht="15" customHeight="1" thickTop="1" x14ac:dyDescent="0.25">
      <c r="B1481" s="1314" t="s">
        <v>409</v>
      </c>
      <c r="C1481" s="1315"/>
      <c r="D1481" s="1316">
        <f>+'Gtos Varios'!I14</f>
        <v>3672.93</v>
      </c>
      <c r="E1481" s="1315"/>
      <c r="F1481" s="1317">
        <f t="shared" ref="F1481" si="519">+E1481+D1481</f>
        <v>3672.93</v>
      </c>
      <c r="G1481" s="1318">
        <f>F1481</f>
        <v>3672.93</v>
      </c>
      <c r="H1481" s="1315" t="str">
        <f>B1481</f>
        <v xml:space="preserve">GASTOS VARIOS </v>
      </c>
      <c r="I1481" s="1315"/>
    </row>
    <row r="1482" spans="1:12" ht="15" customHeight="1" x14ac:dyDescent="0.25">
      <c r="B1482" s="1255"/>
      <c r="C1482" s="857"/>
      <c r="D1482" s="1256"/>
      <c r="E1482" s="1248"/>
      <c r="F1482" s="1257"/>
      <c r="G1482" s="1266"/>
      <c r="H1482" s="857"/>
      <c r="I1482" s="857"/>
    </row>
    <row r="1483" spans="1:12" ht="15" customHeight="1" x14ac:dyDescent="0.25">
      <c r="B1483" s="1255"/>
      <c r="C1483" s="857"/>
      <c r="D1483" s="1256"/>
      <c r="E1483" s="1248"/>
      <c r="F1483" s="1257"/>
      <c r="G1483" s="1266"/>
      <c r="H1483" s="857"/>
      <c r="I1483" s="857"/>
    </row>
    <row r="1484" spans="1:12" ht="15" customHeight="1" thickBot="1" x14ac:dyDescent="0.3">
      <c r="F1484" s="1267">
        <f>SUM(F1472:F1479)</f>
        <v>175230.37</v>
      </c>
      <c r="G1484" s="1268">
        <f>SUM(G1480:G1481)</f>
        <v>7101.8300755725195</v>
      </c>
      <c r="H1484" s="733" t="s">
        <v>412</v>
      </c>
    </row>
    <row r="1485" spans="1:12" ht="15" customHeight="1" thickTop="1" x14ac:dyDescent="0.25">
      <c r="G1485" s="1295">
        <f>G1484*53%</f>
        <v>3763.9699400534355</v>
      </c>
      <c r="H1485" s="1274">
        <v>0.53</v>
      </c>
      <c r="I1485" s="733" t="s">
        <v>539</v>
      </c>
    </row>
    <row r="1486" spans="1:12" ht="15" customHeight="1" thickBot="1" x14ac:dyDescent="0.3">
      <c r="G1486" s="1270">
        <f>G1484+G1485</f>
        <v>10865.800015625955</v>
      </c>
      <c r="H1486" s="733" t="s">
        <v>414</v>
      </c>
    </row>
    <row r="1487" spans="1:12" ht="15" customHeight="1" thickTop="1" x14ac:dyDescent="0.25"/>
    <row r="1489" spans="1:12" ht="15" customHeight="1" x14ac:dyDescent="0.25">
      <c r="B1489" s="1222" t="s">
        <v>61</v>
      </c>
      <c r="C1489" s="1219" t="s">
        <v>176</v>
      </c>
      <c r="D1489" s="733"/>
      <c r="F1489" s="853"/>
      <c r="G1489" s="853"/>
      <c r="H1489" s="853"/>
      <c r="I1489" s="853"/>
      <c r="J1489" s="853"/>
    </row>
    <row r="1490" spans="1:12" ht="15" customHeight="1" x14ac:dyDescent="0.25">
      <c r="A1490" s="1223" t="s">
        <v>718</v>
      </c>
      <c r="B1490" s="1222" t="s">
        <v>62</v>
      </c>
      <c r="C1490" s="1219" t="str">
        <f>VLOOKUP(C1489,LISTPROD[],2,FALSE)</f>
        <v>PROSTA PHARMA</v>
      </c>
      <c r="D1490" s="1219" t="s">
        <v>486</v>
      </c>
      <c r="E1490" s="861" t="s">
        <v>487</v>
      </c>
      <c r="F1490" s="853"/>
      <c r="G1490" s="853"/>
      <c r="H1490" s="853"/>
      <c r="I1490" s="853"/>
      <c r="J1490" s="853"/>
    </row>
    <row r="1491" spans="1:12" ht="15" customHeight="1" x14ac:dyDescent="0.25">
      <c r="B1491" s="1222" t="s">
        <v>234</v>
      </c>
      <c r="C1491" s="1219" t="str">
        <f>VLOOKUP(C1489,LISTPROD[],9,FALSE)</f>
        <v>500 ML</v>
      </c>
      <c r="D1491" s="733"/>
      <c r="E1491" s="853"/>
      <c r="F1491" s="853"/>
      <c r="G1491" s="853"/>
      <c r="H1491" s="853"/>
      <c r="I1491" s="853"/>
      <c r="J1491" s="853"/>
    </row>
    <row r="1492" spans="1:12" ht="15" customHeight="1" x14ac:dyDescent="0.25">
      <c r="B1492" s="1222" t="s">
        <v>239</v>
      </c>
      <c r="C1492" s="1224">
        <v>420</v>
      </c>
      <c r="D1492" s="1218"/>
      <c r="E1492" s="853"/>
      <c r="F1492" s="853"/>
      <c r="G1492" s="853"/>
      <c r="H1492" s="853"/>
      <c r="I1492" s="853"/>
      <c r="J1492" s="853"/>
    </row>
    <row r="1493" spans="1:12" ht="15" customHeight="1" x14ac:dyDescent="0.25">
      <c r="B1493" s="1222" t="s">
        <v>240</v>
      </c>
      <c r="C1493" s="1219"/>
      <c r="D1493" s="733"/>
    </row>
    <row r="1494" spans="1:12" ht="15" customHeight="1" x14ac:dyDescent="0.25">
      <c r="B1494" s="1222" t="s">
        <v>238</v>
      </c>
      <c r="C1494" s="733" t="s">
        <v>56</v>
      </c>
      <c r="D1494" s="1218" t="s">
        <v>449</v>
      </c>
    </row>
    <row r="1495" spans="1:12" ht="15" customHeight="1" x14ac:dyDescent="0.25">
      <c r="B1495" s="1225" t="s">
        <v>410</v>
      </c>
      <c r="C1495" s="753">
        <v>500</v>
      </c>
      <c r="D1495" s="1226"/>
    </row>
    <row r="1496" spans="1:12" ht="15" customHeight="1" x14ac:dyDescent="0.25">
      <c r="A1496" s="1227"/>
      <c r="B1496" s="1436" t="s">
        <v>404</v>
      </c>
      <c r="C1496" s="1436"/>
      <c r="D1496" s="1436"/>
      <c r="E1496" s="1436"/>
      <c r="F1496" s="1436"/>
      <c r="G1496" s="1228"/>
      <c r="H1496" s="1437" t="s">
        <v>416</v>
      </c>
      <c r="I1496" s="1438"/>
    </row>
    <row r="1497" spans="1:12" ht="34.5" customHeight="1" x14ac:dyDescent="0.25">
      <c r="A1497" s="1229"/>
      <c r="B1497" s="1230" t="s">
        <v>398</v>
      </c>
      <c r="C1497" s="1231" t="s">
        <v>441</v>
      </c>
      <c r="D1497" s="1232" t="s">
        <v>399</v>
      </c>
      <c r="E1497" s="1233" t="s">
        <v>402</v>
      </c>
      <c r="F1497" s="1232" t="s">
        <v>399</v>
      </c>
      <c r="G1497" s="1232" t="s">
        <v>411</v>
      </c>
      <c r="H1497" s="1234" t="s">
        <v>408</v>
      </c>
      <c r="I1497" s="1235" t="s">
        <v>415</v>
      </c>
      <c r="K1497" s="1236" t="s">
        <v>603</v>
      </c>
      <c r="L1497" s="1237" t="s">
        <v>604</v>
      </c>
    </row>
    <row r="1498" spans="1:12" ht="15" customHeight="1" x14ac:dyDescent="0.25">
      <c r="A1498" s="1238"/>
      <c r="B1498" s="1228" t="s">
        <v>248</v>
      </c>
      <c r="C1498" s="1228">
        <v>1000</v>
      </c>
      <c r="D1498" s="1239">
        <f>'Prec Materia Prima y Empaq'!$H$21</f>
        <v>15400</v>
      </c>
      <c r="E1498" s="1240">
        <f>D1498*19%</f>
        <v>2926</v>
      </c>
      <c r="F1498" s="1241">
        <f>+E1498+D1498</f>
        <v>18326</v>
      </c>
      <c r="G1498" s="1240">
        <f t="shared" ref="G1498:G1501" si="520">F1498/C1498*H1498</f>
        <v>16493.400000000001</v>
      </c>
      <c r="H1498" s="1242">
        <v>900</v>
      </c>
      <c r="I1498" s="1228" t="s">
        <v>450</v>
      </c>
      <c r="K1498" s="1242">
        <f>H1498/$C$1492</f>
        <v>2.1428571428571428</v>
      </c>
      <c r="L1498" s="1243">
        <f>F1498/C1498*K1498</f>
        <v>39.270000000000003</v>
      </c>
    </row>
    <row r="1499" spans="1:12" ht="15" customHeight="1" x14ac:dyDescent="0.25">
      <c r="A1499" s="1238"/>
      <c r="B1499" s="1228" t="s">
        <v>443</v>
      </c>
      <c r="C1499" s="1228">
        <v>1000</v>
      </c>
      <c r="D1499" s="1239">
        <f>'Prec Materia Prima y Empaq'!$H$11</f>
        <v>8000</v>
      </c>
      <c r="E1499" s="1240">
        <f t="shared" ref="E1499:E1505" si="521">D1499*19%</f>
        <v>1520</v>
      </c>
      <c r="F1499" s="1241">
        <f t="shared" ref="F1499:F1506" si="522">+E1499+D1499</f>
        <v>9520</v>
      </c>
      <c r="G1499" s="1240">
        <f t="shared" si="520"/>
        <v>5712</v>
      </c>
      <c r="H1499" s="1242">
        <v>600</v>
      </c>
      <c r="I1499" s="1228" t="s">
        <v>450</v>
      </c>
      <c r="K1499" s="1242">
        <f t="shared" ref="K1499:K1512" si="523">H1499/$C$1492</f>
        <v>1.4285714285714286</v>
      </c>
      <c r="L1499" s="1243">
        <f t="shared" ref="L1499:L1512" si="524">F1499/C1499*K1499</f>
        <v>13.6</v>
      </c>
    </row>
    <row r="1500" spans="1:12" ht="15" customHeight="1" x14ac:dyDescent="0.25">
      <c r="A1500" s="1238"/>
      <c r="B1500" s="1228" t="s">
        <v>253</v>
      </c>
      <c r="C1500" s="1228">
        <v>1000</v>
      </c>
      <c r="D1500" s="1239">
        <f>'Prec Materia Prima y Empaq'!$H$9</f>
        <v>5400</v>
      </c>
      <c r="E1500" s="1240">
        <f t="shared" si="521"/>
        <v>1026</v>
      </c>
      <c r="F1500" s="1241">
        <f t="shared" si="522"/>
        <v>6426</v>
      </c>
      <c r="G1500" s="1240">
        <f t="shared" si="520"/>
        <v>6426</v>
      </c>
      <c r="H1500" s="1242">
        <v>1000</v>
      </c>
      <c r="I1500" s="1228" t="s">
        <v>450</v>
      </c>
      <c r="K1500" s="1242">
        <f t="shared" si="523"/>
        <v>2.3809523809523809</v>
      </c>
      <c r="L1500" s="1243">
        <f t="shared" si="524"/>
        <v>15.3</v>
      </c>
    </row>
    <row r="1501" spans="1:12" ht="15" customHeight="1" x14ac:dyDescent="0.25">
      <c r="A1501" s="1238"/>
      <c r="B1501" s="1228" t="s">
        <v>255</v>
      </c>
      <c r="C1501" s="1228">
        <v>1000</v>
      </c>
      <c r="D1501" s="1239">
        <f>'Prec Materia Prima y Empaq'!$H$26</f>
        <v>45404</v>
      </c>
      <c r="E1501" s="1240">
        <f t="shared" si="521"/>
        <v>8626.76</v>
      </c>
      <c r="F1501" s="1241">
        <f t="shared" si="522"/>
        <v>54030.76</v>
      </c>
      <c r="G1501" s="1240">
        <f t="shared" si="520"/>
        <v>8104.6140000000005</v>
      </c>
      <c r="H1501" s="1242">
        <v>150</v>
      </c>
      <c r="I1501" s="1228" t="s">
        <v>450</v>
      </c>
      <c r="K1501" s="1242">
        <f t="shared" si="523"/>
        <v>0.35714285714285715</v>
      </c>
      <c r="L1501" s="1243">
        <f t="shared" si="524"/>
        <v>19.296700000000001</v>
      </c>
    </row>
    <row r="1502" spans="1:12" ht="15" customHeight="1" x14ac:dyDescent="0.25">
      <c r="A1502" s="1238"/>
      <c r="B1502" s="1228" t="s">
        <v>382</v>
      </c>
      <c r="C1502" s="1228">
        <v>3785</v>
      </c>
      <c r="D1502" s="1239">
        <f>'Prec Materia Prima y Empaq'!$H$18</f>
        <v>24</v>
      </c>
      <c r="E1502" s="1240">
        <f t="shared" si="521"/>
        <v>4.5600000000000005</v>
      </c>
      <c r="F1502" s="1241">
        <f t="shared" si="522"/>
        <v>28.560000000000002</v>
      </c>
      <c r="G1502" s="1240">
        <f>F1502/C1502*H1502</f>
        <v>0.37727873183619554</v>
      </c>
      <c r="H1502" s="1242">
        <v>50</v>
      </c>
      <c r="I1502" s="1228" t="s">
        <v>450</v>
      </c>
      <c r="K1502" s="1242">
        <f t="shared" si="523"/>
        <v>0.11904761904761904</v>
      </c>
      <c r="L1502" s="1243">
        <f t="shared" si="524"/>
        <v>8.9828269484808459E-4</v>
      </c>
    </row>
    <row r="1503" spans="1:12" ht="15" customHeight="1" x14ac:dyDescent="0.25">
      <c r="A1503" s="1238"/>
      <c r="B1503" s="1228" t="s">
        <v>262</v>
      </c>
      <c r="C1503" s="1228">
        <v>1000</v>
      </c>
      <c r="D1503" s="1273">
        <f>'Prec Materia Prima y Empaq'!$H$55</f>
        <v>50522</v>
      </c>
      <c r="E1503" s="1240">
        <f t="shared" si="521"/>
        <v>9599.18</v>
      </c>
      <c r="F1503" s="1241">
        <f t="shared" si="522"/>
        <v>60121.18</v>
      </c>
      <c r="G1503" s="1240">
        <f t="shared" ref="G1503:G1504" si="525">F1503/C1503*H1503</f>
        <v>6012.1180000000004</v>
      </c>
      <c r="H1503" s="1242">
        <v>100</v>
      </c>
      <c r="I1503" s="1228" t="s">
        <v>450</v>
      </c>
      <c r="K1503" s="1242">
        <f t="shared" si="523"/>
        <v>0.23809523809523808</v>
      </c>
      <c r="L1503" s="1243">
        <f t="shared" si="524"/>
        <v>14.314566666666666</v>
      </c>
    </row>
    <row r="1504" spans="1:12" ht="21" customHeight="1" x14ac:dyDescent="0.25">
      <c r="A1504" s="1238"/>
      <c r="B1504" s="1228" t="s">
        <v>246</v>
      </c>
      <c r="C1504" s="1228">
        <v>1000</v>
      </c>
      <c r="D1504" s="1239">
        <f>'Prec Materia Prima y Empaq'!$H$41</f>
        <v>80268</v>
      </c>
      <c r="E1504" s="1240">
        <f t="shared" si="521"/>
        <v>15250.92</v>
      </c>
      <c r="F1504" s="1241">
        <f t="shared" si="522"/>
        <v>95518.92</v>
      </c>
      <c r="G1504" s="1240">
        <f t="shared" si="525"/>
        <v>1910.3783999999998</v>
      </c>
      <c r="H1504" s="1242">
        <v>20</v>
      </c>
      <c r="I1504" s="1228" t="s">
        <v>450</v>
      </c>
      <c r="K1504" s="1242">
        <f t="shared" si="523"/>
        <v>4.7619047619047616E-2</v>
      </c>
      <c r="L1504" s="1243">
        <f t="shared" si="524"/>
        <v>4.5485199999999999</v>
      </c>
    </row>
    <row r="1505" spans="1:29" ht="21" customHeight="1" x14ac:dyDescent="0.25">
      <c r="A1505" s="1238"/>
      <c r="B1505" s="1228" t="s">
        <v>261</v>
      </c>
      <c r="C1505" s="1228">
        <v>1000</v>
      </c>
      <c r="D1505" s="1239">
        <f>'Prec Materia Prima y Empaq'!$H$12</f>
        <v>4700</v>
      </c>
      <c r="E1505" s="1240">
        <f t="shared" si="521"/>
        <v>893</v>
      </c>
      <c r="F1505" s="1241">
        <f t="shared" si="522"/>
        <v>5593</v>
      </c>
      <c r="G1505" s="1241">
        <f>F1505/C1505*H1505</f>
        <v>1118.5999999999999</v>
      </c>
      <c r="H1505" s="1228">
        <v>200</v>
      </c>
      <c r="I1505" s="1228" t="s">
        <v>450</v>
      </c>
      <c r="K1505" s="1242">
        <f t="shared" si="523"/>
        <v>0.47619047619047616</v>
      </c>
      <c r="L1505" s="1243">
        <f t="shared" si="524"/>
        <v>2.6633333333333331</v>
      </c>
    </row>
    <row r="1506" spans="1:29" ht="31.5" customHeight="1" x14ac:dyDescent="0.25">
      <c r="B1506" s="1220" t="s">
        <v>247</v>
      </c>
      <c r="C1506" s="1228">
        <v>1000</v>
      </c>
      <c r="D1506" s="1244">
        <f>'Prec Materia Prima y Empaq'!$H$7</f>
        <v>50000</v>
      </c>
      <c r="E1506" s="1240">
        <v>0</v>
      </c>
      <c r="F1506" s="1241">
        <f t="shared" si="522"/>
        <v>50000</v>
      </c>
      <c r="G1506" s="1240">
        <f>F1506/C1506*H1506</f>
        <v>32.022471910112351</v>
      </c>
      <c r="H1506" s="1245">
        <v>0.64044943820224698</v>
      </c>
      <c r="I1506" s="1245" t="s">
        <v>453</v>
      </c>
      <c r="K1506" s="1242">
        <f t="shared" ref="K1506" si="526">H1506/$C$1371</f>
        <v>7.6243980738362736E-4</v>
      </c>
      <c r="L1506" s="1243">
        <f t="shared" si="524"/>
        <v>3.8121990369181367E-2</v>
      </c>
      <c r="N1506" s="1220" t="s">
        <v>247</v>
      </c>
      <c r="O1506" s="1247">
        <v>1</v>
      </c>
      <c r="P1506" s="1240">
        <f>$F$391/$C$391*$O$391</f>
        <v>50</v>
      </c>
      <c r="Q1506" s="1248"/>
      <c r="R1506" s="1249" t="e">
        <f>P1506/O1495</f>
        <v>#DIV/0!</v>
      </c>
      <c r="S1506" s="1248" t="e">
        <f>R1506*1000</f>
        <v>#DIV/0!</v>
      </c>
      <c r="T1506" s="1250">
        <f>O1506/$O$380*1000</f>
        <v>2.5641025641025641E-3</v>
      </c>
      <c r="U1506" s="1238">
        <f>T1506*$M$380</f>
        <v>1</v>
      </c>
      <c r="Y1506" s="1238"/>
      <c r="Z1506" s="1238"/>
      <c r="AA1506" s="1251"/>
      <c r="AC1506" s="1252"/>
    </row>
    <row r="1507" spans="1:29" ht="30.75" customHeight="1" x14ac:dyDescent="0.25">
      <c r="B1507" s="1220" t="s">
        <v>485</v>
      </c>
      <c r="C1507" s="1220">
        <v>1</v>
      </c>
      <c r="D1507" s="1244">
        <f>'Prec Materia Prima y Empaq'!$H$138</f>
        <v>650</v>
      </c>
      <c r="E1507" s="1240">
        <v>0</v>
      </c>
      <c r="F1507" s="1241">
        <f t="shared" ref="F1507:F1510" si="527">+E1507+D1507</f>
        <v>650</v>
      </c>
      <c r="G1507" s="1253">
        <f>F1507*H1507</f>
        <v>273000</v>
      </c>
      <c r="H1507" s="1245">
        <f>$C$1492</f>
        <v>420</v>
      </c>
      <c r="I1507" s="1245" t="s">
        <v>453</v>
      </c>
      <c r="K1507" s="1242">
        <f t="shared" si="523"/>
        <v>1</v>
      </c>
      <c r="L1507" s="1243">
        <f t="shared" si="524"/>
        <v>650</v>
      </c>
    </row>
    <row r="1508" spans="1:29" ht="15" customHeight="1" x14ac:dyDescent="0.25">
      <c r="B1508" s="1220" t="s">
        <v>614</v>
      </c>
      <c r="C1508" s="1220">
        <v>1</v>
      </c>
      <c r="D1508" s="1244">
        <f>'Prec Materia Prima y Empaq'!$H$144</f>
        <v>70</v>
      </c>
      <c r="E1508" s="1240">
        <v>0</v>
      </c>
      <c r="F1508" s="1241">
        <f t="shared" si="527"/>
        <v>70</v>
      </c>
      <c r="G1508" s="1253">
        <f t="shared" ref="G1508:G1512" si="528">F1508*H1508</f>
        <v>29400</v>
      </c>
      <c r="H1508" s="1245">
        <f t="shared" ref="H1508:H1512" si="529">$C$1492</f>
        <v>420</v>
      </c>
      <c r="I1508" s="1245" t="s">
        <v>453</v>
      </c>
      <c r="K1508" s="1242">
        <f t="shared" si="523"/>
        <v>1</v>
      </c>
      <c r="L1508" s="1243">
        <f t="shared" si="524"/>
        <v>70</v>
      </c>
    </row>
    <row r="1509" spans="1:29" ht="54.75" customHeight="1" x14ac:dyDescent="0.25">
      <c r="B1509" s="1220" t="s">
        <v>695</v>
      </c>
      <c r="C1509" s="1245">
        <v>1</v>
      </c>
      <c r="D1509" s="1272">
        <f>'Prec Materia Prima y Empaq'!$H$161</f>
        <v>300</v>
      </c>
      <c r="E1509" s="1240">
        <v>0</v>
      </c>
      <c r="F1509" s="1241">
        <f t="shared" si="527"/>
        <v>300</v>
      </c>
      <c r="G1509" s="1253">
        <f t="shared" si="528"/>
        <v>126000</v>
      </c>
      <c r="H1509" s="1245">
        <f t="shared" si="529"/>
        <v>420</v>
      </c>
      <c r="I1509" s="1245" t="s">
        <v>453</v>
      </c>
      <c r="K1509" s="1242">
        <f t="shared" si="523"/>
        <v>1</v>
      </c>
      <c r="L1509" s="1243">
        <f t="shared" si="524"/>
        <v>300</v>
      </c>
    </row>
    <row r="1510" spans="1:29" ht="15" customHeight="1" x14ac:dyDescent="0.25">
      <c r="B1510" s="1279" t="s">
        <v>675</v>
      </c>
      <c r="C1510" s="1245">
        <v>1</v>
      </c>
      <c r="D1510" s="1272">
        <f>'Prec Materia Prima y Empaq'!$H$162</f>
        <v>100</v>
      </c>
      <c r="E1510" s="1240"/>
      <c r="F1510" s="1241">
        <f t="shared" si="527"/>
        <v>100</v>
      </c>
      <c r="G1510" s="1253">
        <f t="shared" si="528"/>
        <v>42000</v>
      </c>
      <c r="H1510" s="1245">
        <f t="shared" si="529"/>
        <v>420</v>
      </c>
      <c r="I1510" s="1245" t="s">
        <v>453</v>
      </c>
      <c r="K1510" s="1242">
        <f t="shared" si="523"/>
        <v>1</v>
      </c>
      <c r="L1510" s="1243">
        <f t="shared" si="524"/>
        <v>100</v>
      </c>
    </row>
    <row r="1511" spans="1:29" ht="15" customHeight="1" x14ac:dyDescent="0.25">
      <c r="B1511" s="1220" t="s">
        <v>310</v>
      </c>
      <c r="C1511" s="1245">
        <v>1</v>
      </c>
      <c r="D1511" s="1272">
        <f>'Prec Materia Prima y Empaq'!$H$130</f>
        <v>100</v>
      </c>
      <c r="E1511" s="1240">
        <v>0</v>
      </c>
      <c r="F1511" s="1241">
        <f t="shared" ref="F1511:F1512" si="530">+E1511+D1511</f>
        <v>100</v>
      </c>
      <c r="G1511" s="1253">
        <f t="shared" si="528"/>
        <v>42000</v>
      </c>
      <c r="H1511" s="1245">
        <f t="shared" si="529"/>
        <v>420</v>
      </c>
      <c r="I1511" s="1245" t="s">
        <v>453</v>
      </c>
      <c r="K1511" s="1242">
        <f t="shared" si="523"/>
        <v>1</v>
      </c>
      <c r="L1511" s="1243">
        <f t="shared" si="524"/>
        <v>100</v>
      </c>
    </row>
    <row r="1512" spans="1:29" ht="15" customHeight="1" x14ac:dyDescent="0.25">
      <c r="B1512" s="1245" t="s">
        <v>309</v>
      </c>
      <c r="C1512" s="1245">
        <v>1</v>
      </c>
      <c r="D1512" s="1272">
        <f>'Prec Materia Prima y Empaq'!$H$129</f>
        <v>800</v>
      </c>
      <c r="E1512" s="1240">
        <v>0</v>
      </c>
      <c r="F1512" s="1241">
        <f t="shared" si="530"/>
        <v>800</v>
      </c>
      <c r="G1512" s="1253">
        <f t="shared" si="528"/>
        <v>336000</v>
      </c>
      <c r="H1512" s="1245">
        <f t="shared" si="529"/>
        <v>420</v>
      </c>
      <c r="I1512" s="1245" t="s">
        <v>453</v>
      </c>
      <c r="K1512" s="1242">
        <f t="shared" si="523"/>
        <v>1</v>
      </c>
      <c r="L1512" s="1243">
        <f t="shared" si="524"/>
        <v>800</v>
      </c>
    </row>
    <row r="1513" spans="1:29" ht="19.5" customHeight="1" thickBot="1" x14ac:dyDescent="0.3">
      <c r="B1513" s="1255"/>
      <c r="C1513" s="857"/>
      <c r="D1513" s="1256"/>
      <c r="E1513" s="1248"/>
      <c r="F1513" s="1257"/>
      <c r="G1513" s="1258">
        <f>SUM(G1498:G1512)/C1492</f>
        <v>2129.0702622634331</v>
      </c>
      <c r="H1513" s="1259" t="s">
        <v>454</v>
      </c>
      <c r="I1513" s="857"/>
      <c r="L1513" s="1260">
        <f>SUM(L1498:L1512)</f>
        <v>2129.0321402730642</v>
      </c>
    </row>
    <row r="1514" spans="1:29" ht="15" customHeight="1" thickTop="1" x14ac:dyDescent="0.25">
      <c r="B1514" s="1314" t="s">
        <v>409</v>
      </c>
      <c r="C1514" s="1315"/>
      <c r="D1514" s="1316">
        <f>+'Gtos Varios'!I14</f>
        <v>3672.93</v>
      </c>
      <c r="E1514" s="1315"/>
      <c r="F1514" s="1317">
        <f t="shared" ref="F1514" si="531">+E1514+D1514</f>
        <v>3672.93</v>
      </c>
      <c r="G1514" s="1318">
        <f>F1514</f>
        <v>3672.93</v>
      </c>
      <c r="H1514" s="1315" t="str">
        <f>B1514</f>
        <v xml:space="preserve">GASTOS VARIOS </v>
      </c>
      <c r="I1514" s="1315"/>
    </row>
    <row r="1515" spans="1:29" ht="15" customHeight="1" x14ac:dyDescent="0.25">
      <c r="B1515" s="1255"/>
      <c r="C1515" s="857"/>
      <c r="D1515" s="1256"/>
      <c r="E1515" s="1248"/>
      <c r="F1515" s="1257"/>
      <c r="G1515" s="1266"/>
      <c r="H1515" s="857"/>
      <c r="I1515" s="857"/>
    </row>
    <row r="1516" spans="1:29" ht="15" customHeight="1" x14ac:dyDescent="0.25">
      <c r="B1516" s="1255"/>
      <c r="C1516" s="857"/>
      <c r="D1516" s="1256"/>
      <c r="E1516" s="1248"/>
      <c r="F1516" s="1257"/>
      <c r="G1516" s="1266"/>
      <c r="H1516" s="857"/>
      <c r="I1516" s="857"/>
    </row>
    <row r="1517" spans="1:29" ht="15" customHeight="1" thickBot="1" x14ac:dyDescent="0.3">
      <c r="F1517" s="1267">
        <f>SUM(F1498:F1512)</f>
        <v>301584.42</v>
      </c>
      <c r="G1517" s="1268">
        <f>SUM(G1513:G1514)</f>
        <v>5802.0002622634329</v>
      </c>
      <c r="H1517" s="733" t="s">
        <v>412</v>
      </c>
    </row>
    <row r="1518" spans="1:29" ht="15" customHeight="1" thickTop="1" x14ac:dyDescent="0.25">
      <c r="G1518" s="1295">
        <f>G1517*58%</f>
        <v>3365.1601521127909</v>
      </c>
      <c r="H1518" s="1274">
        <v>0.57999999999999996</v>
      </c>
      <c r="I1518" s="733" t="s">
        <v>539</v>
      </c>
    </row>
    <row r="1519" spans="1:29" ht="15" customHeight="1" thickBot="1" x14ac:dyDescent="0.3">
      <c r="G1519" s="1270">
        <f>G1517+G1518</f>
        <v>9167.1604143762233</v>
      </c>
      <c r="H1519" s="733" t="s">
        <v>414</v>
      </c>
    </row>
    <row r="1520" spans="1:29" ht="15" customHeight="1" thickTop="1" x14ac:dyDescent="0.25"/>
    <row r="1523" spans="1:12" ht="15" customHeight="1" x14ac:dyDescent="0.25">
      <c r="B1523" s="1222" t="s">
        <v>61</v>
      </c>
      <c r="C1523" s="1219" t="s">
        <v>178</v>
      </c>
      <c r="D1523" s="733"/>
    </row>
    <row r="1524" spans="1:12" ht="15" customHeight="1" x14ac:dyDescent="0.25">
      <c r="A1524" s="1223" t="s">
        <v>718</v>
      </c>
      <c r="B1524" s="1222" t="s">
        <v>62</v>
      </c>
      <c r="C1524" s="1219" t="str">
        <f>VLOOKUP(C1523,LISTPROD[],2,FALSE)</f>
        <v>PROSTABELL</v>
      </c>
      <c r="D1524" s="733" t="s">
        <v>486</v>
      </c>
      <c r="E1524" s="733" t="s">
        <v>491</v>
      </c>
    </row>
    <row r="1525" spans="1:12" ht="15" customHeight="1" x14ac:dyDescent="0.25">
      <c r="B1525" s="1222" t="s">
        <v>234</v>
      </c>
      <c r="C1525" s="1219" t="str">
        <f>VLOOKUP(C1523,LISTPROD[],9,FALSE)</f>
        <v>500 ML</v>
      </c>
      <c r="D1525" s="733"/>
    </row>
    <row r="1526" spans="1:12" ht="15" customHeight="1" x14ac:dyDescent="0.25">
      <c r="B1526" s="1222" t="s">
        <v>239</v>
      </c>
      <c r="C1526" s="1224">
        <v>420</v>
      </c>
      <c r="D1526" s="1218"/>
    </row>
    <row r="1527" spans="1:12" ht="15" customHeight="1" x14ac:dyDescent="0.25">
      <c r="B1527" s="1222" t="s">
        <v>240</v>
      </c>
      <c r="C1527" s="1219"/>
      <c r="D1527" s="733"/>
    </row>
    <row r="1528" spans="1:12" ht="15" customHeight="1" x14ac:dyDescent="0.25">
      <c r="B1528" s="1222" t="s">
        <v>238</v>
      </c>
      <c r="C1528" s="733" t="s">
        <v>56</v>
      </c>
      <c r="D1528" s="1218" t="s">
        <v>449</v>
      </c>
    </row>
    <row r="1529" spans="1:12" ht="24.75" customHeight="1" x14ac:dyDescent="0.25">
      <c r="B1529" s="1225" t="s">
        <v>410</v>
      </c>
      <c r="C1529" s="753">
        <v>500</v>
      </c>
      <c r="D1529" s="1226"/>
    </row>
    <row r="1530" spans="1:12" ht="15" customHeight="1" x14ac:dyDescent="0.25">
      <c r="A1530" s="1227"/>
      <c r="B1530" s="1436" t="s">
        <v>404</v>
      </c>
      <c r="C1530" s="1436"/>
      <c r="D1530" s="1436"/>
      <c r="E1530" s="1436"/>
      <c r="F1530" s="1436"/>
      <c r="G1530" s="1228"/>
      <c r="H1530" s="1437" t="s">
        <v>416</v>
      </c>
      <c r="I1530" s="1438"/>
    </row>
    <row r="1531" spans="1:12" ht="34.5" customHeight="1" x14ac:dyDescent="0.25">
      <c r="A1531" s="1229"/>
      <c r="B1531" s="1230" t="s">
        <v>398</v>
      </c>
      <c r="C1531" s="1231" t="s">
        <v>441</v>
      </c>
      <c r="D1531" s="1232" t="s">
        <v>399</v>
      </c>
      <c r="E1531" s="1233" t="s">
        <v>402</v>
      </c>
      <c r="F1531" s="1232" t="s">
        <v>399</v>
      </c>
      <c r="G1531" s="1232" t="s">
        <v>411</v>
      </c>
      <c r="H1531" s="1234" t="s">
        <v>408</v>
      </c>
      <c r="I1531" s="1235" t="s">
        <v>415</v>
      </c>
      <c r="K1531" s="1236" t="s">
        <v>603</v>
      </c>
      <c r="L1531" s="1237" t="s">
        <v>604</v>
      </c>
    </row>
    <row r="1532" spans="1:12" ht="15" customHeight="1" x14ac:dyDescent="0.25">
      <c r="A1532" s="1238"/>
      <c r="B1532" s="1228" t="s">
        <v>248</v>
      </c>
      <c r="C1532" s="1228">
        <v>1000</v>
      </c>
      <c r="D1532" s="1239">
        <f>'Prec Materia Prima y Empaq'!$H$21</f>
        <v>15400</v>
      </c>
      <c r="E1532" s="1240">
        <f>D1532*19%</f>
        <v>2926</v>
      </c>
      <c r="F1532" s="1241">
        <f>+E1532+D1532</f>
        <v>18326</v>
      </c>
      <c r="G1532" s="1240">
        <f t="shared" ref="G1532:G1535" si="532">F1532/C1532*H1532</f>
        <v>16493.400000000001</v>
      </c>
      <c r="H1532" s="1242">
        <v>900</v>
      </c>
      <c r="I1532" s="1228" t="s">
        <v>450</v>
      </c>
      <c r="K1532" s="1242">
        <f t="shared" ref="K1532:K1542" si="533">H1532/$C$1526</f>
        <v>2.1428571428571428</v>
      </c>
      <c r="L1532" s="1243">
        <f>F1532/C1532*K1532</f>
        <v>39.270000000000003</v>
      </c>
    </row>
    <row r="1533" spans="1:12" ht="15" customHeight="1" x14ac:dyDescent="0.25">
      <c r="A1533" s="1238"/>
      <c r="B1533" s="1228" t="s">
        <v>443</v>
      </c>
      <c r="C1533" s="1228">
        <v>1000</v>
      </c>
      <c r="D1533" s="1239">
        <f>'Prec Materia Prima y Empaq'!$H$11</f>
        <v>8000</v>
      </c>
      <c r="E1533" s="1240">
        <f t="shared" ref="E1533:E1539" si="534">D1533*19%</f>
        <v>1520</v>
      </c>
      <c r="F1533" s="1241">
        <f t="shared" ref="F1533:F1540" si="535">+E1533+D1533</f>
        <v>9520</v>
      </c>
      <c r="G1533" s="1240">
        <f t="shared" si="532"/>
        <v>5712</v>
      </c>
      <c r="H1533" s="1242">
        <v>600</v>
      </c>
      <c r="I1533" s="1228" t="s">
        <v>450</v>
      </c>
      <c r="K1533" s="1242">
        <f t="shared" si="533"/>
        <v>1.4285714285714286</v>
      </c>
      <c r="L1533" s="1243">
        <f t="shared" ref="L1533:L1540" si="536">F1533/C1533*K1533</f>
        <v>13.6</v>
      </c>
    </row>
    <row r="1534" spans="1:12" ht="15" customHeight="1" x14ac:dyDescent="0.25">
      <c r="A1534" s="1238"/>
      <c r="B1534" s="1228" t="s">
        <v>253</v>
      </c>
      <c r="C1534" s="1228">
        <v>1000</v>
      </c>
      <c r="D1534" s="1239">
        <f>'Prec Materia Prima y Empaq'!$H$9</f>
        <v>5400</v>
      </c>
      <c r="E1534" s="1240">
        <f t="shared" si="534"/>
        <v>1026</v>
      </c>
      <c r="F1534" s="1241">
        <f t="shared" si="535"/>
        <v>6426</v>
      </c>
      <c r="G1534" s="1240">
        <f t="shared" si="532"/>
        <v>6426</v>
      </c>
      <c r="H1534" s="1242">
        <v>1000</v>
      </c>
      <c r="I1534" s="1228" t="s">
        <v>450</v>
      </c>
      <c r="K1534" s="1242">
        <f t="shared" si="533"/>
        <v>2.3809523809523809</v>
      </c>
      <c r="L1534" s="1243">
        <f t="shared" si="536"/>
        <v>15.3</v>
      </c>
    </row>
    <row r="1535" spans="1:12" ht="15" customHeight="1" x14ac:dyDescent="0.25">
      <c r="A1535" s="1238"/>
      <c r="B1535" s="1228" t="s">
        <v>255</v>
      </c>
      <c r="C1535" s="1228">
        <v>1000</v>
      </c>
      <c r="D1535" s="1239">
        <f>'Prec Materia Prima y Empaq'!$H$26</f>
        <v>45404</v>
      </c>
      <c r="E1535" s="1240">
        <f t="shared" si="534"/>
        <v>8626.76</v>
      </c>
      <c r="F1535" s="1241">
        <f t="shared" si="535"/>
        <v>54030.76</v>
      </c>
      <c r="G1535" s="1240">
        <f t="shared" si="532"/>
        <v>8104.6140000000005</v>
      </c>
      <c r="H1535" s="1242">
        <v>150</v>
      </c>
      <c r="I1535" s="1228" t="s">
        <v>450</v>
      </c>
      <c r="K1535" s="1242">
        <f t="shared" si="533"/>
        <v>0.35714285714285715</v>
      </c>
      <c r="L1535" s="1243">
        <f t="shared" si="536"/>
        <v>19.296700000000001</v>
      </c>
    </row>
    <row r="1536" spans="1:12" ht="15" customHeight="1" x14ac:dyDescent="0.25">
      <c r="A1536" s="1238"/>
      <c r="B1536" s="1228" t="s">
        <v>382</v>
      </c>
      <c r="C1536" s="1228">
        <v>3785</v>
      </c>
      <c r="D1536" s="1239">
        <f>'Prec Materia Prima y Empaq'!$H$18</f>
        <v>24</v>
      </c>
      <c r="E1536" s="1240">
        <f t="shared" si="534"/>
        <v>4.5600000000000005</v>
      </c>
      <c r="F1536" s="1241">
        <f t="shared" si="535"/>
        <v>28.560000000000002</v>
      </c>
      <c r="G1536" s="1240">
        <f>F1536/C1536*H1536</f>
        <v>0.37727873183619554</v>
      </c>
      <c r="H1536" s="1242">
        <v>50</v>
      </c>
      <c r="I1536" s="1228" t="s">
        <v>450</v>
      </c>
      <c r="K1536" s="1242">
        <f t="shared" si="533"/>
        <v>0.11904761904761904</v>
      </c>
      <c r="L1536" s="1243">
        <f t="shared" si="536"/>
        <v>8.9828269484808459E-4</v>
      </c>
    </row>
    <row r="1537" spans="1:29" ht="15" customHeight="1" x14ac:dyDescent="0.25">
      <c r="A1537" s="1238"/>
      <c r="B1537" s="1228" t="s">
        <v>262</v>
      </c>
      <c r="C1537" s="1228">
        <v>1000</v>
      </c>
      <c r="D1537" s="1273">
        <f>'Prec Materia Prima y Empaq'!$H$55</f>
        <v>50522</v>
      </c>
      <c r="E1537" s="1240">
        <f t="shared" si="534"/>
        <v>9599.18</v>
      </c>
      <c r="F1537" s="1241">
        <f t="shared" si="535"/>
        <v>60121.18</v>
      </c>
      <c r="G1537" s="1240">
        <f t="shared" ref="G1537:G1538" si="537">F1537/C1537*H1537</f>
        <v>6012.1180000000004</v>
      </c>
      <c r="H1537" s="1242">
        <v>100</v>
      </c>
      <c r="I1537" s="1228" t="s">
        <v>450</v>
      </c>
      <c r="K1537" s="1242">
        <f t="shared" si="533"/>
        <v>0.23809523809523808</v>
      </c>
      <c r="L1537" s="1243">
        <f t="shared" si="536"/>
        <v>14.314566666666666</v>
      </c>
    </row>
    <row r="1538" spans="1:29" ht="15" customHeight="1" x14ac:dyDescent="0.25">
      <c r="A1538" s="1238"/>
      <c r="B1538" s="1228" t="s">
        <v>246</v>
      </c>
      <c r="C1538" s="1228">
        <v>1000</v>
      </c>
      <c r="D1538" s="1239">
        <f>'Prec Materia Prima y Empaq'!$H$41</f>
        <v>80268</v>
      </c>
      <c r="E1538" s="1240">
        <f t="shared" si="534"/>
        <v>15250.92</v>
      </c>
      <c r="F1538" s="1241">
        <f t="shared" si="535"/>
        <v>95518.92</v>
      </c>
      <c r="G1538" s="1240">
        <f t="shared" si="537"/>
        <v>1910.3783999999998</v>
      </c>
      <c r="H1538" s="1242">
        <v>20</v>
      </c>
      <c r="I1538" s="1228" t="s">
        <v>450</v>
      </c>
      <c r="K1538" s="1242">
        <f t="shared" si="533"/>
        <v>4.7619047619047616E-2</v>
      </c>
      <c r="L1538" s="1243">
        <f t="shared" si="536"/>
        <v>4.5485199999999999</v>
      </c>
    </row>
    <row r="1539" spans="1:29" ht="30.75" customHeight="1" x14ac:dyDescent="0.25">
      <c r="B1539" s="1228" t="s">
        <v>261</v>
      </c>
      <c r="C1539" s="1228">
        <v>1000</v>
      </c>
      <c r="D1539" s="1239">
        <f>'Prec Materia Prima y Empaq'!$H$12</f>
        <v>4700</v>
      </c>
      <c r="E1539" s="1240">
        <f t="shared" si="534"/>
        <v>893</v>
      </c>
      <c r="F1539" s="1241">
        <f t="shared" si="535"/>
        <v>5593</v>
      </c>
      <c r="G1539" s="1241">
        <f>F1539/C1539*H1539</f>
        <v>1118.5999999999999</v>
      </c>
      <c r="H1539" s="1228">
        <v>200</v>
      </c>
      <c r="I1539" s="1228" t="s">
        <v>450</v>
      </c>
      <c r="K1539" s="1242">
        <f t="shared" si="533"/>
        <v>0.47619047619047616</v>
      </c>
      <c r="L1539" s="1243">
        <f t="shared" si="536"/>
        <v>2.6633333333333331</v>
      </c>
    </row>
    <row r="1540" spans="1:29" ht="31.5" customHeight="1" x14ac:dyDescent="0.25">
      <c r="B1540" s="1220" t="s">
        <v>247</v>
      </c>
      <c r="C1540" s="1228">
        <v>1000</v>
      </c>
      <c r="D1540" s="1244">
        <f>'Prec Materia Prima y Empaq'!$H$7</f>
        <v>50000</v>
      </c>
      <c r="E1540" s="1240">
        <v>0</v>
      </c>
      <c r="F1540" s="1241">
        <f t="shared" si="535"/>
        <v>50000</v>
      </c>
      <c r="G1540" s="1240">
        <f>F1540/C1540*H1540</f>
        <v>32.022471910112351</v>
      </c>
      <c r="H1540" s="1245">
        <v>0.64044943820224698</v>
      </c>
      <c r="I1540" s="1245" t="s">
        <v>453</v>
      </c>
      <c r="K1540" s="1242">
        <f t="shared" ref="K1540" si="538">H1540/$C$1371</f>
        <v>7.6243980738362736E-4</v>
      </c>
      <c r="L1540" s="1243">
        <f t="shared" si="536"/>
        <v>3.8121990369181367E-2</v>
      </c>
      <c r="N1540" s="1220" t="s">
        <v>247</v>
      </c>
      <c r="O1540" s="1247">
        <v>1</v>
      </c>
      <c r="P1540" s="1240">
        <f>$F$391/$C$391*$O$391</f>
        <v>50</v>
      </c>
      <c r="Q1540" s="1248"/>
      <c r="R1540" s="1249" t="e">
        <f>P1540/O1529</f>
        <v>#DIV/0!</v>
      </c>
      <c r="S1540" s="1248" t="e">
        <f>R1540*1000</f>
        <v>#DIV/0!</v>
      </c>
      <c r="T1540" s="1250">
        <f>O1540/$O$380*1000</f>
        <v>2.5641025641025641E-3</v>
      </c>
      <c r="U1540" s="1238">
        <f>T1540*$M$380</f>
        <v>1</v>
      </c>
      <c r="Y1540" s="1238"/>
      <c r="Z1540" s="1238"/>
      <c r="AA1540" s="1251"/>
      <c r="AC1540" s="1252"/>
    </row>
    <row r="1541" spans="1:29" ht="31.5" customHeight="1" x14ac:dyDescent="0.25">
      <c r="A1541" s="1218"/>
      <c r="B1541" s="1220" t="s">
        <v>490</v>
      </c>
      <c r="C1541" s="1220">
        <v>1</v>
      </c>
      <c r="D1541" s="1244">
        <f>'Preci Comp Prod'!$N$21</f>
        <v>650</v>
      </c>
      <c r="E1541" s="1240">
        <v>0</v>
      </c>
      <c r="F1541" s="1241">
        <f>+E1541+D1541</f>
        <v>650</v>
      </c>
      <c r="G1541" s="1253">
        <f t="shared" ref="G1541:G1546" si="539">F1541*H1541</f>
        <v>273000</v>
      </c>
      <c r="H1541" s="1245">
        <f>$C$1526</f>
        <v>420</v>
      </c>
      <c r="I1541" s="1245" t="s">
        <v>453</v>
      </c>
      <c r="K1541" s="1242">
        <f t="shared" si="533"/>
        <v>1</v>
      </c>
      <c r="L1541" s="1243">
        <f t="shared" ref="L1541:L1542" si="540">F1541/C1541*K1541</f>
        <v>650</v>
      </c>
    </row>
    <row r="1542" spans="1:29" ht="32.25" customHeight="1" x14ac:dyDescent="0.25">
      <c r="B1542" s="1220" t="s">
        <v>614</v>
      </c>
      <c r="C1542" s="1220">
        <v>1</v>
      </c>
      <c r="D1542" s="1244">
        <f>'Prec Materia Prima y Empaq'!$H$144</f>
        <v>70</v>
      </c>
      <c r="E1542" s="1240">
        <v>0</v>
      </c>
      <c r="F1542" s="1241">
        <f t="shared" ref="F1542:F1546" si="541">+E1542+D1542</f>
        <v>70</v>
      </c>
      <c r="G1542" s="1253">
        <f t="shared" si="539"/>
        <v>29400</v>
      </c>
      <c r="H1542" s="1245">
        <f t="shared" ref="H1542:H1546" si="542">$C$1526</f>
        <v>420</v>
      </c>
      <c r="I1542" s="1245" t="s">
        <v>453</v>
      </c>
      <c r="K1542" s="1242">
        <f t="shared" si="533"/>
        <v>1</v>
      </c>
      <c r="L1542" s="1243">
        <f t="shared" si="540"/>
        <v>70</v>
      </c>
    </row>
    <row r="1543" spans="1:29" ht="54" customHeight="1" x14ac:dyDescent="0.25">
      <c r="B1543" s="1220" t="s">
        <v>695</v>
      </c>
      <c r="C1543" s="1245">
        <v>1</v>
      </c>
      <c r="D1543" s="1272">
        <f>'Prec Materia Prima y Empaq'!$H$161</f>
        <v>300</v>
      </c>
      <c r="E1543" s="1240">
        <v>0</v>
      </c>
      <c r="F1543" s="1241">
        <f t="shared" si="541"/>
        <v>300</v>
      </c>
      <c r="G1543" s="1253">
        <f t="shared" si="539"/>
        <v>126000</v>
      </c>
      <c r="H1543" s="1245">
        <f t="shared" si="542"/>
        <v>420</v>
      </c>
      <c r="I1543" s="1245" t="s">
        <v>453</v>
      </c>
      <c r="K1543" s="1242">
        <f t="shared" ref="K1543:K1546" si="543">H1543/$C$1526</f>
        <v>1</v>
      </c>
      <c r="L1543" s="1243">
        <f t="shared" ref="L1543:L1546" si="544">F1543/C1543*K1543</f>
        <v>300</v>
      </c>
    </row>
    <row r="1544" spans="1:29" ht="32.25" customHeight="1" x14ac:dyDescent="0.25">
      <c r="B1544" s="1228" t="s">
        <v>452</v>
      </c>
      <c r="C1544" s="1245">
        <v>1</v>
      </c>
      <c r="D1544" s="1244">
        <f>'Prec Materia Prima y Empaq'!$H$140</f>
        <v>120</v>
      </c>
      <c r="E1544" s="1240">
        <v>0</v>
      </c>
      <c r="F1544" s="1241">
        <f t="shared" si="541"/>
        <v>120</v>
      </c>
      <c r="G1544" s="1253">
        <f t="shared" si="539"/>
        <v>50400</v>
      </c>
      <c r="H1544" s="1245">
        <f t="shared" si="542"/>
        <v>420</v>
      </c>
      <c r="I1544" s="1245" t="s">
        <v>453</v>
      </c>
      <c r="K1544" s="1242">
        <f t="shared" si="543"/>
        <v>1</v>
      </c>
      <c r="L1544" s="1243">
        <f t="shared" si="544"/>
        <v>120</v>
      </c>
    </row>
    <row r="1545" spans="1:29" ht="15" customHeight="1" x14ac:dyDescent="0.25">
      <c r="B1545" s="1254" t="s">
        <v>310</v>
      </c>
      <c r="C1545" s="1245">
        <v>1</v>
      </c>
      <c r="D1545" s="1244">
        <f>'Prec Materia Prima y Empaq'!$H$130</f>
        <v>100</v>
      </c>
      <c r="E1545" s="1240">
        <v>0</v>
      </c>
      <c r="F1545" s="1241">
        <f t="shared" si="541"/>
        <v>100</v>
      </c>
      <c r="G1545" s="1253">
        <f t="shared" si="539"/>
        <v>42000</v>
      </c>
      <c r="H1545" s="1245">
        <f t="shared" si="542"/>
        <v>420</v>
      </c>
      <c r="I1545" s="1245" t="s">
        <v>453</v>
      </c>
      <c r="K1545" s="1242">
        <f t="shared" si="543"/>
        <v>1</v>
      </c>
      <c r="L1545" s="1243">
        <f t="shared" si="544"/>
        <v>100</v>
      </c>
    </row>
    <row r="1546" spans="1:29" ht="15" customHeight="1" x14ac:dyDescent="0.25">
      <c r="B1546" s="1228" t="s">
        <v>309</v>
      </c>
      <c r="C1546" s="1245">
        <v>1</v>
      </c>
      <c r="D1546" s="1244">
        <f>'Prec Materia Prima y Empaq'!$H$129</f>
        <v>800</v>
      </c>
      <c r="E1546" s="1240">
        <v>0</v>
      </c>
      <c r="F1546" s="1241">
        <f t="shared" si="541"/>
        <v>800</v>
      </c>
      <c r="G1546" s="1253">
        <f t="shared" si="539"/>
        <v>336000</v>
      </c>
      <c r="H1546" s="1245">
        <f t="shared" si="542"/>
        <v>420</v>
      </c>
      <c r="I1546" s="1245" t="s">
        <v>453</v>
      </c>
      <c r="K1546" s="1242">
        <f t="shared" si="543"/>
        <v>1</v>
      </c>
      <c r="L1546" s="1243">
        <f t="shared" si="544"/>
        <v>800</v>
      </c>
    </row>
    <row r="1547" spans="1:29" ht="19.5" customHeight="1" thickBot="1" x14ac:dyDescent="0.3">
      <c r="B1547" s="1255"/>
      <c r="C1547" s="857"/>
      <c r="D1547" s="1256"/>
      <c r="E1547" s="1248"/>
      <c r="F1547" s="1257"/>
      <c r="G1547" s="1258">
        <f>SUM(G1532:G1546)/C1526</f>
        <v>2149.0702622634331</v>
      </c>
      <c r="H1547" s="1259" t="s">
        <v>454</v>
      </c>
      <c r="I1547" s="857"/>
      <c r="L1547" s="1260">
        <f>SUM(L1532:L1546)</f>
        <v>2149.0321402730642</v>
      </c>
    </row>
    <row r="1548" spans="1:29" ht="15" customHeight="1" thickTop="1" x14ac:dyDescent="0.25">
      <c r="B1548" s="1314" t="s">
        <v>409</v>
      </c>
      <c r="C1548" s="1315"/>
      <c r="D1548" s="1316">
        <f>+'Gtos Varios'!I14</f>
        <v>3672.93</v>
      </c>
      <c r="E1548" s="1315"/>
      <c r="F1548" s="1317">
        <f t="shared" ref="F1548" si="545">+E1548+D1548</f>
        <v>3672.93</v>
      </c>
      <c r="G1548" s="1318">
        <f>F1548</f>
        <v>3672.93</v>
      </c>
      <c r="H1548" s="1315" t="str">
        <f>B1548</f>
        <v xml:space="preserve">GASTOS VARIOS </v>
      </c>
      <c r="I1548" s="1315"/>
    </row>
    <row r="1549" spans="1:29" ht="15" customHeight="1" x14ac:dyDescent="0.25">
      <c r="B1549" s="1255"/>
      <c r="C1549" s="857"/>
      <c r="D1549" s="1256"/>
      <c r="E1549" s="1248"/>
      <c r="F1549" s="1257"/>
      <c r="G1549" s="1266"/>
      <c r="H1549" s="857"/>
      <c r="I1549" s="857"/>
    </row>
    <row r="1550" spans="1:29" ht="15" customHeight="1" x14ac:dyDescent="0.25">
      <c r="B1550" s="1255"/>
      <c r="C1550" s="857"/>
      <c r="D1550" s="1256"/>
      <c r="E1550" s="1248"/>
      <c r="F1550" s="1257"/>
      <c r="G1550" s="1266"/>
      <c r="H1550" s="857"/>
      <c r="I1550" s="857"/>
    </row>
    <row r="1551" spans="1:29" ht="15" customHeight="1" thickBot="1" x14ac:dyDescent="0.3">
      <c r="F1551" s="1267">
        <f>SUM(F1532:F1546)</f>
        <v>301604.42</v>
      </c>
      <c r="G1551" s="1268">
        <f>SUM(G1547:G1548)</f>
        <v>5822.0002622634329</v>
      </c>
      <c r="H1551" s="733" t="s">
        <v>412</v>
      </c>
    </row>
    <row r="1552" spans="1:29" ht="15" customHeight="1" thickTop="1" x14ac:dyDescent="0.25">
      <c r="G1552" s="1295">
        <f>G1551*56%</f>
        <v>3260.3201468675229</v>
      </c>
      <c r="H1552" s="1274">
        <v>0.56000000000000005</v>
      </c>
      <c r="I1552" s="733" t="s">
        <v>539</v>
      </c>
    </row>
    <row r="1553" spans="1:12" ht="15" customHeight="1" thickBot="1" x14ac:dyDescent="0.3">
      <c r="G1553" s="1270">
        <f>G1551+G1552</f>
        <v>9082.3204091309563</v>
      </c>
      <c r="H1553" s="733" t="s">
        <v>414</v>
      </c>
    </row>
    <row r="1554" spans="1:12" ht="15" customHeight="1" thickTop="1" x14ac:dyDescent="0.25"/>
    <row r="1558" spans="1:12" ht="15" customHeight="1" x14ac:dyDescent="0.25">
      <c r="B1558" s="1222" t="s">
        <v>61</v>
      </c>
      <c r="C1558" s="1219" t="s">
        <v>180</v>
      </c>
      <c r="D1558" s="733"/>
    </row>
    <row r="1559" spans="1:12" ht="15" customHeight="1" x14ac:dyDescent="0.25">
      <c r="A1559" s="1223" t="s">
        <v>718</v>
      </c>
      <c r="B1559" s="1222" t="s">
        <v>62</v>
      </c>
      <c r="C1559" s="1219" t="str">
        <f>VLOOKUP(C1558,LISTPROD[],2,FALSE)</f>
        <v>PROX TAP LT</v>
      </c>
      <c r="D1559" s="733" t="s">
        <v>486</v>
      </c>
      <c r="E1559" s="733" t="s">
        <v>491</v>
      </c>
    </row>
    <row r="1560" spans="1:12" ht="15" customHeight="1" x14ac:dyDescent="0.25">
      <c r="B1560" s="1222" t="s">
        <v>234</v>
      </c>
      <c r="C1560" s="1219" t="str">
        <f>VLOOKUP(C1558,LISTPROD[],9,FALSE)</f>
        <v>1000 ML</v>
      </c>
      <c r="D1560" s="733"/>
    </row>
    <row r="1561" spans="1:12" ht="15" customHeight="1" x14ac:dyDescent="0.25">
      <c r="B1561" s="1222" t="s">
        <v>239</v>
      </c>
      <c r="C1561" s="1224">
        <v>220</v>
      </c>
      <c r="D1561" s="1218"/>
    </row>
    <row r="1562" spans="1:12" ht="15" customHeight="1" x14ac:dyDescent="0.25">
      <c r="B1562" s="1222" t="s">
        <v>240</v>
      </c>
      <c r="C1562" s="1219"/>
      <c r="D1562" s="733"/>
    </row>
    <row r="1563" spans="1:12" ht="15" customHeight="1" x14ac:dyDescent="0.25">
      <c r="B1563" s="1222" t="s">
        <v>238</v>
      </c>
      <c r="C1563" s="733" t="s">
        <v>56</v>
      </c>
      <c r="D1563" s="1218" t="s">
        <v>449</v>
      </c>
    </row>
    <row r="1564" spans="1:12" ht="15" customHeight="1" x14ac:dyDescent="0.25">
      <c r="B1564" s="1225" t="s">
        <v>410</v>
      </c>
      <c r="C1564" s="753">
        <v>1000</v>
      </c>
      <c r="D1564" s="1226"/>
    </row>
    <row r="1565" spans="1:12" ht="15" customHeight="1" x14ac:dyDescent="0.25">
      <c r="A1565" s="1227"/>
      <c r="B1565" s="1436" t="s">
        <v>404</v>
      </c>
      <c r="C1565" s="1436"/>
      <c r="D1565" s="1436"/>
      <c r="E1565" s="1436"/>
      <c r="F1565" s="1436"/>
      <c r="G1565" s="1228"/>
      <c r="H1565" s="1437" t="s">
        <v>416</v>
      </c>
      <c r="I1565" s="1438"/>
    </row>
    <row r="1566" spans="1:12" ht="34.5" customHeight="1" x14ac:dyDescent="0.25">
      <c r="A1566" s="1229"/>
      <c r="B1566" s="1230" t="s">
        <v>398</v>
      </c>
      <c r="C1566" s="1231" t="s">
        <v>441</v>
      </c>
      <c r="D1566" s="1232" t="s">
        <v>399</v>
      </c>
      <c r="E1566" s="1233" t="s">
        <v>402</v>
      </c>
      <c r="F1566" s="1232" t="s">
        <v>399</v>
      </c>
      <c r="G1566" s="1232" t="s">
        <v>411</v>
      </c>
      <c r="H1566" s="1234" t="s">
        <v>408</v>
      </c>
      <c r="I1566" s="1235" t="s">
        <v>415</v>
      </c>
      <c r="K1566" s="1236" t="s">
        <v>603</v>
      </c>
      <c r="L1566" s="1237" t="s">
        <v>604</v>
      </c>
    </row>
    <row r="1567" spans="1:12" ht="15" customHeight="1" x14ac:dyDescent="0.25">
      <c r="A1567" s="1238"/>
      <c r="B1567" s="1228" t="s">
        <v>248</v>
      </c>
      <c r="C1567" s="1228">
        <v>1000</v>
      </c>
      <c r="D1567" s="1239">
        <f>'Prec Materia Prima y Empaq'!$H$21</f>
        <v>15400</v>
      </c>
      <c r="E1567" s="1240">
        <f>D1567*19%</f>
        <v>2926</v>
      </c>
      <c r="F1567" s="1241">
        <f>+E1567+D1567</f>
        <v>18326</v>
      </c>
      <c r="G1567" s="1240">
        <f t="shared" ref="G1567:G1570" si="546">F1567/C1567*H1567</f>
        <v>16493.400000000001</v>
      </c>
      <c r="H1567" s="1242">
        <v>900</v>
      </c>
      <c r="I1567" s="1228" t="s">
        <v>450</v>
      </c>
      <c r="K1567" s="1242">
        <f t="shared" ref="K1567:K1573" si="547">H1567/$C$1561</f>
        <v>4.0909090909090908</v>
      </c>
      <c r="L1567" s="1243">
        <f>F1567/C1567*K1567</f>
        <v>74.97</v>
      </c>
    </row>
    <row r="1568" spans="1:12" ht="15" customHeight="1" x14ac:dyDescent="0.25">
      <c r="A1568" s="1238"/>
      <c r="B1568" s="1228" t="s">
        <v>443</v>
      </c>
      <c r="C1568" s="1228">
        <v>1000</v>
      </c>
      <c r="D1568" s="1239">
        <f>'Prec Materia Prima y Empaq'!$H$11</f>
        <v>8000</v>
      </c>
      <c r="E1568" s="1240">
        <f t="shared" ref="E1568:E1574" si="548">D1568*19%</f>
        <v>1520</v>
      </c>
      <c r="F1568" s="1241">
        <f t="shared" ref="F1568:F1575" si="549">+E1568+D1568</f>
        <v>9520</v>
      </c>
      <c r="G1568" s="1240">
        <f t="shared" si="546"/>
        <v>5712</v>
      </c>
      <c r="H1568" s="1242">
        <v>600</v>
      </c>
      <c r="I1568" s="1228" t="s">
        <v>450</v>
      </c>
      <c r="K1568" s="1242">
        <f t="shared" si="547"/>
        <v>2.7272727272727271</v>
      </c>
      <c r="L1568" s="1243">
        <f t="shared" ref="L1568:L1577" si="550">F1568/C1568*K1568</f>
        <v>25.963636363636361</v>
      </c>
    </row>
    <row r="1569" spans="1:29" ht="15" customHeight="1" x14ac:dyDescent="0.25">
      <c r="A1569" s="1238"/>
      <c r="B1569" s="1228" t="s">
        <v>253</v>
      </c>
      <c r="C1569" s="1228">
        <v>1000</v>
      </c>
      <c r="D1569" s="1239">
        <f>'Prec Materia Prima y Empaq'!$H$9</f>
        <v>5400</v>
      </c>
      <c r="E1569" s="1240">
        <f t="shared" si="548"/>
        <v>1026</v>
      </c>
      <c r="F1569" s="1241">
        <f t="shared" si="549"/>
        <v>6426</v>
      </c>
      <c r="G1569" s="1240">
        <f t="shared" si="546"/>
        <v>6426</v>
      </c>
      <c r="H1569" s="1242">
        <v>1000</v>
      </c>
      <c r="I1569" s="1228" t="s">
        <v>450</v>
      </c>
      <c r="K1569" s="1242">
        <f t="shared" si="547"/>
        <v>4.5454545454545459</v>
      </c>
      <c r="L1569" s="1243">
        <f t="shared" si="550"/>
        <v>29.209090909090911</v>
      </c>
    </row>
    <row r="1570" spans="1:29" ht="15" customHeight="1" x14ac:dyDescent="0.25">
      <c r="A1570" s="1238"/>
      <c r="B1570" s="1228" t="s">
        <v>255</v>
      </c>
      <c r="C1570" s="1228">
        <v>1000</v>
      </c>
      <c r="D1570" s="1239">
        <f>'Prec Materia Prima y Empaq'!$H$26</f>
        <v>45404</v>
      </c>
      <c r="E1570" s="1240">
        <f t="shared" si="548"/>
        <v>8626.76</v>
      </c>
      <c r="F1570" s="1241">
        <f t="shared" si="549"/>
        <v>54030.76</v>
      </c>
      <c r="G1570" s="1240">
        <f t="shared" si="546"/>
        <v>8104.6140000000005</v>
      </c>
      <c r="H1570" s="1242">
        <v>150</v>
      </c>
      <c r="I1570" s="1228" t="s">
        <v>450</v>
      </c>
      <c r="K1570" s="1242">
        <f t="shared" si="547"/>
        <v>0.68181818181818177</v>
      </c>
      <c r="L1570" s="1243">
        <f t="shared" si="550"/>
        <v>36.839154545454541</v>
      </c>
    </row>
    <row r="1571" spans="1:29" ht="15" customHeight="1" x14ac:dyDescent="0.25">
      <c r="A1571" s="1238"/>
      <c r="B1571" s="1228" t="s">
        <v>382</v>
      </c>
      <c r="C1571" s="1228">
        <v>3785</v>
      </c>
      <c r="D1571" s="1239">
        <f>'Prec Materia Prima y Empaq'!$H$18</f>
        <v>24</v>
      </c>
      <c r="E1571" s="1240">
        <f t="shared" si="548"/>
        <v>4.5600000000000005</v>
      </c>
      <c r="F1571" s="1241">
        <f t="shared" si="549"/>
        <v>28.560000000000002</v>
      </c>
      <c r="G1571" s="1240">
        <f>F1571/C1571*H1571</f>
        <v>0.37727873183619554</v>
      </c>
      <c r="H1571" s="1242">
        <v>50</v>
      </c>
      <c r="I1571" s="1228" t="s">
        <v>450</v>
      </c>
      <c r="K1571" s="1242">
        <f t="shared" si="547"/>
        <v>0.22727272727272727</v>
      </c>
      <c r="L1571" s="1243">
        <f t="shared" si="550"/>
        <v>1.7149033265281615E-3</v>
      </c>
    </row>
    <row r="1572" spans="1:29" ht="15" customHeight="1" x14ac:dyDescent="0.25">
      <c r="A1572" s="1238"/>
      <c r="B1572" s="1228" t="s">
        <v>262</v>
      </c>
      <c r="C1572" s="1228">
        <v>1000</v>
      </c>
      <c r="D1572" s="1273">
        <f>'Prec Materia Prima y Empaq'!$H$55</f>
        <v>50522</v>
      </c>
      <c r="E1572" s="1240">
        <f t="shared" si="548"/>
        <v>9599.18</v>
      </c>
      <c r="F1572" s="1241">
        <f t="shared" si="549"/>
        <v>60121.18</v>
      </c>
      <c r="G1572" s="1240">
        <f t="shared" ref="G1572:G1573" si="551">F1572/C1572*H1572</f>
        <v>6012.1180000000004</v>
      </c>
      <c r="H1572" s="1242">
        <v>100</v>
      </c>
      <c r="I1572" s="1228" t="s">
        <v>450</v>
      </c>
      <c r="K1572" s="1242">
        <f t="shared" si="547"/>
        <v>0.45454545454545453</v>
      </c>
      <c r="L1572" s="1243">
        <f t="shared" si="550"/>
        <v>27.327809090909092</v>
      </c>
    </row>
    <row r="1573" spans="1:29" ht="15" customHeight="1" x14ac:dyDescent="0.25">
      <c r="A1573" s="1238"/>
      <c r="B1573" s="1228" t="s">
        <v>246</v>
      </c>
      <c r="C1573" s="1228">
        <v>1000</v>
      </c>
      <c r="D1573" s="1239">
        <f>'Prec Materia Prima y Empaq'!$H$41</f>
        <v>80268</v>
      </c>
      <c r="E1573" s="1240">
        <f t="shared" si="548"/>
        <v>15250.92</v>
      </c>
      <c r="F1573" s="1241">
        <f t="shared" si="549"/>
        <v>95518.92</v>
      </c>
      <c r="G1573" s="1240">
        <f t="shared" si="551"/>
        <v>1910.3783999999998</v>
      </c>
      <c r="H1573" s="1242">
        <v>20</v>
      </c>
      <c r="I1573" s="1228" t="s">
        <v>450</v>
      </c>
      <c r="K1573" s="1242">
        <f t="shared" si="547"/>
        <v>9.0909090909090912E-2</v>
      </c>
      <c r="L1573" s="1243">
        <f t="shared" si="550"/>
        <v>8.6835381818181823</v>
      </c>
    </row>
    <row r="1574" spans="1:29" ht="15" customHeight="1" x14ac:dyDescent="0.25">
      <c r="A1574" s="1238"/>
      <c r="B1574" s="1228" t="s">
        <v>261</v>
      </c>
      <c r="C1574" s="1228">
        <v>1000</v>
      </c>
      <c r="D1574" s="1239">
        <f>'Prec Materia Prima y Empaq'!$H$12</f>
        <v>4700</v>
      </c>
      <c r="E1574" s="1240">
        <f t="shared" si="548"/>
        <v>893</v>
      </c>
      <c r="F1574" s="1241">
        <f t="shared" si="549"/>
        <v>5593</v>
      </c>
      <c r="G1574" s="1241">
        <f>F1574/C1574*H1574</f>
        <v>1118.5999999999999</v>
      </c>
      <c r="H1574" s="1228">
        <v>200</v>
      </c>
      <c r="I1574" s="1228" t="s">
        <v>450</v>
      </c>
      <c r="K1574" s="1242">
        <f t="shared" ref="K1574:K1576" si="552">H1574/$C$1561</f>
        <v>0.90909090909090906</v>
      </c>
      <c r="L1574" s="1243">
        <f t="shared" ref="L1574:L1576" si="553">F1574/C1574*K1574</f>
        <v>5.084545454545454</v>
      </c>
    </row>
    <row r="1575" spans="1:29" ht="31.5" customHeight="1" x14ac:dyDescent="0.25">
      <c r="B1575" s="1220" t="s">
        <v>247</v>
      </c>
      <c r="C1575" s="1228">
        <v>1000</v>
      </c>
      <c r="D1575" s="1244">
        <f>'Prec Materia Prima y Empaq'!$H$7</f>
        <v>50000</v>
      </c>
      <c r="E1575" s="1240">
        <v>0</v>
      </c>
      <c r="F1575" s="1241">
        <f t="shared" si="549"/>
        <v>50000</v>
      </c>
      <c r="G1575" s="1240">
        <f>F1575/C1575*H1575</f>
        <v>32.022471910112351</v>
      </c>
      <c r="H1575" s="1245">
        <v>0.64044943820224698</v>
      </c>
      <c r="I1575" s="1245" t="s">
        <v>453</v>
      </c>
      <c r="K1575" s="1242">
        <f t="shared" ref="K1575" si="554">H1575/$C$1371</f>
        <v>7.6243980738362736E-4</v>
      </c>
      <c r="L1575" s="1243">
        <f t="shared" si="553"/>
        <v>3.8121990369181367E-2</v>
      </c>
      <c r="N1575" s="1220" t="s">
        <v>247</v>
      </c>
      <c r="O1575" s="1247">
        <v>1</v>
      </c>
      <c r="P1575" s="1240">
        <f>$F$391/$C$391*$O$391</f>
        <v>50</v>
      </c>
      <c r="Q1575" s="1248"/>
      <c r="R1575" s="1249" t="e">
        <f>P1575/O1564</f>
        <v>#DIV/0!</v>
      </c>
      <c r="S1575" s="1248" t="e">
        <f>R1575*1000</f>
        <v>#DIV/0!</v>
      </c>
      <c r="T1575" s="1250">
        <f>O1575/$O$380*1000</f>
        <v>2.5641025641025641E-3</v>
      </c>
      <c r="U1575" s="1238">
        <f>T1575*$M$380</f>
        <v>1</v>
      </c>
      <c r="Y1575" s="1238"/>
      <c r="Z1575" s="1238"/>
      <c r="AA1575" s="1251"/>
      <c r="AC1575" s="1252"/>
    </row>
    <row r="1576" spans="1:29" ht="60" customHeight="1" x14ac:dyDescent="0.25">
      <c r="B1576" s="1220" t="s">
        <v>494</v>
      </c>
      <c r="C1576" s="1220">
        <v>1</v>
      </c>
      <c r="D1576" s="1244">
        <f>'Prec Materia Prima y Empaq'!$H$141</f>
        <v>1500</v>
      </c>
      <c r="E1576" s="1240">
        <v>0</v>
      </c>
      <c r="F1576" s="1241">
        <f t="shared" ref="F1576:F1578" si="555">+E1576+D1576</f>
        <v>1500</v>
      </c>
      <c r="G1576" s="1253">
        <f>F1576*H1576</f>
        <v>330000</v>
      </c>
      <c r="H1576" s="1245">
        <f>$C$711</f>
        <v>220</v>
      </c>
      <c r="I1576" s="1228" t="s">
        <v>450</v>
      </c>
      <c r="K1576" s="1242">
        <f t="shared" si="552"/>
        <v>1</v>
      </c>
      <c r="L1576" s="1243">
        <f t="shared" si="553"/>
        <v>1500</v>
      </c>
    </row>
    <row r="1577" spans="1:29" ht="56.25" customHeight="1" x14ac:dyDescent="0.25">
      <c r="B1577" s="1220" t="s">
        <v>695</v>
      </c>
      <c r="C1577" s="1220">
        <v>1</v>
      </c>
      <c r="D1577" s="1272">
        <f>'Prec Materia Prima y Empaq'!$H$161</f>
        <v>300</v>
      </c>
      <c r="E1577" s="1240">
        <v>0</v>
      </c>
      <c r="F1577" s="1241">
        <f t="shared" si="555"/>
        <v>300</v>
      </c>
      <c r="G1577" s="1253">
        <f t="shared" ref="G1577:G1578" si="556">F1577*H1577</f>
        <v>66000</v>
      </c>
      <c r="H1577" s="1245">
        <f t="shared" ref="H1577:H1578" si="557">$C$711</f>
        <v>220</v>
      </c>
      <c r="I1577" s="1245" t="s">
        <v>453</v>
      </c>
      <c r="K1577" s="1242">
        <f>H1577/$C$1561</f>
        <v>1</v>
      </c>
      <c r="L1577" s="1243">
        <f t="shared" si="550"/>
        <v>300</v>
      </c>
    </row>
    <row r="1578" spans="1:29" ht="24" customHeight="1" x14ac:dyDescent="0.25">
      <c r="B1578" s="1254" t="s">
        <v>310</v>
      </c>
      <c r="C1578" s="1245">
        <v>1</v>
      </c>
      <c r="D1578" s="1244">
        <f>'Prec Materia Prima y Empaq'!$H$130</f>
        <v>100</v>
      </c>
      <c r="E1578" s="1240">
        <v>0</v>
      </c>
      <c r="F1578" s="1241">
        <f t="shared" si="555"/>
        <v>100</v>
      </c>
      <c r="G1578" s="1253">
        <f t="shared" si="556"/>
        <v>22000</v>
      </c>
      <c r="H1578" s="1245">
        <f t="shared" si="557"/>
        <v>220</v>
      </c>
      <c r="I1578" s="1245" t="s">
        <v>453</v>
      </c>
      <c r="K1578" s="1242">
        <f t="shared" ref="K1578" si="558">H1578/$C$1561</f>
        <v>1</v>
      </c>
      <c r="L1578" s="1243">
        <f t="shared" ref="L1578" si="559">F1578/C1578*K1578</f>
        <v>100</v>
      </c>
    </row>
    <row r="1579" spans="1:29" ht="19.5" customHeight="1" thickBot="1" x14ac:dyDescent="0.3">
      <c r="B1579" s="1255"/>
      <c r="C1579" s="857"/>
      <c r="D1579" s="1256"/>
      <c r="E1579" s="1248"/>
      <c r="F1579" s="1257"/>
      <c r="G1579" s="1258">
        <f>SUM(G1567:G1578)/C1561</f>
        <v>2108.2250461392819</v>
      </c>
      <c r="H1579" s="1259" t="s">
        <v>454</v>
      </c>
      <c r="I1579" s="857"/>
      <c r="L1579" s="1260">
        <f>SUM(L1567:L1578)</f>
        <v>2108.1176114391501</v>
      </c>
    </row>
    <row r="1580" spans="1:29" ht="15" customHeight="1" thickTop="1" x14ac:dyDescent="0.25">
      <c r="B1580" s="1314" t="s">
        <v>409</v>
      </c>
      <c r="C1580" s="1315"/>
      <c r="D1580" s="1316">
        <f>+'Gtos Varios'!I14</f>
        <v>3672.93</v>
      </c>
      <c r="E1580" s="1315"/>
      <c r="F1580" s="1317">
        <f t="shared" ref="F1580" si="560">+E1580+D1580</f>
        <v>3672.93</v>
      </c>
      <c r="G1580" s="1318">
        <f>F1580</f>
        <v>3672.93</v>
      </c>
      <c r="H1580" s="1315" t="str">
        <f>B1580</f>
        <v xml:space="preserve">GASTOS VARIOS </v>
      </c>
      <c r="I1580" s="857"/>
    </row>
    <row r="1581" spans="1:29" ht="15" customHeight="1" x14ac:dyDescent="0.25">
      <c r="B1581" s="1255"/>
      <c r="C1581" s="857"/>
      <c r="D1581" s="1256"/>
      <c r="E1581" s="1248"/>
      <c r="F1581" s="1257"/>
      <c r="G1581" s="1266"/>
      <c r="H1581" s="857"/>
      <c r="I1581" s="857"/>
    </row>
    <row r="1582" spans="1:29" ht="15" customHeight="1" x14ac:dyDescent="0.25">
      <c r="B1582" s="1255"/>
      <c r="C1582" s="857"/>
      <c r="D1582" s="1256"/>
      <c r="E1582" s="1248"/>
      <c r="F1582" s="1257"/>
      <c r="G1582" s="1266"/>
      <c r="H1582" s="857"/>
      <c r="I1582" s="857"/>
    </row>
    <row r="1583" spans="1:29" ht="15" customHeight="1" thickBot="1" x14ac:dyDescent="0.3">
      <c r="F1583" s="1267">
        <f>SUM(F1567:F1578)</f>
        <v>301464.42</v>
      </c>
      <c r="G1583" s="1268">
        <f>SUM(G1579:G1580)</f>
        <v>5781.1550461392817</v>
      </c>
      <c r="H1583" s="733" t="s">
        <v>412</v>
      </c>
    </row>
    <row r="1584" spans="1:29" ht="15" customHeight="1" thickTop="1" x14ac:dyDescent="0.25">
      <c r="G1584" s="1295">
        <f>G1583*58%</f>
        <v>3353.0699267607833</v>
      </c>
      <c r="H1584" s="1274">
        <v>0.57999999999999996</v>
      </c>
      <c r="I1584" s="733" t="s">
        <v>539</v>
      </c>
    </row>
    <row r="1585" spans="1:12" ht="15" customHeight="1" thickBot="1" x14ac:dyDescent="0.3">
      <c r="G1585" s="1270">
        <f>G1583+G1584</f>
        <v>9134.224972900065</v>
      </c>
      <c r="H1585" s="733" t="s">
        <v>414</v>
      </c>
    </row>
    <row r="1586" spans="1:12" ht="15" customHeight="1" thickTop="1" x14ac:dyDescent="0.25"/>
    <row r="1589" spans="1:12" ht="15" customHeight="1" x14ac:dyDescent="0.25">
      <c r="B1589" s="1222" t="s">
        <v>61</v>
      </c>
      <c r="C1589" s="1219" t="s">
        <v>182</v>
      </c>
      <c r="D1589" s="733"/>
      <c r="F1589" s="853"/>
    </row>
    <row r="1590" spans="1:12" ht="15" customHeight="1" x14ac:dyDescent="0.25">
      <c r="A1590" s="1223" t="s">
        <v>718</v>
      </c>
      <c r="B1590" s="1222" t="s">
        <v>62</v>
      </c>
      <c r="C1590" s="1219" t="str">
        <f>VLOOKUP(C1589,LISTPROD[],2,FALSE)</f>
        <v>RENAL PLUS</v>
      </c>
      <c r="D1590" s="1219" t="s">
        <v>486</v>
      </c>
      <c r="E1590" s="861" t="s">
        <v>487</v>
      </c>
      <c r="F1590" s="853"/>
    </row>
    <row r="1591" spans="1:12" ht="15" customHeight="1" x14ac:dyDescent="0.25">
      <c r="B1591" s="1222" t="s">
        <v>234</v>
      </c>
      <c r="C1591" s="1219" t="str">
        <f>VLOOKUP(C1589,LISTPROD[],9,FALSE)</f>
        <v>500 ML</v>
      </c>
      <c r="D1591" s="733"/>
      <c r="E1591" s="853"/>
      <c r="F1591" s="853"/>
    </row>
    <row r="1592" spans="1:12" ht="15" customHeight="1" x14ac:dyDescent="0.25">
      <c r="B1592" s="1222" t="s">
        <v>239</v>
      </c>
      <c r="C1592" s="1224">
        <v>420</v>
      </c>
      <c r="D1592" s="1218"/>
      <c r="E1592" s="853"/>
      <c r="F1592" s="853"/>
    </row>
    <row r="1593" spans="1:12" ht="15" customHeight="1" x14ac:dyDescent="0.25">
      <c r="B1593" s="1222" t="s">
        <v>240</v>
      </c>
      <c r="C1593" s="1219"/>
      <c r="D1593" s="733"/>
    </row>
    <row r="1594" spans="1:12" ht="15" customHeight="1" x14ac:dyDescent="0.25">
      <c r="B1594" s="1222" t="s">
        <v>238</v>
      </c>
      <c r="C1594" s="733" t="s">
        <v>56</v>
      </c>
      <c r="D1594" s="1218" t="s">
        <v>449</v>
      </c>
    </row>
    <row r="1595" spans="1:12" ht="15" customHeight="1" x14ac:dyDescent="0.25">
      <c r="B1595" s="1225" t="s">
        <v>410</v>
      </c>
      <c r="C1595" s="753">
        <v>500</v>
      </c>
      <c r="D1595" s="1226"/>
    </row>
    <row r="1596" spans="1:12" ht="15" customHeight="1" x14ac:dyDescent="0.25">
      <c r="A1596" s="1227"/>
      <c r="B1596" s="1436" t="s">
        <v>404</v>
      </c>
      <c r="C1596" s="1436"/>
      <c r="D1596" s="1436"/>
      <c r="E1596" s="1436"/>
      <c r="F1596" s="1436"/>
      <c r="G1596" s="1228"/>
      <c r="H1596" s="1437" t="s">
        <v>416</v>
      </c>
      <c r="I1596" s="1438"/>
    </row>
    <row r="1597" spans="1:12" ht="34.5" customHeight="1" x14ac:dyDescent="0.25">
      <c r="A1597" s="1229"/>
      <c r="B1597" s="1230" t="s">
        <v>398</v>
      </c>
      <c r="C1597" s="1231" t="s">
        <v>441</v>
      </c>
      <c r="D1597" s="1232" t="s">
        <v>399</v>
      </c>
      <c r="E1597" s="1233" t="s">
        <v>402</v>
      </c>
      <c r="F1597" s="1232" t="s">
        <v>399</v>
      </c>
      <c r="G1597" s="1232" t="s">
        <v>411</v>
      </c>
      <c r="H1597" s="1234" t="s">
        <v>408</v>
      </c>
      <c r="I1597" s="1235" t="s">
        <v>415</v>
      </c>
      <c r="K1597" s="1236" t="s">
        <v>603</v>
      </c>
      <c r="L1597" s="1237" t="s">
        <v>604</v>
      </c>
    </row>
    <row r="1598" spans="1:12" ht="15" customHeight="1" x14ac:dyDescent="0.25">
      <c r="A1598" s="1238"/>
      <c r="B1598" s="1228" t="s">
        <v>248</v>
      </c>
      <c r="C1598" s="1228">
        <v>1000</v>
      </c>
      <c r="D1598" s="1239">
        <f>'Prec Materia Prima y Empaq'!$H$21</f>
        <v>15400</v>
      </c>
      <c r="E1598" s="1240">
        <f>D1598*19%</f>
        <v>2926</v>
      </c>
      <c r="F1598" s="1241">
        <f>+E1598+D1598</f>
        <v>18326</v>
      </c>
      <c r="G1598" s="1240">
        <f>F1598/C1598*H1598</f>
        <v>16493.400000000001</v>
      </c>
      <c r="H1598" s="1242">
        <v>900</v>
      </c>
      <c r="I1598" s="1228" t="s">
        <v>450</v>
      </c>
      <c r="K1598" s="1242">
        <f>H1598/$C$1592</f>
        <v>2.1428571428571428</v>
      </c>
      <c r="L1598" s="1243">
        <f>F1598/C1598*K1598</f>
        <v>39.270000000000003</v>
      </c>
    </row>
    <row r="1599" spans="1:12" ht="15" customHeight="1" x14ac:dyDescent="0.25">
      <c r="A1599" s="1238"/>
      <c r="B1599" s="1228" t="s">
        <v>443</v>
      </c>
      <c r="C1599" s="1228">
        <v>1000</v>
      </c>
      <c r="D1599" s="1239">
        <f>'Prec Materia Prima y Empaq'!$H$11</f>
        <v>8000</v>
      </c>
      <c r="E1599" s="1240">
        <f t="shared" ref="E1599:E1605" si="561">D1599*19%</f>
        <v>1520</v>
      </c>
      <c r="F1599" s="1241">
        <f t="shared" ref="F1599:F1606" si="562">+E1599+D1599</f>
        <v>9520</v>
      </c>
      <c r="G1599" s="1240">
        <f t="shared" ref="G1599:G1605" si="563">F1599/C1599*H1599</f>
        <v>5712</v>
      </c>
      <c r="H1599" s="1242">
        <v>600</v>
      </c>
      <c r="I1599" s="1228" t="s">
        <v>450</v>
      </c>
      <c r="K1599" s="1242">
        <f t="shared" ref="K1599:K1612" si="564">H1599/$C$1592</f>
        <v>1.4285714285714286</v>
      </c>
      <c r="L1599" s="1243">
        <f t="shared" ref="L1599:L1612" si="565">F1599/C1599*K1599</f>
        <v>13.6</v>
      </c>
    </row>
    <row r="1600" spans="1:12" ht="15" customHeight="1" x14ac:dyDescent="0.25">
      <c r="A1600" s="1238"/>
      <c r="B1600" s="1228" t="s">
        <v>253</v>
      </c>
      <c r="C1600" s="1228">
        <v>1000</v>
      </c>
      <c r="D1600" s="1239">
        <f>'Prec Materia Prima y Empaq'!$H$9</f>
        <v>5400</v>
      </c>
      <c r="E1600" s="1240">
        <f t="shared" si="561"/>
        <v>1026</v>
      </c>
      <c r="F1600" s="1241">
        <f t="shared" si="562"/>
        <v>6426</v>
      </c>
      <c r="G1600" s="1240">
        <f t="shared" si="563"/>
        <v>6426</v>
      </c>
      <c r="H1600" s="1242">
        <v>1000</v>
      </c>
      <c r="I1600" s="1228" t="s">
        <v>450</v>
      </c>
      <c r="K1600" s="1242">
        <f t="shared" si="564"/>
        <v>2.3809523809523809</v>
      </c>
      <c r="L1600" s="1243">
        <f t="shared" si="565"/>
        <v>15.3</v>
      </c>
    </row>
    <row r="1601" spans="1:29" ht="15" customHeight="1" x14ac:dyDescent="0.25">
      <c r="A1601" s="1238"/>
      <c r="B1601" s="1228" t="s">
        <v>255</v>
      </c>
      <c r="C1601" s="1228">
        <v>1000</v>
      </c>
      <c r="D1601" s="1239">
        <f>'Prec Materia Prima y Empaq'!$H$26</f>
        <v>45404</v>
      </c>
      <c r="E1601" s="1240">
        <f t="shared" si="561"/>
        <v>8626.76</v>
      </c>
      <c r="F1601" s="1241">
        <f t="shared" si="562"/>
        <v>54030.76</v>
      </c>
      <c r="G1601" s="1240">
        <f t="shared" si="563"/>
        <v>8104.6140000000005</v>
      </c>
      <c r="H1601" s="1242">
        <v>150</v>
      </c>
      <c r="I1601" s="1228" t="s">
        <v>450</v>
      </c>
      <c r="K1601" s="1242">
        <f t="shared" si="564"/>
        <v>0.35714285714285715</v>
      </c>
      <c r="L1601" s="1243">
        <f t="shared" si="565"/>
        <v>19.296700000000001</v>
      </c>
    </row>
    <row r="1602" spans="1:29" ht="15" customHeight="1" x14ac:dyDescent="0.25">
      <c r="A1602" s="1238"/>
      <c r="B1602" s="1228" t="s">
        <v>382</v>
      </c>
      <c r="C1602" s="1228">
        <v>3785</v>
      </c>
      <c r="D1602" s="1239">
        <f>'Prec Materia Prima y Empaq'!$H$18</f>
        <v>24</v>
      </c>
      <c r="E1602" s="1240">
        <f t="shared" si="561"/>
        <v>4.5600000000000005</v>
      </c>
      <c r="F1602" s="1241">
        <f t="shared" si="562"/>
        <v>28.560000000000002</v>
      </c>
      <c r="G1602" s="1240">
        <f t="shared" si="563"/>
        <v>0.37727873183619554</v>
      </c>
      <c r="H1602" s="1242">
        <v>50</v>
      </c>
      <c r="I1602" s="1228" t="s">
        <v>450</v>
      </c>
      <c r="K1602" s="1242">
        <f t="shared" si="564"/>
        <v>0.11904761904761904</v>
      </c>
      <c r="L1602" s="1243">
        <f t="shared" si="565"/>
        <v>8.9828269484808459E-4</v>
      </c>
    </row>
    <row r="1603" spans="1:29" ht="15" customHeight="1" x14ac:dyDescent="0.25">
      <c r="A1603" s="1238"/>
      <c r="B1603" s="1228" t="s">
        <v>262</v>
      </c>
      <c r="C1603" s="1228">
        <v>1000</v>
      </c>
      <c r="D1603" s="1273">
        <f>'Prec Materia Prima y Empaq'!$H$55</f>
        <v>50522</v>
      </c>
      <c r="E1603" s="1240">
        <f t="shared" si="561"/>
        <v>9599.18</v>
      </c>
      <c r="F1603" s="1241">
        <f t="shared" si="562"/>
        <v>60121.18</v>
      </c>
      <c r="G1603" s="1240">
        <f t="shared" si="563"/>
        <v>6012.1180000000004</v>
      </c>
      <c r="H1603" s="1242">
        <v>100</v>
      </c>
      <c r="I1603" s="1228" t="s">
        <v>450</v>
      </c>
      <c r="K1603" s="1242">
        <f t="shared" si="564"/>
        <v>0.23809523809523808</v>
      </c>
      <c r="L1603" s="1243">
        <f t="shared" si="565"/>
        <v>14.314566666666666</v>
      </c>
    </row>
    <row r="1604" spans="1:29" ht="15" customHeight="1" x14ac:dyDescent="0.25">
      <c r="A1604" s="1238"/>
      <c r="B1604" s="1228" t="s">
        <v>246</v>
      </c>
      <c r="C1604" s="1228">
        <v>1000</v>
      </c>
      <c r="D1604" s="1239">
        <f>'Prec Materia Prima y Empaq'!$H$41</f>
        <v>80268</v>
      </c>
      <c r="E1604" s="1240">
        <f t="shared" si="561"/>
        <v>15250.92</v>
      </c>
      <c r="F1604" s="1241">
        <f t="shared" si="562"/>
        <v>95518.92</v>
      </c>
      <c r="G1604" s="1240">
        <f t="shared" si="563"/>
        <v>1910.3783999999998</v>
      </c>
      <c r="H1604" s="1242">
        <v>20</v>
      </c>
      <c r="I1604" s="1228" t="s">
        <v>450</v>
      </c>
      <c r="K1604" s="1242">
        <f t="shared" si="564"/>
        <v>4.7619047619047616E-2</v>
      </c>
      <c r="L1604" s="1243">
        <f t="shared" si="565"/>
        <v>4.5485199999999999</v>
      </c>
    </row>
    <row r="1605" spans="1:29" ht="15" customHeight="1" x14ac:dyDescent="0.25">
      <c r="A1605" s="1238"/>
      <c r="B1605" s="1228" t="s">
        <v>261</v>
      </c>
      <c r="C1605" s="1228">
        <v>1000</v>
      </c>
      <c r="D1605" s="1239">
        <f>'Prec Materia Prima y Empaq'!$H$12</f>
        <v>4700</v>
      </c>
      <c r="E1605" s="1240">
        <f t="shared" si="561"/>
        <v>893</v>
      </c>
      <c r="F1605" s="1241">
        <f t="shared" si="562"/>
        <v>5593</v>
      </c>
      <c r="G1605" s="1240">
        <f t="shared" si="563"/>
        <v>1118.5999999999999</v>
      </c>
      <c r="H1605" s="1228">
        <v>200</v>
      </c>
      <c r="I1605" s="1228" t="s">
        <v>450</v>
      </c>
      <c r="K1605" s="1242">
        <f t="shared" si="564"/>
        <v>0.47619047619047616</v>
      </c>
      <c r="L1605" s="1243">
        <f t="shared" si="565"/>
        <v>2.6633333333333331</v>
      </c>
    </row>
    <row r="1606" spans="1:29" ht="31.5" customHeight="1" x14ac:dyDescent="0.25">
      <c r="B1606" s="1220" t="s">
        <v>247</v>
      </c>
      <c r="C1606" s="1228">
        <v>1000</v>
      </c>
      <c r="D1606" s="1244">
        <f>'Prec Materia Prima y Empaq'!$H$7</f>
        <v>50000</v>
      </c>
      <c r="E1606" s="1240">
        <v>0</v>
      </c>
      <c r="F1606" s="1241">
        <f t="shared" si="562"/>
        <v>50000</v>
      </c>
      <c r="G1606" s="1240">
        <f>F1606/C1606*H1606</f>
        <v>32.022471910112351</v>
      </c>
      <c r="H1606" s="1245">
        <v>0.64044943820224698</v>
      </c>
      <c r="I1606" s="1245" t="s">
        <v>453</v>
      </c>
      <c r="K1606" s="1242">
        <f t="shared" ref="K1606" si="566">H1606/$C$1371</f>
        <v>7.6243980738362736E-4</v>
      </c>
      <c r="L1606" s="1243">
        <f t="shared" si="565"/>
        <v>3.8121990369181367E-2</v>
      </c>
      <c r="N1606" s="1220" t="s">
        <v>247</v>
      </c>
      <c r="O1606" s="1247">
        <v>1</v>
      </c>
      <c r="P1606" s="1240">
        <f>$F$391/$C$391*$O$391</f>
        <v>50</v>
      </c>
      <c r="Q1606" s="1248"/>
      <c r="R1606" s="1249" t="e">
        <f>P1606/O1595</f>
        <v>#DIV/0!</v>
      </c>
      <c r="S1606" s="1248" t="e">
        <f>R1606*1000</f>
        <v>#DIV/0!</v>
      </c>
      <c r="T1606" s="1250">
        <f>O1606/$O$380*1000</f>
        <v>2.5641025641025641E-3</v>
      </c>
      <c r="U1606" s="1238">
        <f>T1606*$M$380</f>
        <v>1</v>
      </c>
      <c r="Y1606" s="1238"/>
      <c r="Z1606" s="1238"/>
      <c r="AA1606" s="1251"/>
      <c r="AC1606" s="1252"/>
    </row>
    <row r="1607" spans="1:29" ht="30.75" customHeight="1" x14ac:dyDescent="0.25">
      <c r="B1607" s="1220" t="s">
        <v>485</v>
      </c>
      <c r="C1607" s="1220">
        <v>1</v>
      </c>
      <c r="D1607" s="1244">
        <f>'Prec Materia Prima y Empaq'!$H$138</f>
        <v>650</v>
      </c>
      <c r="E1607" s="1240">
        <v>0</v>
      </c>
      <c r="F1607" s="1241">
        <f t="shared" ref="F1607:F1610" si="567">+E1607+D1607</f>
        <v>650</v>
      </c>
      <c r="G1607" s="1253">
        <f>F1607*H1607</f>
        <v>273000</v>
      </c>
      <c r="H1607" s="1245">
        <f>$C$1592</f>
        <v>420</v>
      </c>
      <c r="I1607" s="1245" t="s">
        <v>453</v>
      </c>
      <c r="K1607" s="1242">
        <f t="shared" si="564"/>
        <v>1</v>
      </c>
      <c r="L1607" s="1243">
        <f t="shared" si="565"/>
        <v>650</v>
      </c>
    </row>
    <row r="1608" spans="1:29" ht="15" customHeight="1" x14ac:dyDescent="0.25">
      <c r="B1608" s="1220" t="s">
        <v>614</v>
      </c>
      <c r="C1608" s="1220">
        <v>1</v>
      </c>
      <c r="D1608" s="1244">
        <f>'Prec Materia Prima y Empaq'!$H$144</f>
        <v>70</v>
      </c>
      <c r="E1608" s="1240">
        <v>0</v>
      </c>
      <c r="F1608" s="1241">
        <f t="shared" si="567"/>
        <v>70</v>
      </c>
      <c r="G1608" s="1253">
        <f t="shared" ref="G1608:G1612" si="568">F1608*H1608</f>
        <v>29400</v>
      </c>
      <c r="H1608" s="1245">
        <f t="shared" ref="H1608:H1612" si="569">$C$1592</f>
        <v>420</v>
      </c>
      <c r="I1608" s="1245" t="s">
        <v>453</v>
      </c>
      <c r="K1608" s="1242">
        <f t="shared" si="564"/>
        <v>1</v>
      </c>
      <c r="L1608" s="1243">
        <f t="shared" si="565"/>
        <v>70</v>
      </c>
    </row>
    <row r="1609" spans="1:29" ht="42.75" customHeight="1" x14ac:dyDescent="0.25">
      <c r="B1609" s="1220" t="s">
        <v>695</v>
      </c>
      <c r="C1609" s="1245">
        <v>1</v>
      </c>
      <c r="D1609" s="1272">
        <f>'Prec Materia Prima y Empaq'!$H$161</f>
        <v>300</v>
      </c>
      <c r="E1609" s="1240">
        <v>0</v>
      </c>
      <c r="F1609" s="1241">
        <f t="shared" si="567"/>
        <v>300</v>
      </c>
      <c r="G1609" s="1253">
        <f t="shared" si="568"/>
        <v>126000</v>
      </c>
      <c r="H1609" s="1245">
        <f t="shared" si="569"/>
        <v>420</v>
      </c>
      <c r="I1609" s="1245" t="s">
        <v>453</v>
      </c>
      <c r="K1609" s="1242">
        <f t="shared" si="564"/>
        <v>1</v>
      </c>
      <c r="L1609" s="1243">
        <f t="shared" si="565"/>
        <v>300</v>
      </c>
    </row>
    <row r="1610" spans="1:29" ht="15" customHeight="1" x14ac:dyDescent="0.25">
      <c r="B1610" s="1279" t="s">
        <v>675</v>
      </c>
      <c r="C1610" s="1245">
        <v>1</v>
      </c>
      <c r="D1610" s="1272">
        <f>'Prec Materia Prima y Empaq'!$H$162</f>
        <v>100</v>
      </c>
      <c r="E1610" s="1240"/>
      <c r="F1610" s="1241">
        <f t="shared" si="567"/>
        <v>100</v>
      </c>
      <c r="G1610" s="1253">
        <f t="shared" si="568"/>
        <v>42000</v>
      </c>
      <c r="H1610" s="1245">
        <f t="shared" si="569"/>
        <v>420</v>
      </c>
      <c r="I1610" s="1245" t="s">
        <v>453</v>
      </c>
      <c r="K1610" s="1242">
        <f t="shared" si="564"/>
        <v>1</v>
      </c>
      <c r="L1610" s="1243">
        <f t="shared" si="565"/>
        <v>100</v>
      </c>
    </row>
    <row r="1611" spans="1:29" ht="15" customHeight="1" x14ac:dyDescent="0.25">
      <c r="B1611" s="1220" t="s">
        <v>310</v>
      </c>
      <c r="C1611" s="1245">
        <v>1</v>
      </c>
      <c r="D1611" s="1272">
        <f>'Prec Materia Prima y Empaq'!$H$130</f>
        <v>100</v>
      </c>
      <c r="E1611" s="1240">
        <v>0</v>
      </c>
      <c r="F1611" s="1241">
        <f t="shared" ref="F1611:F1612" si="570">+E1611+D1611</f>
        <v>100</v>
      </c>
      <c r="G1611" s="1253">
        <f t="shared" si="568"/>
        <v>42000</v>
      </c>
      <c r="H1611" s="1245">
        <f t="shared" si="569"/>
        <v>420</v>
      </c>
      <c r="I1611" s="1245" t="s">
        <v>453</v>
      </c>
      <c r="K1611" s="1242">
        <f t="shared" si="564"/>
        <v>1</v>
      </c>
      <c r="L1611" s="1243">
        <f t="shared" si="565"/>
        <v>100</v>
      </c>
    </row>
    <row r="1612" spans="1:29" ht="15" customHeight="1" x14ac:dyDescent="0.25">
      <c r="B1612" s="1245" t="s">
        <v>309</v>
      </c>
      <c r="C1612" s="1245">
        <v>1</v>
      </c>
      <c r="D1612" s="1272">
        <f>'Prec Materia Prima y Empaq'!$H$129</f>
        <v>800</v>
      </c>
      <c r="E1612" s="1240">
        <v>0</v>
      </c>
      <c r="F1612" s="1241">
        <f t="shared" si="570"/>
        <v>800</v>
      </c>
      <c r="G1612" s="1253">
        <f t="shared" si="568"/>
        <v>336000</v>
      </c>
      <c r="H1612" s="1245">
        <f t="shared" si="569"/>
        <v>420</v>
      </c>
      <c r="I1612" s="1245" t="s">
        <v>453</v>
      </c>
      <c r="K1612" s="1242">
        <f t="shared" si="564"/>
        <v>1</v>
      </c>
      <c r="L1612" s="1243">
        <f t="shared" si="565"/>
        <v>800</v>
      </c>
    </row>
    <row r="1613" spans="1:29" ht="19.5" customHeight="1" thickBot="1" x14ac:dyDescent="0.3">
      <c r="B1613" s="1255"/>
      <c r="C1613" s="857"/>
      <c r="D1613" s="1256"/>
      <c r="E1613" s="1248"/>
      <c r="F1613" s="1257"/>
      <c r="G1613" s="1258">
        <f>SUM(G1598:G1612)/C1592</f>
        <v>2129.0702622634331</v>
      </c>
      <c r="H1613" s="1259" t="s">
        <v>454</v>
      </c>
      <c r="I1613" s="857"/>
      <c r="L1613" s="1260">
        <f>SUM(L1598:L1612)</f>
        <v>2129.0321402730642</v>
      </c>
    </row>
    <row r="1614" spans="1:29" ht="15" customHeight="1" thickTop="1" x14ac:dyDescent="0.25">
      <c r="B1614" s="1314" t="s">
        <v>409</v>
      </c>
      <c r="C1614" s="1315"/>
      <c r="D1614" s="1316">
        <f>+'Gtos Varios'!I14</f>
        <v>3672.93</v>
      </c>
      <c r="E1614" s="1315"/>
      <c r="F1614" s="1317">
        <f t="shared" ref="F1614" si="571">+E1614+D1614</f>
        <v>3672.93</v>
      </c>
      <c r="G1614" s="1318">
        <f>F1614</f>
        <v>3672.93</v>
      </c>
      <c r="H1614" s="1315" t="str">
        <f>B1614</f>
        <v xml:space="preserve">GASTOS VARIOS </v>
      </c>
      <c r="I1614" s="857"/>
    </row>
    <row r="1615" spans="1:29" ht="15" customHeight="1" x14ac:dyDescent="0.25">
      <c r="B1615" s="1255"/>
      <c r="C1615" s="857"/>
      <c r="D1615" s="1256"/>
      <c r="E1615" s="1248"/>
      <c r="F1615" s="1257"/>
      <c r="G1615" s="1266"/>
      <c r="H1615" s="857"/>
      <c r="I1615" s="857"/>
    </row>
    <row r="1616" spans="1:29" ht="15" customHeight="1" x14ac:dyDescent="0.25">
      <c r="B1616" s="1255"/>
      <c r="C1616" s="857"/>
      <c r="D1616" s="1256"/>
      <c r="E1616" s="1248"/>
      <c r="F1616" s="1257"/>
      <c r="G1616" s="1266"/>
      <c r="H1616" s="857"/>
      <c r="I1616" s="857"/>
    </row>
    <row r="1617" spans="1:12" ht="15" customHeight="1" thickBot="1" x14ac:dyDescent="0.3">
      <c r="F1617" s="1267">
        <f>SUM(F1598:F1612)</f>
        <v>301584.42</v>
      </c>
      <c r="G1617" s="1268">
        <f>SUM(G1613:G1614)</f>
        <v>5802.0002622634329</v>
      </c>
      <c r="H1617" s="733" t="s">
        <v>412</v>
      </c>
    </row>
    <row r="1618" spans="1:12" ht="15" customHeight="1" thickTop="1" x14ac:dyDescent="0.25">
      <c r="G1618" s="1295">
        <f>G1617*58%</f>
        <v>3365.1601521127909</v>
      </c>
      <c r="H1618" s="1274">
        <v>0.57999999999999996</v>
      </c>
      <c r="I1618" s="733" t="s">
        <v>539</v>
      </c>
    </row>
    <row r="1619" spans="1:12" ht="15" customHeight="1" thickBot="1" x14ac:dyDescent="0.3">
      <c r="G1619" s="1270">
        <f>G1617+G1618</f>
        <v>9167.1604143762233</v>
      </c>
      <c r="H1619" s="733" t="s">
        <v>414</v>
      </c>
    </row>
    <row r="1620" spans="1:12" ht="15" customHeight="1" thickTop="1" x14ac:dyDescent="0.25"/>
    <row r="1624" spans="1:12" ht="15" customHeight="1" x14ac:dyDescent="0.25">
      <c r="B1624" s="1222" t="s">
        <v>61</v>
      </c>
      <c r="C1624" s="1219" t="s">
        <v>184</v>
      </c>
      <c r="D1624" s="733"/>
    </row>
    <row r="1625" spans="1:12" ht="15" customHeight="1" x14ac:dyDescent="0.25">
      <c r="A1625" s="1223" t="s">
        <v>718</v>
      </c>
      <c r="B1625" s="1222" t="s">
        <v>62</v>
      </c>
      <c r="C1625" s="1219" t="str">
        <f>VLOOKUP(C1624,LISTPROD[],2,FALSE)</f>
        <v>REUMAT OFF LT</v>
      </c>
      <c r="D1625" s="733" t="s">
        <v>486</v>
      </c>
      <c r="E1625" s="733" t="s">
        <v>491</v>
      </c>
    </row>
    <row r="1626" spans="1:12" ht="15" customHeight="1" x14ac:dyDescent="0.25">
      <c r="B1626" s="1222" t="s">
        <v>234</v>
      </c>
      <c r="C1626" s="1219" t="str">
        <f>VLOOKUP(C1624,LISTPROD[],9,FALSE)</f>
        <v>1000 ML</v>
      </c>
      <c r="D1626" s="733"/>
    </row>
    <row r="1627" spans="1:12" ht="15" customHeight="1" x14ac:dyDescent="0.25">
      <c r="B1627" s="1222" t="s">
        <v>239</v>
      </c>
      <c r="C1627" s="1224">
        <v>220</v>
      </c>
      <c r="D1627" s="1218"/>
    </row>
    <row r="1628" spans="1:12" ht="15" customHeight="1" x14ac:dyDescent="0.25">
      <c r="B1628" s="1222" t="s">
        <v>240</v>
      </c>
      <c r="C1628" s="1219"/>
      <c r="D1628" s="733"/>
    </row>
    <row r="1629" spans="1:12" ht="15" customHeight="1" x14ac:dyDescent="0.25">
      <c r="B1629" s="1222" t="s">
        <v>238</v>
      </c>
      <c r="C1629" s="733" t="s">
        <v>56</v>
      </c>
      <c r="D1629" s="1218" t="s">
        <v>449</v>
      </c>
    </row>
    <row r="1630" spans="1:12" ht="15" customHeight="1" x14ac:dyDescent="0.25">
      <c r="B1630" s="1225" t="s">
        <v>410</v>
      </c>
      <c r="C1630" s="753">
        <v>1000</v>
      </c>
      <c r="D1630" s="1226"/>
    </row>
    <row r="1631" spans="1:12" ht="15" customHeight="1" x14ac:dyDescent="0.25">
      <c r="A1631" s="1227"/>
      <c r="B1631" s="1436" t="s">
        <v>404</v>
      </c>
      <c r="C1631" s="1436"/>
      <c r="D1631" s="1436"/>
      <c r="E1631" s="1436"/>
      <c r="F1631" s="1436"/>
      <c r="G1631" s="1228"/>
      <c r="H1631" s="1437" t="s">
        <v>416</v>
      </c>
      <c r="I1631" s="1438"/>
    </row>
    <row r="1632" spans="1:12" ht="34.5" customHeight="1" x14ac:dyDescent="0.25">
      <c r="A1632" s="1229"/>
      <c r="B1632" s="1230" t="s">
        <v>398</v>
      </c>
      <c r="C1632" s="1231" t="s">
        <v>441</v>
      </c>
      <c r="D1632" s="1232" t="s">
        <v>399</v>
      </c>
      <c r="E1632" s="1233" t="s">
        <v>402</v>
      </c>
      <c r="F1632" s="1232" t="s">
        <v>399</v>
      </c>
      <c r="G1632" s="1232" t="s">
        <v>411</v>
      </c>
      <c r="H1632" s="1234" t="s">
        <v>408</v>
      </c>
      <c r="I1632" s="1235" t="s">
        <v>415</v>
      </c>
      <c r="K1632" s="1236" t="s">
        <v>603</v>
      </c>
      <c r="L1632" s="1237" t="s">
        <v>604</v>
      </c>
    </row>
    <row r="1633" spans="1:29" ht="15" customHeight="1" x14ac:dyDescent="0.25">
      <c r="A1633" s="1238"/>
      <c r="B1633" s="1228" t="s">
        <v>248</v>
      </c>
      <c r="C1633" s="1228">
        <v>1000</v>
      </c>
      <c r="D1633" s="1239">
        <f>'Prec Materia Prima y Empaq'!$H$21</f>
        <v>15400</v>
      </c>
      <c r="E1633" s="1240">
        <f>D1633*19%</f>
        <v>2926</v>
      </c>
      <c r="F1633" s="1241">
        <f>+E1633+D1633</f>
        <v>18326</v>
      </c>
      <c r="G1633" s="1240">
        <f>F1633/C1633*H1633</f>
        <v>12828.2</v>
      </c>
      <c r="H1633" s="1242">
        <v>700</v>
      </c>
      <c r="I1633" s="1228" t="s">
        <v>450</v>
      </c>
      <c r="K1633" s="1242">
        <f>H1633/$C$1627</f>
        <v>3.1818181818181817</v>
      </c>
      <c r="L1633" s="1243">
        <f>F1633/C1633*K1633</f>
        <v>58.309999999999995</v>
      </c>
    </row>
    <row r="1634" spans="1:29" ht="15" customHeight="1" x14ac:dyDescent="0.25">
      <c r="A1634" s="1238"/>
      <c r="B1634" s="1228" t="s">
        <v>443</v>
      </c>
      <c r="C1634" s="1228">
        <v>1000</v>
      </c>
      <c r="D1634" s="1239">
        <f>'Prec Materia Prima y Empaq'!$H$11</f>
        <v>8000</v>
      </c>
      <c r="E1634" s="1240">
        <f t="shared" ref="E1634:E1639" si="572">D1634*19%</f>
        <v>1520</v>
      </c>
      <c r="F1634" s="1241">
        <f t="shared" ref="F1634:F1642" si="573">+E1634+D1634</f>
        <v>9520</v>
      </c>
      <c r="G1634" s="1240">
        <f t="shared" ref="G1634:G1636" si="574">F1634/C1634*H1634</f>
        <v>5712</v>
      </c>
      <c r="H1634" s="1242">
        <v>600</v>
      </c>
      <c r="I1634" s="1228" t="s">
        <v>450</v>
      </c>
      <c r="K1634" s="1242">
        <f t="shared" ref="K1634:K1643" si="575">H1634/$C$1627</f>
        <v>2.7272727272727271</v>
      </c>
      <c r="L1634" s="1243">
        <f t="shared" ref="L1634:L1643" si="576">F1634/C1634*K1634</f>
        <v>25.963636363636361</v>
      </c>
    </row>
    <row r="1635" spans="1:29" ht="15" customHeight="1" x14ac:dyDescent="0.25">
      <c r="A1635" s="1238"/>
      <c r="B1635" s="1228" t="s">
        <v>272</v>
      </c>
      <c r="C1635" s="1228">
        <v>1000</v>
      </c>
      <c r="D1635" s="1239">
        <f>'Prec Materia Prima y Empaq'!$H$15</f>
        <v>18000</v>
      </c>
      <c r="E1635" s="1240">
        <f t="shared" si="572"/>
        <v>3420</v>
      </c>
      <c r="F1635" s="1241">
        <f t="shared" si="573"/>
        <v>21420</v>
      </c>
      <c r="G1635" s="1240">
        <f t="shared" si="574"/>
        <v>149940</v>
      </c>
      <c r="H1635" s="1242">
        <v>7000</v>
      </c>
      <c r="I1635" s="1228" t="s">
        <v>450</v>
      </c>
      <c r="K1635" s="1242">
        <f t="shared" si="575"/>
        <v>31.818181818181817</v>
      </c>
      <c r="L1635" s="1243">
        <f t="shared" si="576"/>
        <v>681.54545454545462</v>
      </c>
    </row>
    <row r="1636" spans="1:29" ht="15" customHeight="1" x14ac:dyDescent="0.25">
      <c r="A1636" s="1238"/>
      <c r="B1636" s="1228" t="s">
        <v>261</v>
      </c>
      <c r="C1636" s="1228">
        <v>1000</v>
      </c>
      <c r="D1636" s="1239">
        <f>'Prec Materia Prima y Empaq'!$H$12</f>
        <v>4700</v>
      </c>
      <c r="E1636" s="1240">
        <f t="shared" si="572"/>
        <v>893</v>
      </c>
      <c r="F1636" s="1241">
        <f t="shared" si="573"/>
        <v>5593</v>
      </c>
      <c r="G1636" s="1240">
        <f t="shared" si="574"/>
        <v>1677.9</v>
      </c>
      <c r="H1636" s="1242">
        <v>300</v>
      </c>
      <c r="I1636" s="1228" t="s">
        <v>450</v>
      </c>
      <c r="K1636" s="1242">
        <f t="shared" si="575"/>
        <v>1.3636363636363635</v>
      </c>
      <c r="L1636" s="1243">
        <f t="shared" si="576"/>
        <v>7.6268181818181811</v>
      </c>
    </row>
    <row r="1637" spans="1:29" ht="15" customHeight="1" x14ac:dyDescent="0.25">
      <c r="A1637" s="1238"/>
      <c r="B1637" s="1228" t="s">
        <v>382</v>
      </c>
      <c r="C1637" s="1228">
        <v>3785</v>
      </c>
      <c r="D1637" s="1239">
        <f>'Prec Materia Prima y Empaq'!$H$18</f>
        <v>24</v>
      </c>
      <c r="E1637" s="1240">
        <f t="shared" si="572"/>
        <v>4.5600000000000005</v>
      </c>
      <c r="F1637" s="1241">
        <f t="shared" si="573"/>
        <v>28.560000000000002</v>
      </c>
      <c r="G1637" s="1240">
        <f>F1637/C1637*H1637</f>
        <v>0.37727873183619554</v>
      </c>
      <c r="H1637" s="1242">
        <v>50</v>
      </c>
      <c r="I1637" s="1228" t="s">
        <v>450</v>
      </c>
      <c r="K1637" s="1242">
        <f t="shared" si="575"/>
        <v>0.22727272727272727</v>
      </c>
      <c r="L1637" s="1243">
        <f t="shared" si="576"/>
        <v>1.7149033265281615E-3</v>
      </c>
    </row>
    <row r="1638" spans="1:29" ht="15" customHeight="1" x14ac:dyDescent="0.25">
      <c r="A1638" s="1238"/>
      <c r="B1638" s="1228" t="s">
        <v>262</v>
      </c>
      <c r="C1638" s="1228">
        <v>1000</v>
      </c>
      <c r="D1638" s="1273">
        <f>'Prec Materia Prima y Empaq'!$H$55</f>
        <v>50522</v>
      </c>
      <c r="E1638" s="1240">
        <f t="shared" si="572"/>
        <v>9599.18</v>
      </c>
      <c r="F1638" s="1241">
        <f t="shared" si="573"/>
        <v>60121.18</v>
      </c>
      <c r="G1638" s="1240">
        <f t="shared" ref="G1638:G1639" si="577">F1638/C1638*H1638</f>
        <v>12024.236000000001</v>
      </c>
      <c r="H1638" s="1242">
        <v>200</v>
      </c>
      <c r="I1638" s="1228" t="s">
        <v>450</v>
      </c>
      <c r="K1638" s="1242">
        <f t="shared" si="575"/>
        <v>0.90909090909090906</v>
      </c>
      <c r="L1638" s="1243">
        <f t="shared" si="576"/>
        <v>54.655618181818184</v>
      </c>
    </row>
    <row r="1639" spans="1:29" ht="15" customHeight="1" x14ac:dyDescent="0.25">
      <c r="A1639" s="1238"/>
      <c r="B1639" s="1228" t="s">
        <v>246</v>
      </c>
      <c r="C1639" s="1228">
        <v>1000</v>
      </c>
      <c r="D1639" s="1239">
        <f>'Prec Materia Prima y Empaq'!$H$41</f>
        <v>80268</v>
      </c>
      <c r="E1639" s="1240">
        <f t="shared" si="572"/>
        <v>15250.92</v>
      </c>
      <c r="F1639" s="1241">
        <f t="shared" si="573"/>
        <v>95518.92</v>
      </c>
      <c r="G1639" s="1240">
        <f t="shared" si="577"/>
        <v>3820.7567999999997</v>
      </c>
      <c r="H1639" s="1242">
        <v>40</v>
      </c>
      <c r="I1639" s="1228" t="s">
        <v>450</v>
      </c>
      <c r="K1639" s="1242">
        <f t="shared" si="575"/>
        <v>0.18181818181818182</v>
      </c>
      <c r="L1639" s="1243">
        <f t="shared" si="576"/>
        <v>17.367076363636365</v>
      </c>
    </row>
    <row r="1640" spans="1:29" ht="31.5" customHeight="1" x14ac:dyDescent="0.25">
      <c r="B1640" s="1220" t="s">
        <v>247</v>
      </c>
      <c r="C1640" s="1228">
        <v>1000</v>
      </c>
      <c r="D1640" s="1244">
        <f>'Prec Materia Prima y Empaq'!$H$7</f>
        <v>50000</v>
      </c>
      <c r="E1640" s="1240">
        <v>0</v>
      </c>
      <c r="F1640" s="1241">
        <f t="shared" si="573"/>
        <v>50000</v>
      </c>
      <c r="G1640" s="1240">
        <f>F1640/C1640*H1640</f>
        <v>32.022471910112351</v>
      </c>
      <c r="H1640" s="1245">
        <v>0.64044943820224698</v>
      </c>
      <c r="I1640" s="1245" t="s">
        <v>453</v>
      </c>
      <c r="K1640" s="1242">
        <f t="shared" ref="K1640" si="578">H1640/$C$1371</f>
        <v>7.6243980738362736E-4</v>
      </c>
      <c r="L1640" s="1243">
        <f t="shared" si="576"/>
        <v>3.8121990369181367E-2</v>
      </c>
      <c r="N1640" s="1220" t="s">
        <v>247</v>
      </c>
      <c r="O1640" s="1247">
        <v>1</v>
      </c>
      <c r="P1640" s="1240">
        <f>$F$391/$C$391*$O$391</f>
        <v>50</v>
      </c>
      <c r="Q1640" s="1248"/>
      <c r="R1640" s="1249" t="e">
        <f>P1640/O1629</f>
        <v>#DIV/0!</v>
      </c>
      <c r="S1640" s="1248" t="e">
        <f>R1640*1000</f>
        <v>#DIV/0!</v>
      </c>
      <c r="T1640" s="1250">
        <f>O1640/$O$380*1000</f>
        <v>2.5641025641025641E-3</v>
      </c>
      <c r="U1640" s="1238">
        <f>T1640*$M$380</f>
        <v>1</v>
      </c>
      <c r="Y1640" s="1238"/>
      <c r="Z1640" s="1238"/>
      <c r="AA1640" s="1251"/>
      <c r="AC1640" s="1252"/>
    </row>
    <row r="1641" spans="1:29" ht="15" customHeight="1" x14ac:dyDescent="0.25">
      <c r="A1641" s="1238"/>
      <c r="B1641" s="1220" t="s">
        <v>494</v>
      </c>
      <c r="C1641" s="1220">
        <v>1</v>
      </c>
      <c r="D1641" s="1244">
        <f>'Prec Materia Prima y Empaq'!$H$141</f>
        <v>1500</v>
      </c>
      <c r="E1641" s="1240">
        <v>0</v>
      </c>
      <c r="F1641" s="1241">
        <f t="shared" si="573"/>
        <v>1500</v>
      </c>
      <c r="G1641" s="1253">
        <f t="shared" ref="G1641:G1643" si="579">F1641*H1641</f>
        <v>330000</v>
      </c>
      <c r="H1641" s="1319">
        <f>C1627</f>
        <v>220</v>
      </c>
      <c r="I1641" s="1245" t="s">
        <v>453</v>
      </c>
      <c r="K1641" s="1242">
        <f t="shared" si="575"/>
        <v>1</v>
      </c>
      <c r="L1641" s="1243">
        <f t="shared" si="576"/>
        <v>1500</v>
      </c>
    </row>
    <row r="1642" spans="1:29" ht="52.5" customHeight="1" x14ac:dyDescent="0.25">
      <c r="A1642" s="1238"/>
      <c r="B1642" s="1220" t="s">
        <v>695</v>
      </c>
      <c r="C1642" s="1220">
        <v>1</v>
      </c>
      <c r="D1642" s="1244">
        <f>'Prec Materia Prima y Empaq'!$H$161</f>
        <v>300</v>
      </c>
      <c r="E1642" s="1240"/>
      <c r="F1642" s="1241">
        <f t="shared" si="573"/>
        <v>300</v>
      </c>
      <c r="G1642" s="1253">
        <f t="shared" si="579"/>
        <v>66000</v>
      </c>
      <c r="H1642" s="1319">
        <f>H1641</f>
        <v>220</v>
      </c>
      <c r="I1642" s="1245" t="s">
        <v>453</v>
      </c>
      <c r="K1642" s="1242">
        <f t="shared" ref="K1642" si="580">H1642/$C$1627</f>
        <v>1</v>
      </c>
      <c r="L1642" s="1320">
        <f>F1642/C1642*K1642</f>
        <v>300</v>
      </c>
    </row>
    <row r="1643" spans="1:29" ht="15" customHeight="1" x14ac:dyDescent="0.25">
      <c r="A1643" s="1238"/>
      <c r="B1643" s="1220" t="s">
        <v>310</v>
      </c>
      <c r="C1643" s="1245">
        <v>1</v>
      </c>
      <c r="D1643" s="1244">
        <f>'Prec Materia Prima y Empaq'!$H$130</f>
        <v>100</v>
      </c>
      <c r="E1643" s="1240">
        <v>0</v>
      </c>
      <c r="F1643" s="1241">
        <f t="shared" ref="F1643" si="581">+E1643+D1643</f>
        <v>100</v>
      </c>
      <c r="G1643" s="1253">
        <f t="shared" si="579"/>
        <v>22000</v>
      </c>
      <c r="H1643" s="1319">
        <f>H1641</f>
        <v>220</v>
      </c>
      <c r="I1643" s="1245" t="s">
        <v>453</v>
      </c>
      <c r="K1643" s="1242">
        <f t="shared" si="575"/>
        <v>1</v>
      </c>
      <c r="L1643" s="1243">
        <f t="shared" si="576"/>
        <v>100</v>
      </c>
    </row>
    <row r="1644" spans="1:29" ht="19.5" customHeight="1" thickBot="1" x14ac:dyDescent="0.3">
      <c r="B1644" s="1255"/>
      <c r="C1644" s="857"/>
      <c r="D1644" s="1256"/>
      <c r="E1644" s="1248"/>
      <c r="F1644" s="1257"/>
      <c r="G1644" s="1258">
        <f>SUM(G1633:G1643)/C1627</f>
        <v>2745.6158752301908</v>
      </c>
      <c r="H1644" s="1259" t="s">
        <v>454</v>
      </c>
      <c r="I1644" s="857"/>
      <c r="L1644" s="1260">
        <f>SUM(L1633:L1643)</f>
        <v>2745.5084405300595</v>
      </c>
    </row>
    <row r="1645" spans="1:29" ht="15" customHeight="1" thickTop="1" x14ac:dyDescent="0.25">
      <c r="B1645" s="1314" t="s">
        <v>409</v>
      </c>
      <c r="C1645" s="1315"/>
      <c r="D1645" s="1316">
        <f>+'Gtos Varios'!I14</f>
        <v>3672.93</v>
      </c>
      <c r="E1645" s="1315"/>
      <c r="F1645" s="1317">
        <f t="shared" ref="F1645" si="582">+E1645+D1645</f>
        <v>3672.93</v>
      </c>
      <c r="G1645" s="1318">
        <f>F1645</f>
        <v>3672.93</v>
      </c>
      <c r="H1645" s="1315" t="str">
        <f>B1645</f>
        <v xml:space="preserve">GASTOS VARIOS </v>
      </c>
      <c r="I1645" s="857"/>
    </row>
    <row r="1646" spans="1:29" ht="15" customHeight="1" x14ac:dyDescent="0.25">
      <c r="B1646" s="1255"/>
      <c r="C1646" s="857"/>
      <c r="D1646" s="1256"/>
      <c r="E1646" s="1248"/>
      <c r="F1646" s="1257"/>
      <c r="G1646" s="1266"/>
      <c r="H1646" s="857"/>
      <c r="I1646" s="857"/>
    </row>
    <row r="1647" spans="1:29" ht="15" customHeight="1" x14ac:dyDescent="0.25">
      <c r="B1647" s="1255"/>
      <c r="C1647" s="857"/>
      <c r="D1647" s="1256"/>
      <c r="E1647" s="1248"/>
      <c r="F1647" s="1257"/>
      <c r="G1647" s="1266"/>
      <c r="H1647" s="857"/>
      <c r="I1647" s="857"/>
    </row>
    <row r="1648" spans="1:29" ht="15" customHeight="1" thickBot="1" x14ac:dyDescent="0.3">
      <c r="F1648" s="1267">
        <f>SUM(F1633:F1643)</f>
        <v>262427.65999999997</v>
      </c>
      <c r="G1648" s="1268">
        <f>SUM(G1644:G1645)</f>
        <v>6418.5458752301911</v>
      </c>
      <c r="H1648" s="733" t="s">
        <v>412</v>
      </c>
    </row>
    <row r="1649" spans="1:12" ht="15" customHeight="1" thickTop="1" x14ac:dyDescent="0.25">
      <c r="G1649" s="1295">
        <f>G1648*52%</f>
        <v>3337.6438551196993</v>
      </c>
      <c r="H1649" s="1274">
        <v>0.52</v>
      </c>
      <c r="I1649" s="733" t="s">
        <v>539</v>
      </c>
    </row>
    <row r="1650" spans="1:12" ht="15" customHeight="1" thickBot="1" x14ac:dyDescent="0.3">
      <c r="G1650" s="1270">
        <f>G1648+G1649</f>
        <v>9756.1897303498899</v>
      </c>
      <c r="H1650" s="733" t="s">
        <v>414</v>
      </c>
    </row>
    <row r="1651" spans="1:12" ht="15" customHeight="1" thickTop="1" x14ac:dyDescent="0.25"/>
    <row r="1656" spans="1:12" ht="15" customHeight="1" x14ac:dyDescent="0.25">
      <c r="B1656" s="1222" t="s">
        <v>61</v>
      </c>
      <c r="C1656" s="1219" t="s">
        <v>186</v>
      </c>
      <c r="D1656" s="733"/>
      <c r="F1656" s="853"/>
    </row>
    <row r="1657" spans="1:12" ht="15" customHeight="1" x14ac:dyDescent="0.25">
      <c r="A1657" s="1223" t="s">
        <v>718</v>
      </c>
      <c r="B1657" s="1222" t="s">
        <v>62</v>
      </c>
      <c r="C1657" s="1219" t="str">
        <f>VLOOKUP(C1656,LISTPROD[],2,FALSE)</f>
        <v>ROMPE CALCULOS</v>
      </c>
      <c r="D1657" s="1219" t="s">
        <v>486</v>
      </c>
      <c r="E1657" s="861" t="s">
        <v>487</v>
      </c>
      <c r="F1657" s="853"/>
    </row>
    <row r="1658" spans="1:12" ht="15" customHeight="1" x14ac:dyDescent="0.25">
      <c r="B1658" s="1222" t="s">
        <v>234</v>
      </c>
      <c r="C1658" s="1219" t="str">
        <f>VLOOKUP(C1656,LISTPROD[],9,FALSE)</f>
        <v>500 ML</v>
      </c>
      <c r="D1658" s="733"/>
      <c r="E1658" s="853"/>
      <c r="F1658" s="853"/>
    </row>
    <row r="1659" spans="1:12" ht="15" customHeight="1" x14ac:dyDescent="0.25">
      <c r="B1659" s="1222" t="s">
        <v>239</v>
      </c>
      <c r="C1659" s="1224">
        <v>420</v>
      </c>
      <c r="D1659" s="1218"/>
      <c r="E1659" s="853"/>
      <c r="F1659" s="853"/>
    </row>
    <row r="1660" spans="1:12" ht="15" customHeight="1" x14ac:dyDescent="0.25">
      <c r="B1660" s="1222" t="s">
        <v>240</v>
      </c>
      <c r="C1660" s="1219"/>
      <c r="D1660" s="733"/>
    </row>
    <row r="1661" spans="1:12" ht="15" customHeight="1" x14ac:dyDescent="0.25">
      <c r="B1661" s="1222" t="s">
        <v>238</v>
      </c>
      <c r="C1661" s="733" t="s">
        <v>56</v>
      </c>
      <c r="D1661" s="1218" t="s">
        <v>449</v>
      </c>
    </row>
    <row r="1662" spans="1:12" ht="15" customHeight="1" x14ac:dyDescent="0.25">
      <c r="B1662" s="1225" t="s">
        <v>410</v>
      </c>
      <c r="C1662" s="753">
        <v>500</v>
      </c>
      <c r="D1662" s="1226"/>
    </row>
    <row r="1663" spans="1:12" ht="15" customHeight="1" x14ac:dyDescent="0.25">
      <c r="A1663" s="1227"/>
      <c r="B1663" s="1436" t="s">
        <v>404</v>
      </c>
      <c r="C1663" s="1436"/>
      <c r="D1663" s="1436"/>
      <c r="E1663" s="1436"/>
      <c r="F1663" s="1436"/>
      <c r="G1663" s="1228"/>
      <c r="H1663" s="1437" t="s">
        <v>416</v>
      </c>
      <c r="I1663" s="1438"/>
    </row>
    <row r="1664" spans="1:12" ht="34.5" customHeight="1" x14ac:dyDescent="0.25">
      <c r="A1664" s="1229"/>
      <c r="B1664" s="1230" t="s">
        <v>398</v>
      </c>
      <c r="C1664" s="1231" t="s">
        <v>441</v>
      </c>
      <c r="D1664" s="1232" t="s">
        <v>399</v>
      </c>
      <c r="E1664" s="1233" t="s">
        <v>402</v>
      </c>
      <c r="F1664" s="1232" t="s">
        <v>399</v>
      </c>
      <c r="G1664" s="1232" t="s">
        <v>411</v>
      </c>
      <c r="H1664" s="1234" t="s">
        <v>408</v>
      </c>
      <c r="I1664" s="1235" t="s">
        <v>415</v>
      </c>
      <c r="K1664" s="1236" t="s">
        <v>603</v>
      </c>
      <c r="L1664" s="1237" t="s">
        <v>604</v>
      </c>
    </row>
    <row r="1665" spans="1:29" ht="15" customHeight="1" x14ac:dyDescent="0.25">
      <c r="A1665" s="1238"/>
      <c r="B1665" s="1228" t="s">
        <v>248</v>
      </c>
      <c r="C1665" s="1228">
        <v>1000</v>
      </c>
      <c r="D1665" s="1239">
        <f>'Prec Materia Prima y Empaq'!$H$21</f>
        <v>15400</v>
      </c>
      <c r="E1665" s="1240">
        <f>D1665*19%</f>
        <v>2926</v>
      </c>
      <c r="F1665" s="1241">
        <f>+E1665+D1665</f>
        <v>18326</v>
      </c>
      <c r="G1665" s="1240">
        <f t="shared" ref="G1665:G1668" si="583">F1665/C1665*H1665</f>
        <v>16493.400000000001</v>
      </c>
      <c r="H1665" s="1242">
        <v>900</v>
      </c>
      <c r="I1665" s="1228" t="s">
        <v>450</v>
      </c>
      <c r="K1665" s="1242">
        <f>H1665/$C$1659</f>
        <v>2.1428571428571428</v>
      </c>
      <c r="L1665" s="1243">
        <f>F1665/C1665*K1665</f>
        <v>39.270000000000003</v>
      </c>
    </row>
    <row r="1666" spans="1:29" ht="15" customHeight="1" x14ac:dyDescent="0.25">
      <c r="A1666" s="1238"/>
      <c r="B1666" s="1228" t="s">
        <v>443</v>
      </c>
      <c r="C1666" s="1228">
        <v>1000</v>
      </c>
      <c r="D1666" s="1239">
        <f>'Prec Materia Prima y Empaq'!$H$11</f>
        <v>8000</v>
      </c>
      <c r="E1666" s="1240">
        <f t="shared" ref="E1666:E1672" si="584">D1666*19%</f>
        <v>1520</v>
      </c>
      <c r="F1666" s="1241">
        <f t="shared" ref="F1666:F1677" si="585">+E1666+D1666</f>
        <v>9520</v>
      </c>
      <c r="G1666" s="1240">
        <f t="shared" si="583"/>
        <v>5712</v>
      </c>
      <c r="H1666" s="1242">
        <v>600</v>
      </c>
      <c r="I1666" s="1228" t="s">
        <v>450</v>
      </c>
      <c r="K1666" s="1242">
        <f t="shared" ref="K1666:K1679" si="586">H1666/$C$1659</f>
        <v>1.4285714285714286</v>
      </c>
      <c r="L1666" s="1243">
        <f t="shared" ref="L1666:L1675" si="587">F1666/C1666*K1666</f>
        <v>13.6</v>
      </c>
    </row>
    <row r="1667" spans="1:29" ht="15" customHeight="1" x14ac:dyDescent="0.25">
      <c r="A1667" s="1238"/>
      <c r="B1667" s="1228" t="s">
        <v>253</v>
      </c>
      <c r="C1667" s="1228">
        <v>1000</v>
      </c>
      <c r="D1667" s="1239">
        <f>'Prec Materia Prima y Empaq'!$H$9</f>
        <v>5400</v>
      </c>
      <c r="E1667" s="1240">
        <f t="shared" si="584"/>
        <v>1026</v>
      </c>
      <c r="F1667" s="1241">
        <f t="shared" si="585"/>
        <v>6426</v>
      </c>
      <c r="G1667" s="1240">
        <f t="shared" si="583"/>
        <v>6426</v>
      </c>
      <c r="H1667" s="1242">
        <v>1000</v>
      </c>
      <c r="I1667" s="1228" t="s">
        <v>450</v>
      </c>
      <c r="K1667" s="1242">
        <f t="shared" si="586"/>
        <v>2.3809523809523809</v>
      </c>
      <c r="L1667" s="1243">
        <f t="shared" si="587"/>
        <v>15.3</v>
      </c>
    </row>
    <row r="1668" spans="1:29" ht="15" customHeight="1" x14ac:dyDescent="0.25">
      <c r="A1668" s="1238"/>
      <c r="B1668" s="1228" t="s">
        <v>255</v>
      </c>
      <c r="C1668" s="1228">
        <v>1000</v>
      </c>
      <c r="D1668" s="1239">
        <f>'Prec Materia Prima y Empaq'!$H$26</f>
        <v>45404</v>
      </c>
      <c r="E1668" s="1240">
        <f t="shared" si="584"/>
        <v>8626.76</v>
      </c>
      <c r="F1668" s="1241">
        <f t="shared" si="585"/>
        <v>54030.76</v>
      </c>
      <c r="G1668" s="1240">
        <f t="shared" si="583"/>
        <v>8104.6140000000005</v>
      </c>
      <c r="H1668" s="1242">
        <v>150</v>
      </c>
      <c r="I1668" s="1228" t="s">
        <v>450</v>
      </c>
      <c r="K1668" s="1242">
        <f t="shared" si="586"/>
        <v>0.35714285714285715</v>
      </c>
      <c r="L1668" s="1243">
        <f t="shared" si="587"/>
        <v>19.296700000000001</v>
      </c>
    </row>
    <row r="1669" spans="1:29" ht="15" customHeight="1" x14ac:dyDescent="0.25">
      <c r="A1669" s="1238"/>
      <c r="B1669" s="1228" t="s">
        <v>382</v>
      </c>
      <c r="C1669" s="1228">
        <v>3785</v>
      </c>
      <c r="D1669" s="1239">
        <f>'Prec Materia Prima y Empaq'!$H$18</f>
        <v>24</v>
      </c>
      <c r="E1669" s="1240">
        <f t="shared" si="584"/>
        <v>4.5600000000000005</v>
      </c>
      <c r="F1669" s="1241">
        <f t="shared" si="585"/>
        <v>28.560000000000002</v>
      </c>
      <c r="G1669" s="1240">
        <f>F1669/C1669*H1669</f>
        <v>0.37727873183619554</v>
      </c>
      <c r="H1669" s="1242">
        <v>50</v>
      </c>
      <c r="I1669" s="1228" t="s">
        <v>450</v>
      </c>
      <c r="K1669" s="1242">
        <f t="shared" si="586"/>
        <v>0.11904761904761904</v>
      </c>
      <c r="L1669" s="1243">
        <f t="shared" si="587"/>
        <v>8.9828269484808459E-4</v>
      </c>
    </row>
    <row r="1670" spans="1:29" ht="15" customHeight="1" x14ac:dyDescent="0.25">
      <c r="A1670" s="1238"/>
      <c r="B1670" s="1228" t="s">
        <v>262</v>
      </c>
      <c r="C1670" s="1228">
        <v>1000</v>
      </c>
      <c r="D1670" s="1273">
        <f>'Prec Materia Prima y Empaq'!$H$55</f>
        <v>50522</v>
      </c>
      <c r="E1670" s="1240">
        <f t="shared" si="584"/>
        <v>9599.18</v>
      </c>
      <c r="F1670" s="1241">
        <f t="shared" si="585"/>
        <v>60121.18</v>
      </c>
      <c r="G1670" s="1240">
        <f t="shared" ref="G1670:G1671" si="588">F1670/C1670*H1670</f>
        <v>6012.1180000000004</v>
      </c>
      <c r="H1670" s="1242">
        <v>100</v>
      </c>
      <c r="I1670" s="1228" t="s">
        <v>450</v>
      </c>
      <c r="K1670" s="1242">
        <f t="shared" si="586"/>
        <v>0.23809523809523808</v>
      </c>
      <c r="L1670" s="1243">
        <f t="shared" si="587"/>
        <v>14.314566666666666</v>
      </c>
    </row>
    <row r="1671" spans="1:29" ht="15" customHeight="1" x14ac:dyDescent="0.25">
      <c r="A1671" s="1238"/>
      <c r="B1671" s="1228" t="s">
        <v>246</v>
      </c>
      <c r="C1671" s="1228">
        <v>1000</v>
      </c>
      <c r="D1671" s="1239">
        <f>'Prec Materia Prima y Empaq'!$H$41</f>
        <v>80268</v>
      </c>
      <c r="E1671" s="1240">
        <f t="shared" si="584"/>
        <v>15250.92</v>
      </c>
      <c r="F1671" s="1241">
        <f t="shared" si="585"/>
        <v>95518.92</v>
      </c>
      <c r="G1671" s="1240">
        <f t="shared" si="588"/>
        <v>1910.3783999999998</v>
      </c>
      <c r="H1671" s="1242">
        <v>20</v>
      </c>
      <c r="I1671" s="1228" t="s">
        <v>450</v>
      </c>
      <c r="K1671" s="1242">
        <f t="shared" si="586"/>
        <v>4.7619047619047616E-2</v>
      </c>
      <c r="L1671" s="1243">
        <f t="shared" si="587"/>
        <v>4.5485199999999999</v>
      </c>
    </row>
    <row r="1672" spans="1:29" ht="30.75" customHeight="1" x14ac:dyDescent="0.25">
      <c r="B1672" s="1228" t="s">
        <v>261</v>
      </c>
      <c r="C1672" s="1228">
        <v>1000</v>
      </c>
      <c r="D1672" s="1239">
        <f>'Prec Materia Prima y Empaq'!$H$12</f>
        <v>4700</v>
      </c>
      <c r="E1672" s="1240">
        <f t="shared" si="584"/>
        <v>893</v>
      </c>
      <c r="F1672" s="1241">
        <f t="shared" si="585"/>
        <v>5593</v>
      </c>
      <c r="G1672" s="1241">
        <f>F1672/C1672*H1672</f>
        <v>1118.5999999999999</v>
      </c>
      <c r="H1672" s="1228">
        <v>200</v>
      </c>
      <c r="I1672" s="1228" t="s">
        <v>450</v>
      </c>
      <c r="K1672" s="1242">
        <f t="shared" si="586"/>
        <v>0.47619047619047616</v>
      </c>
      <c r="L1672" s="1243">
        <f t="shared" si="587"/>
        <v>2.6633333333333331</v>
      </c>
    </row>
    <row r="1673" spans="1:29" ht="31.5" customHeight="1" x14ac:dyDescent="0.25">
      <c r="B1673" s="1220" t="s">
        <v>247</v>
      </c>
      <c r="C1673" s="1228">
        <v>1000</v>
      </c>
      <c r="D1673" s="1244">
        <f>'Prec Materia Prima y Empaq'!$H$7</f>
        <v>50000</v>
      </c>
      <c r="E1673" s="1240">
        <v>0</v>
      </c>
      <c r="F1673" s="1241">
        <f t="shared" si="585"/>
        <v>50000</v>
      </c>
      <c r="G1673" s="1240">
        <f>F1673/C1673*H1673</f>
        <v>32.022471910112351</v>
      </c>
      <c r="H1673" s="1245">
        <v>0.64044943820224698</v>
      </c>
      <c r="I1673" s="1245" t="s">
        <v>453</v>
      </c>
      <c r="K1673" s="1242">
        <f t="shared" ref="K1673" si="589">H1673/$C$1371</f>
        <v>7.6243980738362736E-4</v>
      </c>
      <c r="L1673" s="1243">
        <f t="shared" si="587"/>
        <v>3.8121990369181367E-2</v>
      </c>
      <c r="N1673" s="1220" t="s">
        <v>247</v>
      </c>
      <c r="O1673" s="1247">
        <v>1</v>
      </c>
      <c r="P1673" s="1240">
        <f>$F$391/$C$391*$O$391</f>
        <v>50</v>
      </c>
      <c r="Q1673" s="1248"/>
      <c r="R1673" s="1249" t="e">
        <f>P1673/O1662</f>
        <v>#DIV/0!</v>
      </c>
      <c r="S1673" s="1248" t="e">
        <f>R1673*1000</f>
        <v>#DIV/0!</v>
      </c>
      <c r="T1673" s="1250">
        <f>O1673/$O$380*1000</f>
        <v>2.5641025641025641E-3</v>
      </c>
      <c r="U1673" s="1238">
        <f>T1673*$M$380</f>
        <v>1</v>
      </c>
      <c r="Y1673" s="1238"/>
      <c r="Z1673" s="1238"/>
      <c r="AA1673" s="1251"/>
      <c r="AC1673" s="1252"/>
    </row>
    <row r="1674" spans="1:29" ht="28.5" customHeight="1" x14ac:dyDescent="0.25">
      <c r="B1674" s="1220" t="s">
        <v>485</v>
      </c>
      <c r="C1674" s="1220">
        <v>1</v>
      </c>
      <c r="D1674" s="1244">
        <f>'Prec Materia Prima y Empaq'!$H$138</f>
        <v>650</v>
      </c>
      <c r="E1674" s="1240">
        <v>0</v>
      </c>
      <c r="F1674" s="1241">
        <f t="shared" si="585"/>
        <v>650</v>
      </c>
      <c r="G1674" s="1253">
        <f t="shared" ref="G1674:G1679" si="590">F1674*H1674</f>
        <v>273000</v>
      </c>
      <c r="H1674" s="1245">
        <f>$C$1659</f>
        <v>420</v>
      </c>
      <c r="I1674" s="1245" t="s">
        <v>453</v>
      </c>
      <c r="K1674" s="1242">
        <f t="shared" si="586"/>
        <v>1</v>
      </c>
      <c r="L1674" s="1243">
        <f t="shared" si="587"/>
        <v>650</v>
      </c>
    </row>
    <row r="1675" spans="1:29" ht="50.25" customHeight="1" x14ac:dyDescent="0.25">
      <c r="B1675" s="1220" t="s">
        <v>614</v>
      </c>
      <c r="C1675" s="1220">
        <v>1</v>
      </c>
      <c r="D1675" s="1244">
        <f>'Prec Materia Prima y Empaq'!$H$144</f>
        <v>70</v>
      </c>
      <c r="E1675" s="1240">
        <v>0</v>
      </c>
      <c r="F1675" s="1241">
        <f t="shared" si="585"/>
        <v>70</v>
      </c>
      <c r="G1675" s="1253">
        <f>F1675*H1675</f>
        <v>29400</v>
      </c>
      <c r="H1675" s="1245">
        <f t="shared" ref="H1675:H1679" si="591">$C$1659</f>
        <v>420</v>
      </c>
      <c r="I1675" s="1245" t="s">
        <v>453</v>
      </c>
      <c r="K1675" s="1242">
        <f t="shared" si="586"/>
        <v>1</v>
      </c>
      <c r="L1675" s="1243">
        <f t="shared" si="587"/>
        <v>70</v>
      </c>
    </row>
    <row r="1676" spans="1:29" ht="50.25" customHeight="1" x14ac:dyDescent="0.25">
      <c r="B1676" s="1220" t="s">
        <v>695</v>
      </c>
      <c r="C1676" s="1245">
        <v>1</v>
      </c>
      <c r="D1676" s="1272">
        <f>'Prec Materia Prima y Empaq'!$H$161</f>
        <v>300</v>
      </c>
      <c r="E1676" s="1240">
        <v>0</v>
      </c>
      <c r="F1676" s="1241">
        <f t="shared" si="585"/>
        <v>300</v>
      </c>
      <c r="G1676" s="1253">
        <f t="shared" si="590"/>
        <v>126000</v>
      </c>
      <c r="H1676" s="1245">
        <f t="shared" si="591"/>
        <v>420</v>
      </c>
      <c r="I1676" s="1245" t="s">
        <v>453</v>
      </c>
      <c r="K1676" s="1242">
        <f t="shared" si="586"/>
        <v>1</v>
      </c>
      <c r="L1676" s="1243">
        <f t="shared" ref="L1676:L1679" si="592">F1676/C1676*K1676</f>
        <v>300</v>
      </c>
    </row>
    <row r="1677" spans="1:29" ht="50.25" customHeight="1" x14ac:dyDescent="0.25">
      <c r="B1677" s="1279" t="s">
        <v>675</v>
      </c>
      <c r="C1677" s="1245">
        <v>1</v>
      </c>
      <c r="D1677" s="1272">
        <f>'Prec Materia Prima y Empaq'!$H$162</f>
        <v>100</v>
      </c>
      <c r="E1677" s="1240"/>
      <c r="F1677" s="1241">
        <f t="shared" si="585"/>
        <v>100</v>
      </c>
      <c r="G1677" s="1253">
        <f t="shared" si="590"/>
        <v>42000</v>
      </c>
      <c r="H1677" s="1245">
        <f t="shared" si="591"/>
        <v>420</v>
      </c>
      <c r="I1677" s="1245" t="s">
        <v>453</v>
      </c>
      <c r="K1677" s="1242">
        <f t="shared" si="586"/>
        <v>1</v>
      </c>
      <c r="L1677" s="1243">
        <f t="shared" si="592"/>
        <v>100</v>
      </c>
    </row>
    <row r="1678" spans="1:29" ht="15" customHeight="1" x14ac:dyDescent="0.25">
      <c r="B1678" s="1220" t="s">
        <v>310</v>
      </c>
      <c r="C1678" s="1245">
        <v>1</v>
      </c>
      <c r="D1678" s="1272">
        <f>'Prec Materia Prima y Empaq'!$H$130</f>
        <v>100</v>
      </c>
      <c r="E1678" s="1240">
        <v>0</v>
      </c>
      <c r="F1678" s="1241">
        <f t="shared" ref="F1678:F1679" si="593">+E1678+D1678</f>
        <v>100</v>
      </c>
      <c r="G1678" s="1253">
        <f t="shared" si="590"/>
        <v>42000</v>
      </c>
      <c r="H1678" s="1245">
        <f t="shared" si="591"/>
        <v>420</v>
      </c>
      <c r="I1678" s="1245" t="s">
        <v>453</v>
      </c>
      <c r="K1678" s="1242">
        <f t="shared" si="586"/>
        <v>1</v>
      </c>
      <c r="L1678" s="1243">
        <f t="shared" si="592"/>
        <v>100</v>
      </c>
    </row>
    <row r="1679" spans="1:29" ht="15" customHeight="1" x14ac:dyDescent="0.25">
      <c r="B1679" s="1245" t="s">
        <v>309</v>
      </c>
      <c r="C1679" s="1245">
        <v>1</v>
      </c>
      <c r="D1679" s="1272">
        <f>'Prec Materia Prima y Empaq'!$H$129</f>
        <v>800</v>
      </c>
      <c r="E1679" s="1240">
        <v>0</v>
      </c>
      <c r="F1679" s="1241">
        <f t="shared" si="593"/>
        <v>800</v>
      </c>
      <c r="G1679" s="1253">
        <f t="shared" si="590"/>
        <v>336000</v>
      </c>
      <c r="H1679" s="1245">
        <f t="shared" si="591"/>
        <v>420</v>
      </c>
      <c r="I1679" s="1245" t="s">
        <v>453</v>
      </c>
      <c r="K1679" s="1242">
        <f t="shared" si="586"/>
        <v>1</v>
      </c>
      <c r="L1679" s="1243">
        <f t="shared" si="592"/>
        <v>800</v>
      </c>
    </row>
    <row r="1680" spans="1:29" ht="19.5" customHeight="1" thickBot="1" x14ac:dyDescent="0.3">
      <c r="B1680" s="1255"/>
      <c r="C1680" s="857"/>
      <c r="D1680" s="1256"/>
      <c r="E1680" s="1248"/>
      <c r="F1680" s="1257"/>
      <c r="G1680" s="1258">
        <f>SUM(G1665:G1679)/C1659</f>
        <v>2129.0702622634331</v>
      </c>
      <c r="H1680" s="1259" t="s">
        <v>454</v>
      </c>
      <c r="I1680" s="857"/>
      <c r="L1680" s="1260">
        <f>SUM(L1665:L1679)</f>
        <v>2129.0321402730642</v>
      </c>
    </row>
    <row r="1681" spans="1:9" ht="15" customHeight="1" thickTop="1" x14ac:dyDescent="0.25">
      <c r="B1681" s="1314" t="s">
        <v>409</v>
      </c>
      <c r="C1681" s="1315"/>
      <c r="D1681" s="1316">
        <f>+'Gtos Varios'!I14</f>
        <v>3672.93</v>
      </c>
      <c r="E1681" s="1315"/>
      <c r="F1681" s="1317">
        <f t="shared" ref="F1681" si="594">+E1681+D1681</f>
        <v>3672.93</v>
      </c>
      <c r="G1681" s="1318">
        <f>F1681</f>
        <v>3672.93</v>
      </c>
      <c r="H1681" s="1315" t="str">
        <f>B1681</f>
        <v xml:space="preserve">GASTOS VARIOS </v>
      </c>
      <c r="I1681" s="1315"/>
    </row>
    <row r="1682" spans="1:9" ht="15" customHeight="1" x14ac:dyDescent="0.25">
      <c r="B1682" s="1255"/>
      <c r="C1682" s="857"/>
      <c r="D1682" s="1256"/>
      <c r="E1682" s="1248"/>
      <c r="F1682" s="1257"/>
      <c r="G1682" s="1266"/>
      <c r="H1682" s="857"/>
      <c r="I1682" s="857"/>
    </row>
    <row r="1683" spans="1:9" ht="15" customHeight="1" x14ac:dyDescent="0.25">
      <c r="B1683" s="1255"/>
      <c r="C1683" s="857"/>
      <c r="D1683" s="1256"/>
      <c r="E1683" s="1248"/>
      <c r="F1683" s="1257"/>
      <c r="G1683" s="1266"/>
      <c r="H1683" s="857"/>
      <c r="I1683" s="857"/>
    </row>
    <row r="1684" spans="1:9" ht="15" customHeight="1" thickBot="1" x14ac:dyDescent="0.3">
      <c r="F1684" s="1267">
        <f>SUM(F1665:F1679)</f>
        <v>301584.42</v>
      </c>
      <c r="G1684" s="1268">
        <f>SUM(G1680:G1681)</f>
        <v>5802.0002622634329</v>
      </c>
      <c r="H1684" s="733" t="s">
        <v>412</v>
      </c>
    </row>
    <row r="1685" spans="1:9" ht="15" customHeight="1" thickTop="1" x14ac:dyDescent="0.25">
      <c r="G1685" s="1295">
        <f>G1684*58%</f>
        <v>3365.1601521127909</v>
      </c>
      <c r="H1685" s="1274">
        <v>0.57999999999999996</v>
      </c>
      <c r="I1685" s="733" t="s">
        <v>539</v>
      </c>
    </row>
    <row r="1686" spans="1:9" ht="15" customHeight="1" thickBot="1" x14ac:dyDescent="0.3">
      <c r="G1686" s="1270">
        <f>G1684+G1685</f>
        <v>9167.1604143762233</v>
      </c>
      <c r="H1686" s="733" t="s">
        <v>414</v>
      </c>
    </row>
    <row r="1687" spans="1:9" ht="15" customHeight="1" thickTop="1" x14ac:dyDescent="0.25"/>
    <row r="1691" spans="1:9" ht="15" customHeight="1" x14ac:dyDescent="0.25">
      <c r="B1691" s="1222" t="s">
        <v>61</v>
      </c>
      <c r="C1691" s="1219" t="s">
        <v>188</v>
      </c>
      <c r="D1691" s="733"/>
      <c r="F1691" s="853"/>
      <c r="G1691" s="847"/>
      <c r="H1691" s="847"/>
      <c r="I1691" s="857"/>
    </row>
    <row r="1692" spans="1:9" ht="15" customHeight="1" x14ac:dyDescent="0.25">
      <c r="A1692" s="1223" t="s">
        <v>711</v>
      </c>
      <c r="B1692" s="1222" t="s">
        <v>62</v>
      </c>
      <c r="C1692" s="1219" t="str">
        <f>VLOOKUP(C1691,LISTPROD[],2,FALSE)</f>
        <v>ROMPE QUISTES</v>
      </c>
      <c r="D1692" s="1219" t="s">
        <v>486</v>
      </c>
      <c r="E1692" s="861" t="s">
        <v>487</v>
      </c>
      <c r="F1692" s="853"/>
      <c r="G1692" s="847"/>
      <c r="H1692" s="847"/>
      <c r="I1692" s="857"/>
    </row>
    <row r="1693" spans="1:9" ht="15" customHeight="1" x14ac:dyDescent="0.25">
      <c r="B1693" s="1222" t="s">
        <v>234</v>
      </c>
      <c r="C1693" s="1219" t="str">
        <f>VLOOKUP(C1691,LISTPROD[],9,FALSE)</f>
        <v>500 ML</v>
      </c>
      <c r="D1693" s="733"/>
      <c r="E1693" s="853"/>
      <c r="F1693" s="853"/>
      <c r="G1693" s="847"/>
      <c r="H1693" s="847"/>
      <c r="I1693" s="857"/>
    </row>
    <row r="1694" spans="1:9" ht="15" customHeight="1" x14ac:dyDescent="0.25">
      <c r="B1694" s="1222" t="s">
        <v>239</v>
      </c>
      <c r="C1694" s="1224">
        <v>420</v>
      </c>
      <c r="D1694" s="1218"/>
      <c r="E1694" s="853"/>
      <c r="F1694" s="853"/>
      <c r="G1694" s="847"/>
      <c r="H1694" s="847"/>
      <c r="I1694" s="857"/>
    </row>
    <row r="1695" spans="1:9" ht="15" customHeight="1" x14ac:dyDescent="0.25">
      <c r="B1695" s="1222" t="s">
        <v>240</v>
      </c>
      <c r="C1695" s="1219"/>
      <c r="D1695" s="733"/>
    </row>
    <row r="1696" spans="1:9" ht="15" customHeight="1" x14ac:dyDescent="0.25">
      <c r="B1696" s="1222" t="s">
        <v>238</v>
      </c>
      <c r="C1696" s="733" t="s">
        <v>56</v>
      </c>
      <c r="D1696" s="857" t="s">
        <v>449</v>
      </c>
    </row>
    <row r="1697" spans="1:29" ht="15" customHeight="1" x14ac:dyDescent="0.25">
      <c r="B1697" s="1225" t="s">
        <v>410</v>
      </c>
      <c r="C1697" s="753">
        <v>500</v>
      </c>
      <c r="D1697" s="1226"/>
    </row>
    <row r="1698" spans="1:29" ht="15" customHeight="1" x14ac:dyDescent="0.25">
      <c r="A1698" s="1227"/>
      <c r="B1698" s="1436" t="s">
        <v>404</v>
      </c>
      <c r="C1698" s="1436"/>
      <c r="D1698" s="1436"/>
      <c r="E1698" s="1436"/>
      <c r="F1698" s="1436"/>
      <c r="G1698" s="1228"/>
      <c r="H1698" s="1437" t="s">
        <v>416</v>
      </c>
      <c r="I1698" s="1438"/>
    </row>
    <row r="1699" spans="1:29" ht="34.5" customHeight="1" x14ac:dyDescent="0.25">
      <c r="A1699" s="1229"/>
      <c r="B1699" s="1230" t="s">
        <v>398</v>
      </c>
      <c r="C1699" s="1231" t="s">
        <v>441</v>
      </c>
      <c r="D1699" s="1232" t="s">
        <v>399</v>
      </c>
      <c r="E1699" s="1233" t="s">
        <v>402</v>
      </c>
      <c r="F1699" s="1232" t="s">
        <v>399</v>
      </c>
      <c r="G1699" s="1232" t="s">
        <v>411</v>
      </c>
      <c r="H1699" s="1234" t="s">
        <v>408</v>
      </c>
      <c r="I1699" s="1235" t="s">
        <v>415</v>
      </c>
      <c r="K1699" s="1236" t="s">
        <v>603</v>
      </c>
      <c r="L1699" s="1237" t="s">
        <v>604</v>
      </c>
    </row>
    <row r="1700" spans="1:29" ht="15" customHeight="1" x14ac:dyDescent="0.25">
      <c r="A1700" s="1238"/>
      <c r="B1700" s="1228" t="s">
        <v>248</v>
      </c>
      <c r="C1700" s="1228">
        <v>1000</v>
      </c>
      <c r="D1700" s="1239">
        <f>'Prec Materia Prima y Empaq'!$H$21</f>
        <v>15400</v>
      </c>
      <c r="E1700" s="1240">
        <f>D1700*19%</f>
        <v>2926</v>
      </c>
      <c r="F1700" s="1241">
        <f>+E1700+D1700</f>
        <v>18326</v>
      </c>
      <c r="G1700" s="1240">
        <f>F1700/C1700*H1700</f>
        <v>16493.400000000001</v>
      </c>
      <c r="H1700" s="1242">
        <v>900</v>
      </c>
      <c r="I1700" s="1228" t="s">
        <v>450</v>
      </c>
      <c r="K1700" s="1242">
        <f t="shared" ref="K1700:K1705" si="595">H1700/$C$1694</f>
        <v>2.1428571428571428</v>
      </c>
      <c r="L1700" s="1243">
        <f>F1700/C1700*K1700</f>
        <v>39.270000000000003</v>
      </c>
    </row>
    <row r="1701" spans="1:29" ht="15" customHeight="1" x14ac:dyDescent="0.25">
      <c r="A1701" s="1238"/>
      <c r="B1701" s="1228" t="s">
        <v>443</v>
      </c>
      <c r="C1701" s="1228">
        <v>1000</v>
      </c>
      <c r="D1701" s="1239">
        <f>'Prec Materia Prima y Empaq'!$H$11</f>
        <v>8000</v>
      </c>
      <c r="E1701" s="1240">
        <f t="shared" ref="E1701:E1707" si="596">D1701*19%</f>
        <v>1520</v>
      </c>
      <c r="F1701" s="1241">
        <f t="shared" ref="F1701:F1712" si="597">+E1701+D1701</f>
        <v>9520</v>
      </c>
      <c r="G1701" s="1240">
        <f t="shared" ref="G1701:G1705" si="598">F1701/C1701*H1701</f>
        <v>5712</v>
      </c>
      <c r="H1701" s="1242">
        <v>600</v>
      </c>
      <c r="I1701" s="1228" t="s">
        <v>450</v>
      </c>
      <c r="K1701" s="1242">
        <f t="shared" si="595"/>
        <v>1.4285714285714286</v>
      </c>
      <c r="L1701" s="1243">
        <f t="shared" ref="L1701:L1705" si="599">F1701/C1701*K1701</f>
        <v>13.6</v>
      </c>
    </row>
    <row r="1702" spans="1:29" ht="15" customHeight="1" x14ac:dyDescent="0.25">
      <c r="A1702" s="1238"/>
      <c r="B1702" s="1228" t="s">
        <v>253</v>
      </c>
      <c r="C1702" s="1228">
        <v>1000</v>
      </c>
      <c r="D1702" s="1239">
        <f>'Prec Materia Prima y Empaq'!$H$9</f>
        <v>5400</v>
      </c>
      <c r="E1702" s="1240">
        <f t="shared" si="596"/>
        <v>1026</v>
      </c>
      <c r="F1702" s="1241">
        <f t="shared" si="597"/>
        <v>6426</v>
      </c>
      <c r="G1702" s="1240">
        <f t="shared" si="598"/>
        <v>6426</v>
      </c>
      <c r="H1702" s="1242">
        <v>1000</v>
      </c>
      <c r="I1702" s="1228" t="s">
        <v>450</v>
      </c>
      <c r="K1702" s="1242">
        <f t="shared" si="595"/>
        <v>2.3809523809523809</v>
      </c>
      <c r="L1702" s="1243">
        <f t="shared" si="599"/>
        <v>15.3</v>
      </c>
    </row>
    <row r="1703" spans="1:29" ht="15" customHeight="1" x14ac:dyDescent="0.25">
      <c r="A1703" s="1238"/>
      <c r="B1703" s="1228" t="s">
        <v>269</v>
      </c>
      <c r="C1703" s="1228">
        <v>1000</v>
      </c>
      <c r="D1703" s="1239">
        <f>'Prec Materia Prima y Empaq'!$H$47</f>
        <v>49240</v>
      </c>
      <c r="E1703" s="1240">
        <f t="shared" si="596"/>
        <v>9355.6</v>
      </c>
      <c r="F1703" s="1241">
        <f t="shared" si="597"/>
        <v>58595.6</v>
      </c>
      <c r="G1703" s="1240">
        <f t="shared" si="598"/>
        <v>5859.5599999999995</v>
      </c>
      <c r="H1703" s="1242">
        <v>100</v>
      </c>
      <c r="I1703" s="1228" t="s">
        <v>450</v>
      </c>
      <c r="K1703" s="1242">
        <f t="shared" si="595"/>
        <v>0.23809523809523808</v>
      </c>
      <c r="L1703" s="1243">
        <f t="shared" si="599"/>
        <v>13.951333333333332</v>
      </c>
    </row>
    <row r="1704" spans="1:29" ht="15" customHeight="1" x14ac:dyDescent="0.25">
      <c r="A1704" s="1238"/>
      <c r="B1704" s="1228" t="s">
        <v>261</v>
      </c>
      <c r="C1704" s="1228">
        <v>1000</v>
      </c>
      <c r="D1704" s="1239">
        <f>'Prec Materia Prima y Empaq'!$H$12</f>
        <v>4700</v>
      </c>
      <c r="E1704" s="1240">
        <f t="shared" si="596"/>
        <v>893</v>
      </c>
      <c r="F1704" s="1241">
        <f t="shared" si="597"/>
        <v>5593</v>
      </c>
      <c r="G1704" s="1240">
        <f t="shared" si="598"/>
        <v>1118.5999999999999</v>
      </c>
      <c r="H1704" s="1242">
        <v>200</v>
      </c>
      <c r="I1704" s="1228" t="s">
        <v>450</v>
      </c>
      <c r="K1704" s="1242">
        <f t="shared" si="595"/>
        <v>0.47619047619047616</v>
      </c>
      <c r="L1704" s="1243">
        <f t="shared" si="599"/>
        <v>2.6633333333333331</v>
      </c>
    </row>
    <row r="1705" spans="1:29" ht="15" customHeight="1" x14ac:dyDescent="0.25">
      <c r="A1705" s="1238"/>
      <c r="B1705" s="1228" t="s">
        <v>259</v>
      </c>
      <c r="C1705" s="1228">
        <v>1000</v>
      </c>
      <c r="D1705" s="1239">
        <f>'Prec Materia Prima y Empaq'!$H$42</f>
        <v>63103</v>
      </c>
      <c r="E1705" s="1240">
        <f t="shared" si="596"/>
        <v>11989.57</v>
      </c>
      <c r="F1705" s="1241">
        <f t="shared" si="597"/>
        <v>75092.570000000007</v>
      </c>
      <c r="G1705" s="1240">
        <f t="shared" si="598"/>
        <v>1501.8514000000002</v>
      </c>
      <c r="H1705" s="1242">
        <v>20</v>
      </c>
      <c r="I1705" s="1228" t="s">
        <v>450</v>
      </c>
      <c r="K1705" s="1242">
        <f t="shared" si="595"/>
        <v>4.7619047619047616E-2</v>
      </c>
      <c r="L1705" s="1243">
        <f t="shared" si="599"/>
        <v>3.575836666666667</v>
      </c>
    </row>
    <row r="1706" spans="1:29" ht="30.75" customHeight="1" x14ac:dyDescent="0.25">
      <c r="B1706" s="1228" t="s">
        <v>382</v>
      </c>
      <c r="C1706" s="1228">
        <v>3785</v>
      </c>
      <c r="D1706" s="1239">
        <f>'Prec Materia Prima y Empaq'!$H$18</f>
        <v>24</v>
      </c>
      <c r="E1706" s="1240">
        <f t="shared" si="596"/>
        <v>4.5600000000000005</v>
      </c>
      <c r="F1706" s="1241">
        <f t="shared" si="597"/>
        <v>28.560000000000002</v>
      </c>
      <c r="G1706" s="1240">
        <f>F1706/C1706*H1706</f>
        <v>0.37727873183619554</v>
      </c>
      <c r="H1706" s="1242">
        <v>50</v>
      </c>
      <c r="I1706" s="1245" t="s">
        <v>453</v>
      </c>
      <c r="K1706" s="1242">
        <f t="shared" ref="K1706:K1714" si="600">H1706/$C$1694</f>
        <v>0.11904761904761904</v>
      </c>
      <c r="L1706" s="1243">
        <f t="shared" ref="L1706:L1714" si="601">F1706/C1706*K1706</f>
        <v>8.9828269484808459E-4</v>
      </c>
    </row>
    <row r="1707" spans="1:29" ht="15" customHeight="1" x14ac:dyDescent="0.25">
      <c r="B1707" s="1228" t="s">
        <v>251</v>
      </c>
      <c r="C1707" s="1228">
        <v>1000</v>
      </c>
      <c r="D1707" s="1273">
        <f>'Prec Materia Prima y Empaq'!$H$26</f>
        <v>45404</v>
      </c>
      <c r="E1707" s="1240">
        <f t="shared" si="596"/>
        <v>8626.76</v>
      </c>
      <c r="F1707" s="1241">
        <f t="shared" si="597"/>
        <v>54030.76</v>
      </c>
      <c r="G1707" s="1240">
        <f t="shared" ref="G1707" si="602">F1707/C1707*H1707</f>
        <v>8104.6140000000005</v>
      </c>
      <c r="H1707" s="1242">
        <v>150</v>
      </c>
      <c r="I1707" s="1245" t="s">
        <v>453</v>
      </c>
      <c r="K1707" s="1242">
        <f t="shared" si="600"/>
        <v>0.35714285714285715</v>
      </c>
      <c r="L1707" s="1243">
        <f t="shared" si="601"/>
        <v>19.296700000000001</v>
      </c>
    </row>
    <row r="1708" spans="1:29" ht="31.5" customHeight="1" x14ac:dyDescent="0.25">
      <c r="B1708" s="1220" t="s">
        <v>247</v>
      </c>
      <c r="C1708" s="1228">
        <v>1000</v>
      </c>
      <c r="D1708" s="1244">
        <f>'Prec Materia Prima y Empaq'!$H$7</f>
        <v>50000</v>
      </c>
      <c r="E1708" s="1240">
        <v>0</v>
      </c>
      <c r="F1708" s="1241">
        <f t="shared" si="597"/>
        <v>50000</v>
      </c>
      <c r="G1708" s="1240">
        <f>F1708/C1708*H1708</f>
        <v>32.022471910112351</v>
      </c>
      <c r="H1708" s="1245">
        <v>0.64044943820224698</v>
      </c>
      <c r="I1708" s="1245" t="s">
        <v>453</v>
      </c>
      <c r="K1708" s="1242">
        <f t="shared" ref="K1708" si="603">H1708/$C$1371</f>
        <v>7.6243980738362736E-4</v>
      </c>
      <c r="L1708" s="1243">
        <f t="shared" si="601"/>
        <v>3.8121990369181367E-2</v>
      </c>
      <c r="N1708" s="1220" t="s">
        <v>247</v>
      </c>
      <c r="O1708" s="1247">
        <v>1</v>
      </c>
      <c r="P1708" s="1240">
        <f>$F$391/$C$391*$O$391</f>
        <v>50</v>
      </c>
      <c r="Q1708" s="1248"/>
      <c r="R1708" s="1249" t="e">
        <f>P1708/O1697</f>
        <v>#DIV/0!</v>
      </c>
      <c r="S1708" s="1248" t="e">
        <f>R1708*1000</f>
        <v>#DIV/0!</v>
      </c>
      <c r="T1708" s="1250">
        <f>O1708/$O$380*1000</f>
        <v>2.5641025641025641E-3</v>
      </c>
      <c r="U1708" s="1238">
        <f>T1708*$M$380</f>
        <v>1</v>
      </c>
      <c r="Y1708" s="1238"/>
      <c r="Z1708" s="1238"/>
      <c r="AA1708" s="1251"/>
      <c r="AC1708" s="1252"/>
    </row>
    <row r="1709" spans="1:29" ht="52.5" customHeight="1" x14ac:dyDescent="0.25">
      <c r="B1709" s="1220" t="s">
        <v>485</v>
      </c>
      <c r="C1709" s="1220">
        <v>1</v>
      </c>
      <c r="D1709" s="1244">
        <f>'Prec Materia Prima y Empaq'!$H$138</f>
        <v>650</v>
      </c>
      <c r="E1709" s="1240">
        <v>0</v>
      </c>
      <c r="F1709" s="1241">
        <f t="shared" si="597"/>
        <v>650</v>
      </c>
      <c r="G1709" s="1253">
        <f t="shared" ref="G1709:G1714" si="604">F1709*H1709</f>
        <v>273000</v>
      </c>
      <c r="H1709" s="1245">
        <f>$C$643</f>
        <v>420</v>
      </c>
      <c r="I1709" s="1245" t="s">
        <v>453</v>
      </c>
      <c r="K1709" s="1242">
        <f t="shared" si="600"/>
        <v>1</v>
      </c>
      <c r="L1709" s="1243">
        <f t="shared" si="601"/>
        <v>650</v>
      </c>
    </row>
    <row r="1710" spans="1:29" ht="15" customHeight="1" x14ac:dyDescent="0.25">
      <c r="B1710" s="1220" t="s">
        <v>614</v>
      </c>
      <c r="C1710" s="1220">
        <v>1</v>
      </c>
      <c r="D1710" s="1244">
        <f>'Prec Materia Prima y Empaq'!$H$144</f>
        <v>70</v>
      </c>
      <c r="E1710" s="1240">
        <v>0</v>
      </c>
      <c r="F1710" s="1241">
        <f t="shared" si="597"/>
        <v>70</v>
      </c>
      <c r="G1710" s="1253">
        <f t="shared" si="604"/>
        <v>29400</v>
      </c>
      <c r="H1710" s="1245">
        <f t="shared" ref="H1710:H1713" si="605">$C$643</f>
        <v>420</v>
      </c>
      <c r="I1710" s="1245" t="s">
        <v>453</v>
      </c>
      <c r="K1710" s="1242">
        <f t="shared" si="600"/>
        <v>1</v>
      </c>
      <c r="L1710" s="1243">
        <f t="shared" si="601"/>
        <v>70</v>
      </c>
    </row>
    <row r="1711" spans="1:29" ht="39.75" customHeight="1" x14ac:dyDescent="0.25">
      <c r="B1711" s="1220" t="s">
        <v>695</v>
      </c>
      <c r="C1711" s="1245">
        <v>1</v>
      </c>
      <c r="D1711" s="1272">
        <f>'Prec Materia Prima y Empaq'!$H$161</f>
        <v>300</v>
      </c>
      <c r="E1711" s="1240">
        <v>0</v>
      </c>
      <c r="F1711" s="1241">
        <f t="shared" si="597"/>
        <v>300</v>
      </c>
      <c r="G1711" s="1253">
        <f t="shared" si="604"/>
        <v>126000</v>
      </c>
      <c r="H1711" s="1245">
        <f t="shared" si="605"/>
        <v>420</v>
      </c>
      <c r="I1711" s="1245" t="s">
        <v>453</v>
      </c>
      <c r="K1711" s="1242">
        <f t="shared" si="600"/>
        <v>1</v>
      </c>
      <c r="L1711" s="1243">
        <f t="shared" si="601"/>
        <v>300</v>
      </c>
    </row>
    <row r="1712" spans="1:29" ht="15" customHeight="1" x14ac:dyDescent="0.25">
      <c r="B1712" s="1279" t="s">
        <v>675</v>
      </c>
      <c r="C1712" s="1245">
        <v>1</v>
      </c>
      <c r="D1712" s="1272">
        <f>'Prec Materia Prima y Empaq'!$H$162</f>
        <v>100</v>
      </c>
      <c r="E1712" s="1240"/>
      <c r="F1712" s="1241">
        <f t="shared" si="597"/>
        <v>100</v>
      </c>
      <c r="G1712" s="1253">
        <f t="shared" si="604"/>
        <v>42000</v>
      </c>
      <c r="H1712" s="1245">
        <f t="shared" si="605"/>
        <v>420</v>
      </c>
      <c r="I1712" s="1245" t="s">
        <v>453</v>
      </c>
      <c r="K1712" s="1242">
        <f t="shared" si="600"/>
        <v>1</v>
      </c>
      <c r="L1712" s="1243">
        <f t="shared" si="601"/>
        <v>100</v>
      </c>
    </row>
    <row r="1713" spans="1:12" ht="15" customHeight="1" x14ac:dyDescent="0.25">
      <c r="B1713" s="1220" t="s">
        <v>310</v>
      </c>
      <c r="C1713" s="1245">
        <v>1</v>
      </c>
      <c r="D1713" s="1272">
        <f>'Prec Materia Prima y Empaq'!$H$130</f>
        <v>100</v>
      </c>
      <c r="E1713" s="1240">
        <v>0</v>
      </c>
      <c r="F1713" s="1241">
        <f t="shared" ref="F1713:F1714" si="606">+E1713+D1713</f>
        <v>100</v>
      </c>
      <c r="G1713" s="1253">
        <f t="shared" si="604"/>
        <v>42000</v>
      </c>
      <c r="H1713" s="1245">
        <f t="shared" si="605"/>
        <v>420</v>
      </c>
      <c r="I1713" s="1245" t="s">
        <v>453</v>
      </c>
      <c r="K1713" s="1242">
        <f t="shared" si="600"/>
        <v>1</v>
      </c>
      <c r="L1713" s="1243">
        <f t="shared" si="601"/>
        <v>100</v>
      </c>
    </row>
    <row r="1714" spans="1:12" ht="15" customHeight="1" x14ac:dyDescent="0.25">
      <c r="B1714" s="1245" t="s">
        <v>309</v>
      </c>
      <c r="C1714" s="1245">
        <v>1</v>
      </c>
      <c r="D1714" s="1272">
        <f>'Prec Materia Prima y Empaq'!$H$129</f>
        <v>800</v>
      </c>
      <c r="E1714" s="1240">
        <v>0</v>
      </c>
      <c r="F1714" s="1241">
        <f t="shared" si="606"/>
        <v>800</v>
      </c>
      <c r="G1714" s="1253">
        <f t="shared" si="604"/>
        <v>336000</v>
      </c>
      <c r="H1714" s="1245">
        <f t="shared" ref="H1714" si="607">$C$507</f>
        <v>420</v>
      </c>
      <c r="I1714" s="1245" t="s">
        <v>453</v>
      </c>
      <c r="K1714" s="1242">
        <f t="shared" si="600"/>
        <v>1</v>
      </c>
      <c r="L1714" s="1243">
        <f t="shared" si="601"/>
        <v>800</v>
      </c>
    </row>
    <row r="1715" spans="1:12" ht="19.5" customHeight="1" thickBot="1" x14ac:dyDescent="0.3">
      <c r="B1715" s="1255"/>
      <c r="C1715" s="857"/>
      <c r="D1715" s="1256"/>
      <c r="E1715" s="1248"/>
      <c r="F1715" s="1257"/>
      <c r="G1715" s="1258">
        <f>SUM(G1700:G1714)/C1694</f>
        <v>2127.7343455967666</v>
      </c>
      <c r="H1715" s="1259" t="s">
        <v>454</v>
      </c>
      <c r="I1715" s="857"/>
      <c r="L1715" s="1260">
        <f>SUM(L1700:L1714)</f>
        <v>2127.6962236063973</v>
      </c>
    </row>
    <row r="1716" spans="1:12" ht="15" customHeight="1" thickTop="1" x14ac:dyDescent="0.25">
      <c r="B1716" s="1314" t="s">
        <v>409</v>
      </c>
      <c r="C1716" s="1315"/>
      <c r="D1716" s="1316">
        <f>+'Gtos Varios'!I14</f>
        <v>3672.93</v>
      </c>
      <c r="E1716" s="1315"/>
      <c r="F1716" s="1317">
        <f t="shared" ref="F1716" si="608">+E1716+D1716</f>
        <v>3672.93</v>
      </c>
      <c r="G1716" s="1318">
        <f>F1716</f>
        <v>3672.93</v>
      </c>
      <c r="H1716" s="1315" t="str">
        <f>B1716</f>
        <v xml:space="preserve">GASTOS VARIOS </v>
      </c>
      <c r="I1716" s="1315"/>
    </row>
    <row r="1717" spans="1:12" ht="15" customHeight="1" x14ac:dyDescent="0.25">
      <c r="B1717" s="1255"/>
      <c r="C1717" s="857"/>
      <c r="D1717" s="1256"/>
      <c r="E1717" s="1248"/>
      <c r="F1717" s="1257"/>
      <c r="G1717" s="1266"/>
      <c r="H1717" s="857"/>
      <c r="I1717" s="857"/>
    </row>
    <row r="1718" spans="1:12" ht="15" customHeight="1" x14ac:dyDescent="0.25">
      <c r="B1718" s="1255"/>
      <c r="C1718" s="857"/>
      <c r="D1718" s="1256"/>
      <c r="E1718" s="1248"/>
      <c r="F1718" s="1257"/>
      <c r="G1718" s="1266"/>
      <c r="H1718" s="857"/>
      <c r="I1718" s="857"/>
    </row>
    <row r="1719" spans="1:12" ht="15" customHeight="1" thickBot="1" x14ac:dyDescent="0.3">
      <c r="F1719" s="1267">
        <f>SUM(F1700:F1714)</f>
        <v>279632.49</v>
      </c>
      <c r="G1719" s="1268">
        <f>SUM(G1715:G1716)</f>
        <v>5800.664345596766</v>
      </c>
      <c r="H1719" s="733" t="s">
        <v>412</v>
      </c>
    </row>
    <row r="1720" spans="1:12" ht="15" customHeight="1" thickTop="1" x14ac:dyDescent="0.25">
      <c r="G1720" s="1295">
        <f>G1719*58%</f>
        <v>3364.3853204461238</v>
      </c>
      <c r="H1720" s="1274">
        <v>0.57999999999999996</v>
      </c>
      <c r="I1720" s="733" t="s">
        <v>539</v>
      </c>
    </row>
    <row r="1721" spans="1:12" ht="15" customHeight="1" thickBot="1" x14ac:dyDescent="0.3">
      <c r="G1721" s="1321">
        <f>G1719+G1720</f>
        <v>9165.0496660428907</v>
      </c>
      <c r="H1721" s="857" t="s">
        <v>414</v>
      </c>
    </row>
    <row r="1722" spans="1:12" ht="15" customHeight="1" thickTop="1" x14ac:dyDescent="0.25"/>
    <row r="1726" spans="1:12" ht="15" customHeight="1" x14ac:dyDescent="0.25">
      <c r="B1726" s="1222" t="s">
        <v>61</v>
      </c>
      <c r="C1726" s="1219" t="s">
        <v>190</v>
      </c>
      <c r="D1726" s="733"/>
      <c r="E1726" s="847"/>
      <c r="F1726" s="847"/>
      <c r="G1726" s="847"/>
      <c r="H1726" s="847"/>
    </row>
    <row r="1727" spans="1:12" ht="15" customHeight="1" x14ac:dyDescent="0.25">
      <c r="A1727" s="1223" t="s">
        <v>711</v>
      </c>
      <c r="B1727" s="1222" t="s">
        <v>62</v>
      </c>
      <c r="C1727" s="1219" t="str">
        <f>VLOOKUP(C1726,LISTPROD[],2,FALSE)</f>
        <v>SALTO DEL TIGRE</v>
      </c>
      <c r="D1727" s="733" t="s">
        <v>486</v>
      </c>
      <c r="E1727" s="847" t="s">
        <v>714</v>
      </c>
      <c r="F1727" s="847"/>
      <c r="G1727" s="847"/>
      <c r="H1727" s="847"/>
    </row>
    <row r="1728" spans="1:12" ht="15" customHeight="1" x14ac:dyDescent="0.25">
      <c r="B1728" s="1222" t="s">
        <v>234</v>
      </c>
      <c r="C1728" s="1219" t="str">
        <f>VLOOKUP(C1726,LISTPROD[],9,FALSE)</f>
        <v>500 ML</v>
      </c>
      <c r="D1728" s="733"/>
      <c r="E1728" s="847"/>
      <c r="F1728" s="847"/>
      <c r="G1728" s="847"/>
      <c r="H1728" s="847"/>
    </row>
    <row r="1729" spans="1:29" ht="15" customHeight="1" x14ac:dyDescent="0.25">
      <c r="B1729" s="1222" t="s">
        <v>239</v>
      </c>
      <c r="C1729" s="1224">
        <v>420</v>
      </c>
      <c r="D1729" s="1218"/>
      <c r="E1729" s="847"/>
      <c r="F1729" s="847"/>
      <c r="G1729" s="847"/>
      <c r="H1729" s="847"/>
    </row>
    <row r="1730" spans="1:29" ht="15" customHeight="1" x14ac:dyDescent="0.25">
      <c r="B1730" s="1222" t="s">
        <v>240</v>
      </c>
      <c r="C1730" s="1219"/>
      <c r="D1730" s="733"/>
    </row>
    <row r="1731" spans="1:29" ht="15" customHeight="1" x14ac:dyDescent="0.25">
      <c r="B1731" s="1222" t="s">
        <v>238</v>
      </c>
      <c r="C1731" s="733" t="s">
        <v>56</v>
      </c>
      <c r="D1731" s="1218" t="s">
        <v>449</v>
      </c>
    </row>
    <row r="1732" spans="1:29" ht="15" customHeight="1" x14ac:dyDescent="0.25">
      <c r="B1732" s="1225" t="s">
        <v>410</v>
      </c>
      <c r="C1732" s="753">
        <v>500</v>
      </c>
      <c r="D1732" s="1226"/>
    </row>
    <row r="1733" spans="1:29" ht="15" customHeight="1" x14ac:dyDescent="0.25">
      <c r="A1733" s="1227"/>
      <c r="B1733" s="1436" t="s">
        <v>404</v>
      </c>
      <c r="C1733" s="1436"/>
      <c r="D1733" s="1436"/>
      <c r="E1733" s="1436"/>
      <c r="F1733" s="1436"/>
      <c r="G1733" s="1228"/>
      <c r="H1733" s="1437" t="s">
        <v>416</v>
      </c>
      <c r="I1733" s="1438"/>
    </row>
    <row r="1734" spans="1:29" ht="54.75" customHeight="1" x14ac:dyDescent="0.25">
      <c r="A1734" s="1229"/>
      <c r="B1734" s="1230" t="s">
        <v>398</v>
      </c>
      <c r="C1734" s="1231" t="s">
        <v>441</v>
      </c>
      <c r="D1734" s="1232" t="s">
        <v>399</v>
      </c>
      <c r="E1734" s="1233" t="s">
        <v>402</v>
      </c>
      <c r="F1734" s="1232" t="s">
        <v>399</v>
      </c>
      <c r="G1734" s="1232" t="s">
        <v>411</v>
      </c>
      <c r="H1734" s="1234" t="s">
        <v>408</v>
      </c>
      <c r="I1734" s="1235" t="s">
        <v>415</v>
      </c>
      <c r="K1734" s="1236" t="s">
        <v>603</v>
      </c>
      <c r="L1734" s="1237" t="s">
        <v>604</v>
      </c>
    </row>
    <row r="1735" spans="1:29" ht="15" customHeight="1" x14ac:dyDescent="0.25">
      <c r="A1735" s="1238"/>
      <c r="B1735" s="1228" t="s">
        <v>248</v>
      </c>
      <c r="C1735" s="1228">
        <v>1000</v>
      </c>
      <c r="D1735" s="1239">
        <f>'Prec Materia Prima y Empaq'!$H$21</f>
        <v>15400</v>
      </c>
      <c r="E1735" s="1240">
        <f>D1735*19%</f>
        <v>2926</v>
      </c>
      <c r="F1735" s="1241">
        <f>+E1735+D1735</f>
        <v>18326</v>
      </c>
      <c r="G1735" s="1240">
        <f>F1735/C1735*H1735</f>
        <v>12828.2</v>
      </c>
      <c r="H1735" s="1242">
        <v>700</v>
      </c>
      <c r="I1735" s="1228" t="s">
        <v>450</v>
      </c>
      <c r="K1735" s="1242">
        <f>H1735/$C$1729</f>
        <v>1.6666666666666667</v>
      </c>
      <c r="L1735" s="1243">
        <f>F1735/C1735*K1735</f>
        <v>30.543333333333337</v>
      </c>
    </row>
    <row r="1736" spans="1:29" ht="15" customHeight="1" x14ac:dyDescent="0.25">
      <c r="A1736" s="1238"/>
      <c r="B1736" s="1228" t="s">
        <v>443</v>
      </c>
      <c r="C1736" s="1228">
        <v>1000</v>
      </c>
      <c r="D1736" s="1239">
        <f>'Prec Materia Prima y Empaq'!$H$11</f>
        <v>8000</v>
      </c>
      <c r="E1736" s="1240">
        <f t="shared" ref="E1736:E1743" si="609">D1736*19%</f>
        <v>1520</v>
      </c>
      <c r="F1736" s="1241">
        <f t="shared" ref="F1736:F1750" si="610">+E1736+D1736</f>
        <v>9520</v>
      </c>
      <c r="G1736" s="1240">
        <f t="shared" ref="G1736:G1738" si="611">F1736/C1736*H1736</f>
        <v>5712</v>
      </c>
      <c r="H1736" s="1242">
        <v>600</v>
      </c>
      <c r="I1736" s="1228" t="s">
        <v>450</v>
      </c>
      <c r="K1736" s="1242">
        <f t="shared" ref="K1736:K1746" si="612">H1736/$C$1729</f>
        <v>1.4285714285714286</v>
      </c>
      <c r="L1736" s="1243">
        <f t="shared" ref="L1736:L1746" si="613">F1736/C1736*K1736</f>
        <v>13.6</v>
      </c>
    </row>
    <row r="1737" spans="1:29" ht="15" customHeight="1" x14ac:dyDescent="0.25">
      <c r="A1737" s="1238"/>
      <c r="B1737" s="1228" t="s">
        <v>253</v>
      </c>
      <c r="C1737" s="1228">
        <v>1000</v>
      </c>
      <c r="D1737" s="1239">
        <f>'Prec Materia Prima y Empaq'!$H$9</f>
        <v>5400</v>
      </c>
      <c r="E1737" s="1240">
        <f t="shared" si="609"/>
        <v>1026</v>
      </c>
      <c r="F1737" s="1241">
        <f t="shared" si="610"/>
        <v>6426</v>
      </c>
      <c r="G1737" s="1240">
        <f t="shared" si="611"/>
        <v>6426</v>
      </c>
      <c r="H1737" s="1242">
        <v>1000</v>
      </c>
      <c r="I1737" s="1228" t="s">
        <v>450</v>
      </c>
      <c r="K1737" s="1242">
        <f t="shared" si="612"/>
        <v>2.3809523809523809</v>
      </c>
      <c r="L1737" s="1243">
        <f t="shared" si="613"/>
        <v>15.3</v>
      </c>
    </row>
    <row r="1738" spans="1:29" ht="15" customHeight="1" x14ac:dyDescent="0.25">
      <c r="A1738" s="1238"/>
      <c r="B1738" s="1228" t="s">
        <v>255</v>
      </c>
      <c r="C1738" s="1228">
        <v>1000</v>
      </c>
      <c r="D1738" s="1239">
        <f>'Prec Materia Prima y Empaq'!$H$26</f>
        <v>45404</v>
      </c>
      <c r="E1738" s="1240">
        <f t="shared" si="609"/>
        <v>8626.76</v>
      </c>
      <c r="F1738" s="1241">
        <f t="shared" si="610"/>
        <v>54030.76</v>
      </c>
      <c r="G1738" s="1240">
        <f t="shared" si="611"/>
        <v>13507.69</v>
      </c>
      <c r="H1738" s="1242">
        <v>250</v>
      </c>
      <c r="I1738" s="1228" t="s">
        <v>450</v>
      </c>
      <c r="K1738" s="1242">
        <f t="shared" si="612"/>
        <v>0.59523809523809523</v>
      </c>
      <c r="L1738" s="1243">
        <f t="shared" si="613"/>
        <v>32.161166666666666</v>
      </c>
    </row>
    <row r="1739" spans="1:29" ht="15" customHeight="1" x14ac:dyDescent="0.25">
      <c r="A1739" s="1238"/>
      <c r="B1739" s="1228" t="s">
        <v>382</v>
      </c>
      <c r="C1739" s="1228">
        <v>3785</v>
      </c>
      <c r="D1739" s="1239">
        <f>'Prec Materia Prima y Empaq'!$H$18</f>
        <v>24</v>
      </c>
      <c r="E1739" s="1240">
        <f t="shared" si="609"/>
        <v>4.5600000000000005</v>
      </c>
      <c r="F1739" s="1241">
        <f t="shared" si="610"/>
        <v>28.560000000000002</v>
      </c>
      <c r="G1739" s="1240">
        <f>F1739/C1739*H1739</f>
        <v>0.37727873183619554</v>
      </c>
      <c r="H1739" s="1242">
        <v>50</v>
      </c>
      <c r="I1739" s="1228" t="s">
        <v>450</v>
      </c>
      <c r="K1739" s="1242">
        <f t="shared" si="612"/>
        <v>0.11904761904761904</v>
      </c>
      <c r="L1739" s="1243">
        <f t="shared" si="613"/>
        <v>8.9828269484808459E-4</v>
      </c>
    </row>
    <row r="1740" spans="1:29" ht="15" customHeight="1" x14ac:dyDescent="0.25">
      <c r="A1740" s="1238"/>
      <c r="B1740" s="1228" t="s">
        <v>249</v>
      </c>
      <c r="C1740" s="1228">
        <v>1000</v>
      </c>
      <c r="D1740" s="1239">
        <f>'Prec Materia Prima y Empaq'!$H$59</f>
        <v>65135</v>
      </c>
      <c r="E1740" s="1240">
        <f t="shared" si="609"/>
        <v>12375.65</v>
      </c>
      <c r="F1740" s="1241">
        <f t="shared" si="610"/>
        <v>77510.649999999994</v>
      </c>
      <c r="G1740" s="1240">
        <f t="shared" ref="G1740:G1743" si="614">F1740/C1740*H1740</f>
        <v>38755.324999999997</v>
      </c>
      <c r="H1740" s="1242">
        <v>500</v>
      </c>
      <c r="I1740" s="1228" t="s">
        <v>450</v>
      </c>
      <c r="K1740" s="1242">
        <f t="shared" si="612"/>
        <v>1.1904761904761905</v>
      </c>
      <c r="L1740" s="1243">
        <f t="shared" si="613"/>
        <v>92.274583333333325</v>
      </c>
    </row>
    <row r="1741" spans="1:29" ht="30.75" customHeight="1" x14ac:dyDescent="0.25">
      <c r="B1741" s="1228" t="s">
        <v>300</v>
      </c>
      <c r="C1741" s="1228">
        <v>1000</v>
      </c>
      <c r="D1741" s="1239">
        <f>'Prec Materia Prima y Empaq'!$H$25</f>
        <v>30041</v>
      </c>
      <c r="E1741" s="1240">
        <f t="shared" si="609"/>
        <v>5707.79</v>
      </c>
      <c r="F1741" s="1241">
        <f t="shared" si="610"/>
        <v>35748.79</v>
      </c>
      <c r="G1741" s="1240">
        <f t="shared" si="614"/>
        <v>17874.395</v>
      </c>
      <c r="H1741" s="1242">
        <v>500</v>
      </c>
      <c r="I1741" s="1228" t="s">
        <v>450</v>
      </c>
      <c r="K1741" s="1242">
        <f t="shared" si="612"/>
        <v>1.1904761904761905</v>
      </c>
      <c r="L1741" s="1243">
        <f t="shared" si="613"/>
        <v>42.558083333333336</v>
      </c>
    </row>
    <row r="1742" spans="1:29" ht="15" customHeight="1" x14ac:dyDescent="0.25">
      <c r="B1742" s="1228" t="s">
        <v>713</v>
      </c>
      <c r="C1742" s="1228">
        <v>1000</v>
      </c>
      <c r="D1742" s="1239">
        <f>'Prec Materia Prima y Empaq'!$H$27</f>
        <v>120000</v>
      </c>
      <c r="E1742" s="1240">
        <f t="shared" si="609"/>
        <v>22800</v>
      </c>
      <c r="F1742" s="1241">
        <f t="shared" si="610"/>
        <v>142800</v>
      </c>
      <c r="G1742" s="1240">
        <f t="shared" si="614"/>
        <v>71400</v>
      </c>
      <c r="H1742" s="1242">
        <v>500</v>
      </c>
      <c r="I1742" s="1228" t="s">
        <v>450</v>
      </c>
      <c r="K1742" s="1242">
        <f t="shared" si="612"/>
        <v>1.1904761904761905</v>
      </c>
      <c r="L1742" s="1243">
        <f t="shared" si="613"/>
        <v>170</v>
      </c>
    </row>
    <row r="1743" spans="1:29" ht="23.25" customHeight="1" x14ac:dyDescent="0.25">
      <c r="B1743" s="1228" t="s">
        <v>712</v>
      </c>
      <c r="C1743" s="1228">
        <v>1000</v>
      </c>
      <c r="D1743" s="1239">
        <f>'Prec Materia Prima y Empaq'!$H$23</f>
        <v>2000000</v>
      </c>
      <c r="E1743" s="1240">
        <f t="shared" si="609"/>
        <v>380000</v>
      </c>
      <c r="F1743" s="1241">
        <f t="shared" si="610"/>
        <v>2380000</v>
      </c>
      <c r="G1743" s="1241">
        <f t="shared" si="614"/>
        <v>357000</v>
      </c>
      <c r="H1743" s="1228">
        <v>150</v>
      </c>
      <c r="I1743" s="1228" t="s">
        <v>450</v>
      </c>
      <c r="K1743" s="1242">
        <f t="shared" si="612"/>
        <v>0.35714285714285715</v>
      </c>
      <c r="L1743" s="1243">
        <f t="shared" si="613"/>
        <v>850</v>
      </c>
    </row>
    <row r="1744" spans="1:29" ht="31.5" customHeight="1" x14ac:dyDescent="0.25">
      <c r="B1744" s="1220" t="s">
        <v>247</v>
      </c>
      <c r="C1744" s="1228">
        <v>1000</v>
      </c>
      <c r="D1744" s="1244">
        <f>'Prec Materia Prima y Empaq'!$H$7</f>
        <v>50000</v>
      </c>
      <c r="E1744" s="1240">
        <v>0</v>
      </c>
      <c r="F1744" s="1241">
        <f t="shared" si="610"/>
        <v>50000</v>
      </c>
      <c r="G1744" s="1240">
        <f>F1744/C1744*H1744</f>
        <v>32.022471910112351</v>
      </c>
      <c r="H1744" s="1245">
        <v>0.64044943820224698</v>
      </c>
      <c r="I1744" s="1245" t="s">
        <v>453</v>
      </c>
      <c r="K1744" s="1242">
        <f t="shared" ref="K1744" si="615">H1744/$C$1371</f>
        <v>7.6243980738362736E-4</v>
      </c>
      <c r="L1744" s="1243">
        <f t="shared" si="613"/>
        <v>3.8121990369181367E-2</v>
      </c>
      <c r="N1744" s="1220" t="s">
        <v>247</v>
      </c>
      <c r="O1744" s="1247">
        <v>1</v>
      </c>
      <c r="P1744" s="1240">
        <f>$F$391/$C$391*$O$391</f>
        <v>50</v>
      </c>
      <c r="Q1744" s="1248"/>
      <c r="R1744" s="1249" t="e">
        <f>P1744/O1733</f>
        <v>#DIV/0!</v>
      </c>
      <c r="S1744" s="1248" t="e">
        <f>R1744*1000</f>
        <v>#DIV/0!</v>
      </c>
      <c r="T1744" s="1250">
        <f>O1744/$O$380*1000</f>
        <v>2.5641025641025641E-3</v>
      </c>
      <c r="U1744" s="1238">
        <f>T1744*$M$380</f>
        <v>1</v>
      </c>
      <c r="Y1744" s="1238"/>
      <c r="Z1744" s="1238"/>
      <c r="AA1744" s="1251"/>
      <c r="AC1744" s="1252"/>
    </row>
    <row r="1745" spans="1:12" ht="36.75" customHeight="1" x14ac:dyDescent="0.25">
      <c r="B1745" s="1322" t="s">
        <v>704</v>
      </c>
      <c r="C1745" s="1220">
        <v>1</v>
      </c>
      <c r="D1745" s="1244">
        <f>'Prec Materia Prima y Empaq'!$H$126</f>
        <v>700</v>
      </c>
      <c r="E1745" s="1240">
        <v>0</v>
      </c>
      <c r="F1745" s="1241">
        <f t="shared" si="610"/>
        <v>700</v>
      </c>
      <c r="G1745" s="1253">
        <f t="shared" ref="G1745:G1750" si="616">F1745*H1745</f>
        <v>294000</v>
      </c>
      <c r="H1745" s="1245">
        <f>$C$12</f>
        <v>420</v>
      </c>
      <c r="I1745" s="1245" t="s">
        <v>453</v>
      </c>
      <c r="K1745" s="1242">
        <f t="shared" si="612"/>
        <v>1</v>
      </c>
      <c r="L1745" s="1243">
        <f t="shared" si="613"/>
        <v>700</v>
      </c>
    </row>
    <row r="1746" spans="1:12" ht="17.25" customHeight="1" x14ac:dyDescent="0.25">
      <c r="B1746" s="1220" t="s">
        <v>614</v>
      </c>
      <c r="C1746" s="1220">
        <v>1</v>
      </c>
      <c r="D1746" s="1244">
        <f>'Prec Materia Prima y Empaq'!$H$144</f>
        <v>70</v>
      </c>
      <c r="E1746" s="1240">
        <v>0</v>
      </c>
      <c r="F1746" s="1241">
        <f t="shared" si="610"/>
        <v>70</v>
      </c>
      <c r="G1746" s="1253">
        <f t="shared" si="616"/>
        <v>29400</v>
      </c>
      <c r="H1746" s="1245">
        <f t="shared" ref="H1746:H1750" si="617">$C$12</f>
        <v>420</v>
      </c>
      <c r="I1746" s="1245" t="s">
        <v>453</v>
      </c>
      <c r="K1746" s="1242">
        <f t="shared" si="612"/>
        <v>1</v>
      </c>
      <c r="L1746" s="1243">
        <f t="shared" si="613"/>
        <v>70</v>
      </c>
    </row>
    <row r="1747" spans="1:12" ht="36" customHeight="1" x14ac:dyDescent="0.25">
      <c r="A1747" s="1275" t="s">
        <v>754</v>
      </c>
      <c r="B1747" s="1323" t="s">
        <v>716</v>
      </c>
      <c r="C1747" s="1281">
        <v>1</v>
      </c>
      <c r="D1747" s="1283">
        <f>'Prec Materia Prima y Empaq'!$H$196</f>
        <v>0</v>
      </c>
      <c r="E1747" s="1240"/>
      <c r="F1747" s="1241"/>
      <c r="G1747" s="1253">
        <f t="shared" si="616"/>
        <v>0</v>
      </c>
      <c r="H1747" s="1245"/>
      <c r="I1747" s="1245"/>
      <c r="K1747" s="1242">
        <f t="shared" ref="K1747" si="618">H1747/$C$1729</f>
        <v>0</v>
      </c>
      <c r="L1747" s="1243">
        <f t="shared" ref="L1747" si="619">F1747/C1747*K1747</f>
        <v>0</v>
      </c>
    </row>
    <row r="1748" spans="1:12" ht="13.5" customHeight="1" x14ac:dyDescent="0.25">
      <c r="B1748" s="1245" t="s">
        <v>452</v>
      </c>
      <c r="C1748" s="1245">
        <v>1</v>
      </c>
      <c r="D1748" s="1244">
        <f>'Prec Materia Prima y Empaq'!$H$140</f>
        <v>120</v>
      </c>
      <c r="E1748" s="1240">
        <v>0</v>
      </c>
      <c r="F1748" s="1241">
        <f t="shared" si="610"/>
        <v>120</v>
      </c>
      <c r="G1748" s="1253">
        <f t="shared" si="616"/>
        <v>50400</v>
      </c>
      <c r="H1748" s="1245">
        <f t="shared" si="617"/>
        <v>420</v>
      </c>
      <c r="I1748" s="1245" t="s">
        <v>453</v>
      </c>
      <c r="K1748" s="1242">
        <f t="shared" ref="K1748:K1750" si="620">H1748/$C$1729</f>
        <v>1</v>
      </c>
      <c r="L1748" s="1243">
        <f t="shared" ref="L1748:L1750" si="621">F1748/C1748*K1748</f>
        <v>120</v>
      </c>
    </row>
    <row r="1749" spans="1:12" ht="13.5" customHeight="1" x14ac:dyDescent="0.25">
      <c r="B1749" s="1254" t="s">
        <v>310</v>
      </c>
      <c r="C1749" s="1245">
        <v>1</v>
      </c>
      <c r="D1749" s="1244">
        <f>'Prec Materia Prima y Empaq'!$H$130</f>
        <v>100</v>
      </c>
      <c r="E1749" s="1240">
        <v>0</v>
      </c>
      <c r="F1749" s="1241">
        <f t="shared" si="610"/>
        <v>100</v>
      </c>
      <c r="G1749" s="1253">
        <f t="shared" si="616"/>
        <v>42000</v>
      </c>
      <c r="H1749" s="1245">
        <f t="shared" si="617"/>
        <v>420</v>
      </c>
      <c r="I1749" s="1245" t="s">
        <v>453</v>
      </c>
      <c r="K1749" s="1242">
        <f t="shared" si="620"/>
        <v>1</v>
      </c>
      <c r="L1749" s="1243">
        <f t="shared" si="621"/>
        <v>100</v>
      </c>
    </row>
    <row r="1750" spans="1:12" ht="13.5" customHeight="1" x14ac:dyDescent="0.25">
      <c r="B1750" s="1245"/>
      <c r="C1750" s="1245">
        <v>1</v>
      </c>
      <c r="D1750" s="1244">
        <f>'Prec Materia Prima y Empaq'!$H$129</f>
        <v>800</v>
      </c>
      <c r="E1750" s="1240">
        <v>0</v>
      </c>
      <c r="F1750" s="1241">
        <f t="shared" si="610"/>
        <v>800</v>
      </c>
      <c r="G1750" s="1253">
        <f t="shared" si="616"/>
        <v>336000</v>
      </c>
      <c r="H1750" s="1245">
        <f t="shared" si="617"/>
        <v>420</v>
      </c>
      <c r="I1750" s="1245" t="s">
        <v>453</v>
      </c>
      <c r="K1750" s="1242">
        <f t="shared" si="620"/>
        <v>1</v>
      </c>
      <c r="L1750" s="1243">
        <f t="shared" si="621"/>
        <v>800</v>
      </c>
    </row>
    <row r="1751" spans="1:12" ht="19.5" customHeight="1" thickBot="1" x14ac:dyDescent="0.3">
      <c r="B1751" s="1255"/>
      <c r="C1751" s="857"/>
      <c r="D1751" s="1256"/>
      <c r="E1751" s="1248"/>
      <c r="F1751" s="1257"/>
      <c r="G1751" s="1258">
        <f>SUM(G1735:G1750)/C1729</f>
        <v>3036.5143089300996</v>
      </c>
      <c r="H1751" s="1259" t="s">
        <v>454</v>
      </c>
      <c r="I1751" s="857"/>
      <c r="L1751" s="1260">
        <f>SUM(L1735:L1750)</f>
        <v>3036.4761869397307</v>
      </c>
    </row>
    <row r="1752" spans="1:12" ht="15" customHeight="1" thickTop="1" x14ac:dyDescent="0.25">
      <c r="B1752" s="1314" t="s">
        <v>409</v>
      </c>
      <c r="C1752" s="1315"/>
      <c r="D1752" s="1316">
        <f>+'Gtos Varios'!I14</f>
        <v>3672.93</v>
      </c>
      <c r="E1752" s="1315"/>
      <c r="F1752" s="1317">
        <f t="shared" ref="F1752" si="622">+E1752+D1752</f>
        <v>3672.93</v>
      </c>
      <c r="G1752" s="1318">
        <f>F1752</f>
        <v>3672.93</v>
      </c>
      <c r="H1752" s="1315" t="str">
        <f>B1752</f>
        <v xml:space="preserve">GASTOS VARIOS </v>
      </c>
      <c r="I1752" s="1315"/>
      <c r="J1752" s="1315"/>
      <c r="K1752" s="1315"/>
    </row>
    <row r="1753" spans="1:12" ht="15" customHeight="1" x14ac:dyDescent="0.25">
      <c r="B1753" s="1255"/>
      <c r="C1753" s="857"/>
      <c r="D1753" s="1256"/>
      <c r="E1753" s="1248"/>
      <c r="F1753" s="1257"/>
      <c r="G1753" s="1266"/>
      <c r="H1753" s="857"/>
      <c r="I1753" s="857"/>
    </row>
    <row r="1754" spans="1:12" ht="15" customHeight="1" x14ac:dyDescent="0.25">
      <c r="B1754" s="1255"/>
      <c r="C1754" s="857"/>
      <c r="D1754" s="1256"/>
      <c r="E1754" s="1248"/>
      <c r="F1754" s="1257"/>
      <c r="G1754" s="1266"/>
      <c r="H1754" s="857"/>
      <c r="I1754" s="857"/>
    </row>
    <row r="1755" spans="1:12" ht="15" customHeight="1" thickBot="1" x14ac:dyDescent="0.3">
      <c r="F1755" s="1267">
        <f>SUM(F1735:F1750)</f>
        <v>2776180.76</v>
      </c>
      <c r="G1755" s="1268">
        <f>SUM(G1751:G1752)</f>
        <v>6709.4443089300994</v>
      </c>
      <c r="H1755" s="733" t="s">
        <v>412</v>
      </c>
    </row>
    <row r="1756" spans="1:12" ht="15" customHeight="1" thickTop="1" x14ac:dyDescent="0.25">
      <c r="G1756" s="1295">
        <f>G1755*48%</f>
        <v>3220.5332682864478</v>
      </c>
      <c r="H1756" s="1274">
        <v>0.48</v>
      </c>
      <c r="I1756" s="733" t="s">
        <v>539</v>
      </c>
    </row>
    <row r="1757" spans="1:12" ht="15" customHeight="1" thickBot="1" x14ac:dyDescent="0.3">
      <c r="G1757" s="1270">
        <f>G1755+G1756</f>
        <v>9929.9775772165467</v>
      </c>
      <c r="H1757" s="733" t="s">
        <v>414</v>
      </c>
    </row>
    <row r="1758" spans="1:12" ht="15" customHeight="1" thickTop="1" x14ac:dyDescent="0.25"/>
    <row r="1761" spans="1:12" ht="15" customHeight="1" x14ac:dyDescent="0.25">
      <c r="B1761" s="1222" t="s">
        <v>61</v>
      </c>
      <c r="C1761" s="1219" t="s">
        <v>193</v>
      </c>
      <c r="D1761" s="733"/>
      <c r="E1761" s="853"/>
      <c r="F1761" s="853"/>
      <c r="G1761" s="853"/>
      <c r="H1761" s="853"/>
    </row>
    <row r="1762" spans="1:12" ht="15" customHeight="1" x14ac:dyDescent="0.25">
      <c r="A1762" s="1223" t="s">
        <v>718</v>
      </c>
      <c r="B1762" s="1222" t="s">
        <v>62</v>
      </c>
      <c r="C1762" s="1219" t="str">
        <f>VLOOKUP(C1761,LISTPROD[],2,FALSE)</f>
        <v>SUPER CALCIO</v>
      </c>
      <c r="D1762" s="733" t="s">
        <v>486</v>
      </c>
      <c r="E1762" s="861" t="s">
        <v>491</v>
      </c>
      <c r="F1762" s="853"/>
      <c r="G1762" s="853"/>
      <c r="H1762" s="853"/>
    </row>
    <row r="1763" spans="1:12" ht="15" customHeight="1" x14ac:dyDescent="0.25">
      <c r="B1763" s="1222" t="s">
        <v>234</v>
      </c>
      <c r="C1763" s="1219" t="str">
        <f>VLOOKUP(C1761,LISTPROD[],9,FALSE)</f>
        <v>500 ML</v>
      </c>
      <c r="D1763" s="733"/>
      <c r="E1763" s="853"/>
      <c r="F1763" s="853"/>
      <c r="G1763" s="853"/>
      <c r="H1763" s="853"/>
    </row>
    <row r="1764" spans="1:12" ht="15" customHeight="1" x14ac:dyDescent="0.25">
      <c r="B1764" s="1222" t="s">
        <v>239</v>
      </c>
      <c r="C1764" s="1224">
        <v>420</v>
      </c>
      <c r="D1764" s="1218"/>
      <c r="E1764" s="853"/>
      <c r="F1764" s="853"/>
      <c r="G1764" s="853"/>
      <c r="H1764" s="853"/>
    </row>
    <row r="1765" spans="1:12" ht="15" customHeight="1" x14ac:dyDescent="0.25">
      <c r="B1765" s="1222" t="s">
        <v>240</v>
      </c>
      <c r="C1765" s="1219"/>
      <c r="D1765" s="733"/>
    </row>
    <row r="1766" spans="1:12" ht="15" customHeight="1" x14ac:dyDescent="0.25">
      <c r="B1766" s="1222" t="s">
        <v>238</v>
      </c>
      <c r="C1766" s="733" t="s">
        <v>56</v>
      </c>
      <c r="D1766" s="1218" t="s">
        <v>449</v>
      </c>
    </row>
    <row r="1767" spans="1:12" ht="15" customHeight="1" x14ac:dyDescent="0.25">
      <c r="B1767" s="1225" t="s">
        <v>410</v>
      </c>
      <c r="C1767" s="753">
        <v>500</v>
      </c>
      <c r="D1767" s="1226"/>
    </row>
    <row r="1768" spans="1:12" ht="15" customHeight="1" x14ac:dyDescent="0.25">
      <c r="A1768" s="1227"/>
      <c r="B1768" s="1436" t="s">
        <v>404</v>
      </c>
      <c r="C1768" s="1436"/>
      <c r="D1768" s="1436"/>
      <c r="E1768" s="1436"/>
      <c r="F1768" s="1436"/>
      <c r="G1768" s="1228"/>
      <c r="H1768" s="1437" t="s">
        <v>416</v>
      </c>
      <c r="I1768" s="1438"/>
    </row>
    <row r="1769" spans="1:12" ht="45" customHeight="1" x14ac:dyDescent="0.25">
      <c r="A1769" s="1229"/>
      <c r="B1769" s="1230" t="s">
        <v>398</v>
      </c>
      <c r="C1769" s="1231" t="s">
        <v>441</v>
      </c>
      <c r="D1769" s="1232" t="s">
        <v>399</v>
      </c>
      <c r="E1769" s="1233" t="s">
        <v>402</v>
      </c>
      <c r="F1769" s="1232" t="s">
        <v>399</v>
      </c>
      <c r="G1769" s="1232" t="s">
        <v>411</v>
      </c>
      <c r="H1769" s="1234" t="s">
        <v>408</v>
      </c>
      <c r="I1769" s="1235" t="s">
        <v>415</v>
      </c>
      <c r="K1769" s="1236" t="s">
        <v>603</v>
      </c>
      <c r="L1769" s="1237" t="s">
        <v>604</v>
      </c>
    </row>
    <row r="1770" spans="1:12" ht="15" customHeight="1" x14ac:dyDescent="0.25">
      <c r="A1770" s="1238"/>
      <c r="B1770" s="1228" t="s">
        <v>248</v>
      </c>
      <c r="C1770" s="1228">
        <v>1000</v>
      </c>
      <c r="D1770" s="1239">
        <f>'Prec Materia Prima y Empaq'!$H$21</f>
        <v>15400</v>
      </c>
      <c r="E1770" s="1240">
        <f>D1770*19%</f>
        <v>2926</v>
      </c>
      <c r="F1770" s="1241">
        <f>+E1770+D1770</f>
        <v>18326</v>
      </c>
      <c r="G1770" s="1240">
        <f>F1770/C1770*H1770</f>
        <v>12974.808000000001</v>
      </c>
      <c r="H1770" s="1242">
        <v>708</v>
      </c>
      <c r="I1770" s="1228" t="s">
        <v>450</v>
      </c>
      <c r="K1770" s="1242">
        <f>H1770/$C$1764</f>
        <v>1.6857142857142857</v>
      </c>
      <c r="L1770" s="1243">
        <f>F1770/C1770*K1770</f>
        <v>30.892400000000002</v>
      </c>
    </row>
    <row r="1771" spans="1:12" ht="15" customHeight="1" x14ac:dyDescent="0.25">
      <c r="A1771" s="1238"/>
      <c r="B1771" s="1228" t="s">
        <v>443</v>
      </c>
      <c r="C1771" s="1228">
        <v>1000</v>
      </c>
      <c r="D1771" s="1239">
        <f>'Prec Materia Prima y Empaq'!$H$11</f>
        <v>8000</v>
      </c>
      <c r="E1771" s="1240">
        <f t="shared" ref="E1771:E1776" si="623">D1771*19%</f>
        <v>1520</v>
      </c>
      <c r="F1771" s="1241">
        <f t="shared" ref="F1771:F1777" si="624">+E1771+D1771</f>
        <v>9520</v>
      </c>
      <c r="G1771" s="1240">
        <f t="shared" ref="G1771:G1775" si="625">F1771/C1771*H1771</f>
        <v>3884.16</v>
      </c>
      <c r="H1771" s="1242">
        <v>408</v>
      </c>
      <c r="I1771" s="1228" t="s">
        <v>450</v>
      </c>
      <c r="K1771" s="1242">
        <f t="shared" ref="K1771:K1783" si="626">H1771/$C$1764</f>
        <v>0.97142857142857142</v>
      </c>
      <c r="L1771" s="1243">
        <f t="shared" ref="L1771:L1783" si="627">F1771/C1771*K1771</f>
        <v>9.2479999999999993</v>
      </c>
    </row>
    <row r="1772" spans="1:12" ht="15" customHeight="1" x14ac:dyDescent="0.25">
      <c r="A1772" s="1238"/>
      <c r="B1772" s="1228" t="s">
        <v>272</v>
      </c>
      <c r="C1772" s="1228">
        <v>1000</v>
      </c>
      <c r="D1772" s="1239">
        <f>'Prec Materia Prima y Empaq'!$H$15</f>
        <v>18000</v>
      </c>
      <c r="E1772" s="1240">
        <f t="shared" si="623"/>
        <v>3420</v>
      </c>
      <c r="F1772" s="1241">
        <f t="shared" si="624"/>
        <v>21420</v>
      </c>
      <c r="G1772" s="1240">
        <f t="shared" si="625"/>
        <v>149940</v>
      </c>
      <c r="H1772" s="1242">
        <v>7000</v>
      </c>
      <c r="I1772" s="1228" t="s">
        <v>450</v>
      </c>
      <c r="K1772" s="1242">
        <f t="shared" si="626"/>
        <v>16.666666666666668</v>
      </c>
      <c r="L1772" s="1243">
        <f t="shared" si="627"/>
        <v>357.00000000000006</v>
      </c>
    </row>
    <row r="1773" spans="1:12" ht="15" customHeight="1" x14ac:dyDescent="0.25">
      <c r="A1773" s="1238"/>
      <c r="B1773" s="1228" t="s">
        <v>296</v>
      </c>
      <c r="C1773" s="1228">
        <v>1000</v>
      </c>
      <c r="D1773" s="1239">
        <f>'Prec Materia Prima y Empaq'!$H$48</f>
        <v>65000</v>
      </c>
      <c r="E1773" s="1240">
        <f t="shared" si="623"/>
        <v>12350</v>
      </c>
      <c r="F1773" s="1241">
        <f t="shared" si="624"/>
        <v>77350</v>
      </c>
      <c r="G1773" s="1240">
        <f t="shared" si="625"/>
        <v>8972.5999999999985</v>
      </c>
      <c r="H1773" s="1242">
        <v>116</v>
      </c>
      <c r="I1773" s="1228" t="s">
        <v>450</v>
      </c>
      <c r="K1773" s="1242">
        <f t="shared" si="626"/>
        <v>0.27619047619047621</v>
      </c>
      <c r="L1773" s="1243">
        <f t="shared" si="627"/>
        <v>21.363333333333333</v>
      </c>
    </row>
    <row r="1774" spans="1:12" ht="15" customHeight="1" x14ac:dyDescent="0.25">
      <c r="A1774" s="1238"/>
      <c r="B1774" s="1228" t="s">
        <v>261</v>
      </c>
      <c r="C1774" s="1228">
        <v>1000</v>
      </c>
      <c r="D1774" s="1239">
        <f>'Prec Materia Prima y Empaq'!$H$12</f>
        <v>4700</v>
      </c>
      <c r="E1774" s="1240">
        <f t="shared" si="623"/>
        <v>893</v>
      </c>
      <c r="F1774" s="1241">
        <f t="shared" si="624"/>
        <v>5593</v>
      </c>
      <c r="G1774" s="1240">
        <f t="shared" si="625"/>
        <v>1398.25</v>
      </c>
      <c r="H1774" s="1242">
        <v>250</v>
      </c>
      <c r="I1774" s="1228" t="s">
        <v>450</v>
      </c>
      <c r="K1774" s="1242">
        <f t="shared" si="626"/>
        <v>0.59523809523809523</v>
      </c>
      <c r="L1774" s="1243">
        <f t="shared" si="627"/>
        <v>3.3291666666666666</v>
      </c>
    </row>
    <row r="1775" spans="1:12" ht="15" customHeight="1" x14ac:dyDescent="0.25">
      <c r="A1775" s="1238"/>
      <c r="B1775" s="1228" t="s">
        <v>297</v>
      </c>
      <c r="C1775" s="1228">
        <v>1000</v>
      </c>
      <c r="D1775" s="1239">
        <f>'Prec Materia Prima y Empaq'!$H$39</f>
        <v>210084.03</v>
      </c>
      <c r="E1775" s="1240">
        <f t="shared" si="623"/>
        <v>39915.965700000001</v>
      </c>
      <c r="F1775" s="1241">
        <f t="shared" si="624"/>
        <v>249999.9957</v>
      </c>
      <c r="G1775" s="1240">
        <f t="shared" si="625"/>
        <v>16999.9997076</v>
      </c>
      <c r="H1775" s="1242">
        <v>68</v>
      </c>
      <c r="I1775" s="1228" t="s">
        <v>450</v>
      </c>
      <c r="K1775" s="1242">
        <f t="shared" si="626"/>
        <v>0.16190476190476191</v>
      </c>
      <c r="L1775" s="1243">
        <f t="shared" si="627"/>
        <v>40.476189779999999</v>
      </c>
    </row>
    <row r="1776" spans="1:12" ht="15" customHeight="1" x14ac:dyDescent="0.25">
      <c r="A1776" s="1238"/>
      <c r="B1776" s="1228" t="s">
        <v>382</v>
      </c>
      <c r="C1776" s="1228">
        <v>3785</v>
      </c>
      <c r="D1776" s="1239">
        <f>'Prec Materia Prima y Empaq'!$H$18</f>
        <v>24</v>
      </c>
      <c r="E1776" s="1240">
        <f t="shared" si="623"/>
        <v>4.5600000000000005</v>
      </c>
      <c r="F1776" s="1241">
        <f t="shared" si="624"/>
        <v>28.560000000000002</v>
      </c>
      <c r="G1776" s="1240">
        <f>F1776/C1776*H1776</f>
        <v>0.37727873183619554</v>
      </c>
      <c r="H1776" s="1242">
        <v>50</v>
      </c>
      <c r="I1776" s="1228" t="s">
        <v>450</v>
      </c>
      <c r="K1776" s="1242">
        <f t="shared" si="626"/>
        <v>0.11904761904761904</v>
      </c>
      <c r="L1776" s="1243">
        <f t="shared" si="627"/>
        <v>8.9828269484808459E-4</v>
      </c>
    </row>
    <row r="1777" spans="1:29" ht="31.5" customHeight="1" x14ac:dyDescent="0.25">
      <c r="B1777" s="1220" t="s">
        <v>247</v>
      </c>
      <c r="C1777" s="1228">
        <v>1000</v>
      </c>
      <c r="D1777" s="1244">
        <f>'Prec Materia Prima y Empaq'!$H$7</f>
        <v>50000</v>
      </c>
      <c r="E1777" s="1240">
        <v>0</v>
      </c>
      <c r="F1777" s="1241">
        <f t="shared" si="624"/>
        <v>50000</v>
      </c>
      <c r="G1777" s="1240">
        <f>F1777/C1777*H1777</f>
        <v>32.022471910112351</v>
      </c>
      <c r="H1777" s="1245">
        <v>0.64044943820224698</v>
      </c>
      <c r="I1777" s="1245" t="s">
        <v>453</v>
      </c>
      <c r="K1777" s="1242">
        <f t="shared" ref="K1777" si="628">H1777/$C$1371</f>
        <v>7.6243980738362736E-4</v>
      </c>
      <c r="L1777" s="1243">
        <f t="shared" si="627"/>
        <v>3.8121990369181367E-2</v>
      </c>
      <c r="N1777" s="1220" t="s">
        <v>247</v>
      </c>
      <c r="O1777" s="1247">
        <v>1</v>
      </c>
      <c r="P1777" s="1240">
        <f>$F$391/$C$391*$O$391</f>
        <v>50</v>
      </c>
      <c r="Q1777" s="1248"/>
      <c r="R1777" s="1249" t="e">
        <f>P1777/O1766</f>
        <v>#DIV/0!</v>
      </c>
      <c r="S1777" s="1248" t="e">
        <f>R1777*1000</f>
        <v>#DIV/0!</v>
      </c>
      <c r="T1777" s="1250">
        <f>O1777/$O$380*1000</f>
        <v>2.5641025641025641E-3</v>
      </c>
      <c r="U1777" s="1238">
        <f>T1777*$M$380</f>
        <v>1</v>
      </c>
      <c r="Y1777" s="1238"/>
      <c r="Z1777" s="1238"/>
      <c r="AA1777" s="1251"/>
      <c r="AC1777" s="1252"/>
    </row>
    <row r="1778" spans="1:29" ht="15" customHeight="1" x14ac:dyDescent="0.25">
      <c r="A1778" s="1238"/>
      <c r="B1778" s="1220" t="s">
        <v>490</v>
      </c>
      <c r="C1778" s="1220">
        <v>1</v>
      </c>
      <c r="D1778" s="1244">
        <f>'Preci Comp Prod'!$N$21</f>
        <v>650</v>
      </c>
      <c r="E1778" s="1240">
        <v>0</v>
      </c>
      <c r="F1778" s="1241">
        <f>+E1778+D1778</f>
        <v>650</v>
      </c>
      <c r="G1778" s="1253">
        <f>F1778*H1778</f>
        <v>273000</v>
      </c>
      <c r="H1778" s="1245">
        <f>$C$1764</f>
        <v>420</v>
      </c>
      <c r="I1778" s="1245" t="s">
        <v>453</v>
      </c>
      <c r="K1778" s="1242">
        <f t="shared" si="626"/>
        <v>1</v>
      </c>
      <c r="L1778" s="1243">
        <f t="shared" si="627"/>
        <v>650</v>
      </c>
    </row>
    <row r="1779" spans="1:29" ht="15" customHeight="1" x14ac:dyDescent="0.25">
      <c r="A1779" s="1238"/>
      <c r="B1779" s="1220" t="s">
        <v>614</v>
      </c>
      <c r="C1779" s="1220">
        <v>1</v>
      </c>
      <c r="D1779" s="1244">
        <f>'Prec Materia Prima y Empaq'!$H$144</f>
        <v>70</v>
      </c>
      <c r="E1779" s="1240">
        <v>0</v>
      </c>
      <c r="F1779" s="1241">
        <f t="shared" ref="F1779:F1783" si="629">+E1779+D1779</f>
        <v>70</v>
      </c>
      <c r="G1779" s="1253">
        <f>F1779*H1779</f>
        <v>29400</v>
      </c>
      <c r="H1779" s="1245">
        <f t="shared" ref="H1779:H1783" si="630">$C$1764</f>
        <v>420</v>
      </c>
      <c r="I1779" s="1245" t="s">
        <v>453</v>
      </c>
      <c r="K1779" s="1242">
        <f t="shared" si="626"/>
        <v>1</v>
      </c>
      <c r="L1779" s="1243">
        <f t="shared" si="627"/>
        <v>70</v>
      </c>
    </row>
    <row r="1780" spans="1:29" ht="52.5" customHeight="1" x14ac:dyDescent="0.25">
      <c r="B1780" s="1220" t="s">
        <v>695</v>
      </c>
      <c r="C1780" s="1245">
        <v>1</v>
      </c>
      <c r="D1780" s="1272">
        <f>'Prec Materia Prima y Empaq'!$H$161</f>
        <v>300</v>
      </c>
      <c r="E1780" s="1240">
        <v>0</v>
      </c>
      <c r="F1780" s="1241">
        <f t="shared" si="629"/>
        <v>300</v>
      </c>
      <c r="G1780" s="1253">
        <f t="shared" ref="G1780:G1783" si="631">F1780*H1780</f>
        <v>126000</v>
      </c>
      <c r="H1780" s="1245">
        <f t="shared" si="630"/>
        <v>420</v>
      </c>
      <c r="I1780" s="1245" t="s">
        <v>453</v>
      </c>
      <c r="K1780" s="1242">
        <f t="shared" si="626"/>
        <v>1</v>
      </c>
      <c r="L1780" s="1243">
        <f t="shared" si="627"/>
        <v>300</v>
      </c>
    </row>
    <row r="1781" spans="1:29" ht="30" customHeight="1" x14ac:dyDescent="0.25">
      <c r="B1781" s="1228" t="s">
        <v>452</v>
      </c>
      <c r="C1781" s="1245">
        <v>1</v>
      </c>
      <c r="D1781" s="1244">
        <f>'Prec Materia Prima y Empaq'!$H$140</f>
        <v>120</v>
      </c>
      <c r="E1781" s="1240">
        <v>0</v>
      </c>
      <c r="F1781" s="1241">
        <f t="shared" si="629"/>
        <v>120</v>
      </c>
      <c r="G1781" s="1253">
        <f t="shared" si="631"/>
        <v>50400</v>
      </c>
      <c r="H1781" s="1245">
        <f t="shared" si="630"/>
        <v>420</v>
      </c>
      <c r="I1781" s="1245" t="s">
        <v>453</v>
      </c>
      <c r="K1781" s="1242">
        <f t="shared" si="626"/>
        <v>1</v>
      </c>
      <c r="L1781" s="1243">
        <f t="shared" si="627"/>
        <v>120</v>
      </c>
    </row>
    <row r="1782" spans="1:29" ht="35.25" customHeight="1" x14ac:dyDescent="0.25">
      <c r="B1782" s="1254" t="s">
        <v>310</v>
      </c>
      <c r="C1782" s="1245">
        <v>1</v>
      </c>
      <c r="D1782" s="1244">
        <f>'Prec Materia Prima y Empaq'!$H$130</f>
        <v>100</v>
      </c>
      <c r="E1782" s="1240">
        <v>0</v>
      </c>
      <c r="F1782" s="1241">
        <f t="shared" si="629"/>
        <v>100</v>
      </c>
      <c r="G1782" s="1253">
        <f t="shared" si="631"/>
        <v>42000</v>
      </c>
      <c r="H1782" s="1245">
        <f t="shared" si="630"/>
        <v>420</v>
      </c>
      <c r="I1782" s="1245" t="s">
        <v>453</v>
      </c>
      <c r="K1782" s="1242">
        <f t="shared" si="626"/>
        <v>1</v>
      </c>
      <c r="L1782" s="1243">
        <f t="shared" si="627"/>
        <v>100</v>
      </c>
    </row>
    <row r="1783" spans="1:29" ht="15" customHeight="1" x14ac:dyDescent="0.25">
      <c r="B1783" s="1228" t="s">
        <v>309</v>
      </c>
      <c r="C1783" s="1245">
        <v>1</v>
      </c>
      <c r="D1783" s="1244">
        <f>'Prec Materia Prima y Empaq'!$H$129</f>
        <v>800</v>
      </c>
      <c r="E1783" s="1240">
        <v>0</v>
      </c>
      <c r="F1783" s="1241">
        <f t="shared" si="629"/>
        <v>800</v>
      </c>
      <c r="G1783" s="1253">
        <f t="shared" si="631"/>
        <v>336000</v>
      </c>
      <c r="H1783" s="1245">
        <f t="shared" si="630"/>
        <v>420</v>
      </c>
      <c r="I1783" s="1245" t="s">
        <v>453</v>
      </c>
      <c r="K1783" s="1242">
        <f t="shared" si="626"/>
        <v>1</v>
      </c>
      <c r="L1783" s="1243">
        <f t="shared" si="627"/>
        <v>800</v>
      </c>
    </row>
    <row r="1784" spans="1:29" ht="19.5" customHeight="1" thickBot="1" x14ac:dyDescent="0.3">
      <c r="B1784" s="1255"/>
      <c r="C1784" s="857"/>
      <c r="D1784" s="1256"/>
      <c r="E1784" s="1248"/>
      <c r="F1784" s="1257"/>
      <c r="G1784" s="1258">
        <f>SUM(G1768:G1783)/C1764</f>
        <v>2502.3862320434337</v>
      </c>
      <c r="H1784" s="1259" t="s">
        <v>454</v>
      </c>
      <c r="I1784" s="857"/>
      <c r="L1784" s="1260">
        <f>SUM(L1768:L1783)</f>
        <v>2502.3481100530639</v>
      </c>
    </row>
    <row r="1785" spans="1:29" ht="15" customHeight="1" thickTop="1" x14ac:dyDescent="0.25">
      <c r="B1785" s="1314" t="s">
        <v>409</v>
      </c>
      <c r="C1785" s="1315"/>
      <c r="D1785" s="1316">
        <f>+'Gtos Varios'!I14</f>
        <v>3672.93</v>
      </c>
      <c r="E1785" s="1315"/>
      <c r="F1785" s="1317">
        <f t="shared" ref="F1785" si="632">+E1785+D1785</f>
        <v>3672.93</v>
      </c>
      <c r="G1785" s="1318">
        <f>F1785</f>
        <v>3672.93</v>
      </c>
      <c r="H1785" s="1315" t="str">
        <f>B1785</f>
        <v xml:space="preserve">GASTOS VARIOS </v>
      </c>
      <c r="I1785" s="1315"/>
    </row>
    <row r="1786" spans="1:29" ht="15" customHeight="1" thickBot="1" x14ac:dyDescent="0.3">
      <c r="F1786" s="1267">
        <f>SUM(F1770:F1783)</f>
        <v>434277.55569999997</v>
      </c>
      <c r="G1786" s="1268">
        <f>SUM(G1784:G1785)</f>
        <v>6175.316232043433</v>
      </c>
      <c r="H1786" s="733" t="s">
        <v>412</v>
      </c>
    </row>
    <row r="1787" spans="1:29" ht="15" customHeight="1" thickTop="1" x14ac:dyDescent="0.25">
      <c r="G1787" s="1295">
        <f>G1786*53%</f>
        <v>3272.9176029830196</v>
      </c>
      <c r="H1787" s="1274">
        <v>0.53</v>
      </c>
      <c r="I1787" s="857" t="s">
        <v>539</v>
      </c>
    </row>
    <row r="1788" spans="1:29" ht="15" customHeight="1" thickBot="1" x14ac:dyDescent="0.3">
      <c r="G1788" s="1270">
        <f>G1786+G1787</f>
        <v>9448.2338350264527</v>
      </c>
      <c r="H1788" s="733" t="s">
        <v>414</v>
      </c>
    </row>
    <row r="1789" spans="1:29" ht="15" customHeight="1" thickTop="1" x14ac:dyDescent="0.25"/>
    <row r="1792" spans="1:29" ht="15" customHeight="1" x14ac:dyDescent="0.25">
      <c r="B1792" s="1222" t="s">
        <v>61</v>
      </c>
      <c r="C1792" s="1219" t="s">
        <v>195</v>
      </c>
      <c r="D1792" s="733"/>
      <c r="E1792" s="853"/>
      <c r="F1792" s="853"/>
      <c r="G1792" s="853"/>
      <c r="H1792" s="853"/>
    </row>
    <row r="1793" spans="1:12" ht="15" customHeight="1" x14ac:dyDescent="0.25">
      <c r="A1793" s="1223" t="s">
        <v>717</v>
      </c>
      <c r="B1793" s="1222" t="s">
        <v>62</v>
      </c>
      <c r="C1793" s="1219" t="str">
        <f>VLOOKUP(C1792,LISTPROD[],2,FALSE)</f>
        <v>TONICO CEREBRAL</v>
      </c>
      <c r="D1793" s="1219" t="s">
        <v>486</v>
      </c>
      <c r="E1793" s="733" t="s">
        <v>491</v>
      </c>
      <c r="F1793" s="853"/>
      <c r="G1793" s="853"/>
      <c r="H1793" s="853"/>
    </row>
    <row r="1794" spans="1:12" ht="15" customHeight="1" x14ac:dyDescent="0.25">
      <c r="B1794" s="1222" t="s">
        <v>234</v>
      </c>
      <c r="C1794" s="1219" t="str">
        <f>VLOOKUP(C1792,LISTPROD[],9,FALSE)</f>
        <v>500 ML</v>
      </c>
      <c r="D1794" s="733"/>
      <c r="E1794" s="853"/>
      <c r="F1794" s="853"/>
      <c r="G1794" s="853"/>
      <c r="H1794" s="853"/>
    </row>
    <row r="1795" spans="1:12" ht="15" customHeight="1" x14ac:dyDescent="0.25">
      <c r="B1795" s="1222" t="s">
        <v>239</v>
      </c>
      <c r="C1795" s="1300">
        <v>420</v>
      </c>
      <c r="D1795" s="1218"/>
      <c r="E1795" s="853"/>
      <c r="F1795" s="853"/>
      <c r="G1795" s="853"/>
      <c r="H1795" s="853"/>
    </row>
    <row r="1796" spans="1:12" ht="15" customHeight="1" x14ac:dyDescent="0.25">
      <c r="B1796" s="1222" t="s">
        <v>240</v>
      </c>
      <c r="C1796" s="1219"/>
      <c r="D1796" s="733"/>
    </row>
    <row r="1797" spans="1:12" ht="15" customHeight="1" x14ac:dyDescent="0.25">
      <c r="B1797" s="1222" t="s">
        <v>238</v>
      </c>
      <c r="C1797" s="733" t="s">
        <v>56</v>
      </c>
      <c r="D1797" s="1218" t="s">
        <v>449</v>
      </c>
    </row>
    <row r="1798" spans="1:12" ht="15" customHeight="1" x14ac:dyDescent="0.25">
      <c r="B1798" s="1225" t="s">
        <v>410</v>
      </c>
      <c r="C1798" s="753">
        <v>500</v>
      </c>
      <c r="D1798" s="1226"/>
    </row>
    <row r="1799" spans="1:12" ht="15" customHeight="1" x14ac:dyDescent="0.25">
      <c r="A1799" s="1227"/>
      <c r="B1799" s="1436" t="s">
        <v>404</v>
      </c>
      <c r="C1799" s="1436"/>
      <c r="D1799" s="1436"/>
      <c r="E1799" s="1436"/>
      <c r="F1799" s="1436"/>
      <c r="G1799" s="1228"/>
      <c r="H1799" s="1437" t="s">
        <v>416</v>
      </c>
      <c r="I1799" s="1438"/>
    </row>
    <row r="1800" spans="1:12" ht="58.5" customHeight="1" x14ac:dyDescent="0.25">
      <c r="A1800" s="1229"/>
      <c r="B1800" s="1230" t="s">
        <v>398</v>
      </c>
      <c r="C1800" s="1231" t="s">
        <v>441</v>
      </c>
      <c r="D1800" s="1232" t="s">
        <v>399</v>
      </c>
      <c r="E1800" s="1233" t="s">
        <v>402</v>
      </c>
      <c r="F1800" s="1232" t="s">
        <v>399</v>
      </c>
      <c r="G1800" s="1232" t="s">
        <v>411</v>
      </c>
      <c r="H1800" s="1234" t="s">
        <v>408</v>
      </c>
      <c r="I1800" s="1235" t="s">
        <v>415</v>
      </c>
      <c r="K1800" s="1236" t="s">
        <v>603</v>
      </c>
      <c r="L1800" s="1237" t="s">
        <v>604</v>
      </c>
    </row>
    <row r="1801" spans="1:12" ht="15" customHeight="1" x14ac:dyDescent="0.25">
      <c r="A1801" s="1238"/>
      <c r="B1801" s="1228" t="s">
        <v>248</v>
      </c>
      <c r="C1801" s="1228">
        <v>1000</v>
      </c>
      <c r="D1801" s="1239">
        <f>'Prec Materia Prima y Empaq'!$H$21</f>
        <v>15400</v>
      </c>
      <c r="E1801" s="1240">
        <f>D1801*19%</f>
        <v>2926</v>
      </c>
      <c r="F1801" s="1241">
        <f>+E1801+D1801</f>
        <v>18326</v>
      </c>
      <c r="G1801" s="1240">
        <f>F1801/C1801*H1801</f>
        <v>14660.800000000001</v>
      </c>
      <c r="H1801" s="1242">
        <v>800</v>
      </c>
      <c r="I1801" s="1228" t="s">
        <v>450</v>
      </c>
      <c r="K1801" s="1242">
        <f>H1801/$C$1795</f>
        <v>1.9047619047619047</v>
      </c>
      <c r="L1801" s="1243">
        <f>F1801/C1801*K1801</f>
        <v>34.906666666666666</v>
      </c>
    </row>
    <row r="1802" spans="1:12" ht="15" customHeight="1" x14ac:dyDescent="0.25">
      <c r="A1802" s="1238"/>
      <c r="B1802" s="1228" t="s">
        <v>443</v>
      </c>
      <c r="C1802" s="1228">
        <v>1000</v>
      </c>
      <c r="D1802" s="1239">
        <f>'Prec Materia Prima y Empaq'!$H$11</f>
        <v>8000</v>
      </c>
      <c r="E1802" s="1240">
        <f t="shared" ref="E1802:E1809" si="633">D1802*19%</f>
        <v>1520</v>
      </c>
      <c r="F1802" s="1241">
        <f t="shared" ref="F1802:F1815" si="634">+E1802+D1802</f>
        <v>9520</v>
      </c>
      <c r="G1802" s="1240">
        <f t="shared" ref="G1802:G1808" si="635">F1802/C1802*H1802</f>
        <v>5712</v>
      </c>
      <c r="H1802" s="1242">
        <v>600</v>
      </c>
      <c r="I1802" s="1228" t="s">
        <v>450</v>
      </c>
      <c r="K1802" s="1242">
        <f t="shared" ref="K1802:K1815" si="636">H1802/$C$1795</f>
        <v>1.4285714285714286</v>
      </c>
      <c r="L1802" s="1243">
        <f t="shared" ref="L1802:L1815" si="637">F1802/C1802*K1802</f>
        <v>13.6</v>
      </c>
    </row>
    <row r="1803" spans="1:12" ht="15" customHeight="1" x14ac:dyDescent="0.25">
      <c r="A1803" s="1238"/>
      <c r="B1803" s="1228" t="s">
        <v>253</v>
      </c>
      <c r="C1803" s="1228">
        <v>1000</v>
      </c>
      <c r="D1803" s="1239">
        <f>'Prec Materia Prima y Empaq'!$H$9</f>
        <v>5400</v>
      </c>
      <c r="E1803" s="1240">
        <f t="shared" si="633"/>
        <v>1026</v>
      </c>
      <c r="F1803" s="1241">
        <f t="shared" si="634"/>
        <v>6426</v>
      </c>
      <c r="G1803" s="1240">
        <f t="shared" si="635"/>
        <v>1927.8</v>
      </c>
      <c r="H1803" s="1242">
        <v>300</v>
      </c>
      <c r="I1803" s="1228" t="s">
        <v>450</v>
      </c>
      <c r="K1803" s="1242">
        <f t="shared" ref="K1803" si="638">H1803/$C$1729</f>
        <v>0.7142857142857143</v>
      </c>
      <c r="L1803" s="1243">
        <f t="shared" si="637"/>
        <v>4.59</v>
      </c>
    </row>
    <row r="1804" spans="1:12" ht="15" customHeight="1" x14ac:dyDescent="0.25">
      <c r="A1804" s="1238"/>
      <c r="B1804" s="1228" t="s">
        <v>262</v>
      </c>
      <c r="C1804" s="1228">
        <v>1000</v>
      </c>
      <c r="D1804" s="1239">
        <f>'Prec Materia Prima y Empaq'!$H$55</f>
        <v>50522</v>
      </c>
      <c r="E1804" s="1240">
        <f t="shared" si="633"/>
        <v>9599.18</v>
      </c>
      <c r="F1804" s="1241">
        <f t="shared" si="634"/>
        <v>60121.18</v>
      </c>
      <c r="G1804" s="1240">
        <f t="shared" si="635"/>
        <v>6012.1180000000004</v>
      </c>
      <c r="H1804" s="1242">
        <v>100</v>
      </c>
      <c r="I1804" s="1228" t="s">
        <v>450</v>
      </c>
      <c r="K1804" s="1242">
        <f t="shared" si="636"/>
        <v>0.23809523809523808</v>
      </c>
      <c r="L1804" s="1243">
        <f t="shared" si="637"/>
        <v>14.314566666666666</v>
      </c>
    </row>
    <row r="1805" spans="1:12" ht="15" customHeight="1" x14ac:dyDescent="0.25">
      <c r="A1805" s="1238"/>
      <c r="B1805" s="1228" t="s">
        <v>261</v>
      </c>
      <c r="C1805" s="1228">
        <v>1000</v>
      </c>
      <c r="D1805" s="1239">
        <f>'Prec Materia Prima y Empaq'!$H$12</f>
        <v>4700</v>
      </c>
      <c r="E1805" s="1240">
        <f t="shared" si="633"/>
        <v>893</v>
      </c>
      <c r="F1805" s="1241">
        <f t="shared" si="634"/>
        <v>5593</v>
      </c>
      <c r="G1805" s="1240">
        <f t="shared" si="635"/>
        <v>1118.5999999999999</v>
      </c>
      <c r="H1805" s="1242">
        <v>200</v>
      </c>
      <c r="I1805" s="1228" t="s">
        <v>450</v>
      </c>
      <c r="K1805" s="1242">
        <f t="shared" si="636"/>
        <v>0.47619047619047616</v>
      </c>
      <c r="L1805" s="1243">
        <f t="shared" si="637"/>
        <v>2.6633333333333331</v>
      </c>
    </row>
    <row r="1806" spans="1:12" ht="15" customHeight="1" x14ac:dyDescent="0.25">
      <c r="A1806" s="1238"/>
      <c r="B1806" s="1228" t="s">
        <v>268</v>
      </c>
      <c r="C1806" s="1228">
        <v>1000</v>
      </c>
      <c r="D1806" s="1239">
        <f>'Prec Materia Prima y Empaq'!$H$31</f>
        <v>20000</v>
      </c>
      <c r="E1806" s="1240">
        <v>0</v>
      </c>
      <c r="F1806" s="1241">
        <f t="shared" si="634"/>
        <v>20000</v>
      </c>
      <c r="G1806" s="1240">
        <f t="shared" si="635"/>
        <v>20000</v>
      </c>
      <c r="H1806" s="1242">
        <v>1000</v>
      </c>
      <c r="I1806" s="1228" t="s">
        <v>450</v>
      </c>
      <c r="K1806" s="1242">
        <f t="shared" si="636"/>
        <v>2.3809523809523809</v>
      </c>
      <c r="L1806" s="1243">
        <f t="shared" si="637"/>
        <v>47.61904761904762</v>
      </c>
    </row>
    <row r="1807" spans="1:12" ht="15" customHeight="1" x14ac:dyDescent="0.25">
      <c r="A1807" s="1238"/>
      <c r="B1807" s="1228" t="s">
        <v>246</v>
      </c>
      <c r="C1807" s="1228">
        <v>1000</v>
      </c>
      <c r="D1807" s="1239">
        <f>'Prec Materia Prima y Empaq'!H41</f>
        <v>80268</v>
      </c>
      <c r="E1807" s="1240">
        <f t="shared" ref="E1807" si="639">D1807*19%</f>
        <v>15250.92</v>
      </c>
      <c r="F1807" s="1241">
        <f t="shared" ref="F1807" si="640">+E1807+D1807</f>
        <v>95518.92</v>
      </c>
      <c r="G1807" s="1240">
        <f t="shared" si="635"/>
        <v>1910.3783999999998</v>
      </c>
      <c r="H1807" s="1242">
        <v>20</v>
      </c>
      <c r="I1807" s="1228" t="s">
        <v>450</v>
      </c>
      <c r="K1807" s="1242">
        <f t="shared" ref="K1807" si="641">H1807/$C$1795</f>
        <v>4.7619047619047616E-2</v>
      </c>
      <c r="L1807" s="1243">
        <f t="shared" ref="L1807" si="642">F1807/C1807*K1807</f>
        <v>4.5485199999999999</v>
      </c>
    </row>
    <row r="1808" spans="1:12" ht="15" customHeight="1" x14ac:dyDescent="0.25">
      <c r="A1808" s="1238"/>
      <c r="B1808" s="1228" t="s">
        <v>255</v>
      </c>
      <c r="C1808" s="1228">
        <v>1000</v>
      </c>
      <c r="D1808" s="1239">
        <f>'Prec Materia Prima y Empaq'!$H$26</f>
        <v>45404</v>
      </c>
      <c r="E1808" s="1240">
        <f t="shared" si="633"/>
        <v>8626.76</v>
      </c>
      <c r="F1808" s="1241">
        <f t="shared" si="634"/>
        <v>54030.76</v>
      </c>
      <c r="G1808" s="1240">
        <f t="shared" si="635"/>
        <v>5403.076</v>
      </c>
      <c r="H1808" s="1242">
        <v>100</v>
      </c>
      <c r="I1808" s="1228" t="s">
        <v>450</v>
      </c>
      <c r="K1808" s="1242">
        <f t="shared" ref="K1808" si="643">H1808/$C$1526</f>
        <v>0.23809523809523808</v>
      </c>
      <c r="L1808" s="1243">
        <f t="shared" si="637"/>
        <v>12.864466666666667</v>
      </c>
    </row>
    <row r="1809" spans="1:29" ht="15" customHeight="1" x14ac:dyDescent="0.25">
      <c r="A1809" s="1238"/>
      <c r="B1809" s="1228" t="s">
        <v>382</v>
      </c>
      <c r="C1809" s="1228">
        <v>3785</v>
      </c>
      <c r="D1809" s="1239">
        <f>'Prec Materia Prima y Empaq'!$H$18</f>
        <v>24</v>
      </c>
      <c r="E1809" s="1240">
        <f t="shared" si="633"/>
        <v>4.5600000000000005</v>
      </c>
      <c r="F1809" s="1241">
        <f t="shared" si="634"/>
        <v>28.560000000000002</v>
      </c>
      <c r="G1809" s="1240">
        <f>F1809/C1809*H1809</f>
        <v>0.37727873183619554</v>
      </c>
      <c r="H1809" s="1242">
        <v>50</v>
      </c>
      <c r="I1809" s="1228" t="s">
        <v>450</v>
      </c>
      <c r="K1809" s="1242">
        <f t="shared" ref="K1809" si="644">H1809/$C$1627</f>
        <v>0.22727272727272727</v>
      </c>
      <c r="L1809" s="1243">
        <f t="shared" si="637"/>
        <v>1.7149033265281615E-3</v>
      </c>
    </row>
    <row r="1810" spans="1:29" ht="31.5" customHeight="1" x14ac:dyDescent="0.25">
      <c r="B1810" s="1220" t="s">
        <v>247</v>
      </c>
      <c r="C1810" s="1228">
        <v>1000</v>
      </c>
      <c r="D1810" s="1244">
        <f>'Prec Materia Prima y Empaq'!$H$7</f>
        <v>50000</v>
      </c>
      <c r="E1810" s="1240">
        <v>0</v>
      </c>
      <c r="F1810" s="1241">
        <f t="shared" si="634"/>
        <v>50000</v>
      </c>
      <c r="G1810" s="1240">
        <f>F1810/C1810*H1810</f>
        <v>32.022471910112351</v>
      </c>
      <c r="H1810" s="1245">
        <v>0.64044943820224698</v>
      </c>
      <c r="I1810" s="1245" t="s">
        <v>453</v>
      </c>
      <c r="K1810" s="1242">
        <f t="shared" ref="K1810" si="645">H1810/$C$1371</f>
        <v>7.6243980738362736E-4</v>
      </c>
      <c r="L1810" s="1243">
        <f t="shared" si="637"/>
        <v>3.8121990369181367E-2</v>
      </c>
      <c r="N1810" s="1220" t="s">
        <v>247</v>
      </c>
      <c r="O1810" s="1247">
        <v>1</v>
      </c>
      <c r="P1810" s="1240">
        <f>$F$391/$C$391*$O$391</f>
        <v>50</v>
      </c>
      <c r="Q1810" s="1248"/>
      <c r="R1810" s="1249" t="e">
        <f>P1810/O1799</f>
        <v>#DIV/0!</v>
      </c>
      <c r="S1810" s="1248" t="e">
        <f>R1810*1000</f>
        <v>#DIV/0!</v>
      </c>
      <c r="T1810" s="1250">
        <f>O1810/$O$380*1000</f>
        <v>2.5641025641025641E-3</v>
      </c>
      <c r="U1810" s="1238">
        <f>T1810*$M$380</f>
        <v>1</v>
      </c>
      <c r="Y1810" s="1238"/>
      <c r="Z1810" s="1238"/>
      <c r="AA1810" s="1251"/>
      <c r="AC1810" s="1252"/>
    </row>
    <row r="1811" spans="1:29" ht="30.75" customHeight="1" x14ac:dyDescent="0.25">
      <c r="B1811" s="1220" t="s">
        <v>490</v>
      </c>
      <c r="C1811" s="1220">
        <v>1</v>
      </c>
      <c r="D1811" s="1244">
        <f>'Prec Materia Prima y Empaq'!$H$139</f>
        <v>650</v>
      </c>
      <c r="E1811" s="1240">
        <v>0</v>
      </c>
      <c r="F1811" s="1241">
        <f t="shared" si="634"/>
        <v>650</v>
      </c>
      <c r="G1811" s="1253">
        <f t="shared" ref="G1811:G1815" si="646">F1811*H1811</f>
        <v>273000</v>
      </c>
      <c r="H1811" s="1245">
        <f>$C$1795</f>
        <v>420</v>
      </c>
      <c r="I1811" s="1245" t="s">
        <v>453</v>
      </c>
      <c r="K1811" s="1242">
        <f t="shared" si="636"/>
        <v>1</v>
      </c>
      <c r="L1811" s="1243">
        <f t="shared" si="637"/>
        <v>650</v>
      </c>
    </row>
    <row r="1812" spans="1:29" ht="26.25" customHeight="1" x14ac:dyDescent="0.25">
      <c r="B1812" s="1220" t="s">
        <v>614</v>
      </c>
      <c r="C1812" s="1220">
        <v>1</v>
      </c>
      <c r="D1812" s="1244">
        <f>'Prec Materia Prima y Empaq'!$H$144</f>
        <v>70</v>
      </c>
      <c r="E1812" s="1240">
        <v>0</v>
      </c>
      <c r="F1812" s="1241">
        <f t="shared" si="634"/>
        <v>70</v>
      </c>
      <c r="G1812" s="1253">
        <f t="shared" si="646"/>
        <v>29400</v>
      </c>
      <c r="H1812" s="1245">
        <f t="shared" ref="H1812:H1815" si="647">$C$1795</f>
        <v>420</v>
      </c>
      <c r="I1812" s="1245" t="s">
        <v>453</v>
      </c>
      <c r="K1812" s="1242">
        <f t="shared" si="636"/>
        <v>1</v>
      </c>
      <c r="L1812" s="1243">
        <f t="shared" si="637"/>
        <v>70</v>
      </c>
    </row>
    <row r="1813" spans="1:29" ht="15.75" customHeight="1" x14ac:dyDescent="0.25">
      <c r="B1813" s="1228" t="s">
        <v>452</v>
      </c>
      <c r="C1813" s="1245">
        <v>1</v>
      </c>
      <c r="D1813" s="1244">
        <f>'Prec Materia Prima y Empaq'!$H$140</f>
        <v>120</v>
      </c>
      <c r="E1813" s="1240">
        <v>0</v>
      </c>
      <c r="F1813" s="1241">
        <f t="shared" si="634"/>
        <v>120</v>
      </c>
      <c r="G1813" s="1253">
        <f t="shared" si="646"/>
        <v>50400</v>
      </c>
      <c r="H1813" s="1245">
        <f t="shared" si="647"/>
        <v>420</v>
      </c>
      <c r="I1813" s="1245" t="s">
        <v>453</v>
      </c>
      <c r="K1813" s="1242">
        <f t="shared" si="636"/>
        <v>1</v>
      </c>
      <c r="L1813" s="1243">
        <f t="shared" si="637"/>
        <v>120</v>
      </c>
    </row>
    <row r="1814" spans="1:29" ht="15" customHeight="1" x14ac:dyDescent="0.25">
      <c r="B1814" s="1254" t="s">
        <v>310</v>
      </c>
      <c r="C1814" s="1245">
        <v>1</v>
      </c>
      <c r="D1814" s="1244">
        <f>'Prec Materia Prima y Empaq'!$H$130</f>
        <v>100</v>
      </c>
      <c r="E1814" s="1240">
        <v>0</v>
      </c>
      <c r="F1814" s="1241">
        <f t="shared" si="634"/>
        <v>100</v>
      </c>
      <c r="G1814" s="1253">
        <f t="shared" si="646"/>
        <v>42000</v>
      </c>
      <c r="H1814" s="1245">
        <f t="shared" si="647"/>
        <v>420</v>
      </c>
      <c r="I1814" s="1245" t="s">
        <v>453</v>
      </c>
      <c r="K1814" s="1242">
        <f t="shared" si="636"/>
        <v>1</v>
      </c>
      <c r="L1814" s="1243">
        <f t="shared" si="637"/>
        <v>100</v>
      </c>
    </row>
    <row r="1815" spans="1:29" ht="15" customHeight="1" x14ac:dyDescent="0.25">
      <c r="B1815" s="1228" t="s">
        <v>309</v>
      </c>
      <c r="C1815" s="1245">
        <v>1</v>
      </c>
      <c r="D1815" s="1244">
        <f>'Prec Materia Prima y Empaq'!$H$129</f>
        <v>800</v>
      </c>
      <c r="E1815" s="1240">
        <v>0</v>
      </c>
      <c r="F1815" s="1241">
        <f t="shared" si="634"/>
        <v>800</v>
      </c>
      <c r="G1815" s="1253">
        <f t="shared" si="646"/>
        <v>336000</v>
      </c>
      <c r="H1815" s="1245">
        <f t="shared" si="647"/>
        <v>420</v>
      </c>
      <c r="I1815" s="1245" t="s">
        <v>453</v>
      </c>
      <c r="K1815" s="1242">
        <f t="shared" si="636"/>
        <v>1</v>
      </c>
      <c r="L1815" s="1243">
        <f t="shared" si="637"/>
        <v>800</v>
      </c>
    </row>
    <row r="1816" spans="1:29" ht="19.5" customHeight="1" thickBot="1" x14ac:dyDescent="0.3">
      <c r="B1816" s="1255"/>
      <c r="C1816" s="857"/>
      <c r="D1816" s="1256"/>
      <c r="E1816" s="1248"/>
      <c r="F1816" s="1257"/>
      <c r="G1816" s="1258">
        <f>SUM(G1801:G1815)/C1795</f>
        <v>1875.183743215814</v>
      </c>
      <c r="H1816" s="1259" t="s">
        <v>454</v>
      </c>
      <c r="I1816" s="857"/>
      <c r="L1816" s="1260">
        <f>SUM(L1801:L1815)</f>
        <v>1875.1464378460767</v>
      </c>
    </row>
    <row r="1817" spans="1:29" ht="15" customHeight="1" thickTop="1" x14ac:dyDescent="0.25">
      <c r="B1817" s="1314" t="s">
        <v>409</v>
      </c>
      <c r="C1817" s="1315"/>
      <c r="D1817" s="1316">
        <f>+'Gtos Varios'!I14</f>
        <v>3672.93</v>
      </c>
      <c r="E1817" s="1315"/>
      <c r="F1817" s="1317">
        <f t="shared" ref="F1817" si="648">+E1817+D1817</f>
        <v>3672.93</v>
      </c>
      <c r="G1817" s="1318">
        <f>F1817</f>
        <v>3672.93</v>
      </c>
      <c r="H1817" s="1315" t="str">
        <f>B1817</f>
        <v xml:space="preserve">GASTOS VARIOS </v>
      </c>
      <c r="I1817" s="1315"/>
    </row>
    <row r="1818" spans="1:29" ht="15" customHeight="1" x14ac:dyDescent="0.25">
      <c r="B1818" s="1255"/>
      <c r="C1818" s="857"/>
      <c r="D1818" s="1256"/>
      <c r="E1818" s="1248"/>
      <c r="F1818" s="1257"/>
      <c r="G1818" s="1266"/>
      <c r="H1818" s="857"/>
      <c r="I1818" s="857"/>
    </row>
    <row r="1819" spans="1:29" ht="15" customHeight="1" x14ac:dyDescent="0.25">
      <c r="B1819" s="1255"/>
      <c r="C1819" s="857"/>
      <c r="D1819" s="1256"/>
      <c r="E1819" s="1248"/>
      <c r="F1819" s="1257"/>
      <c r="G1819" s="1266"/>
      <c r="H1819" s="857"/>
      <c r="I1819" s="857"/>
    </row>
    <row r="1820" spans="1:29" ht="15" customHeight="1" thickBot="1" x14ac:dyDescent="0.3">
      <c r="F1820" s="1267">
        <f>SUM(F1801:F1815)</f>
        <v>321304.42</v>
      </c>
      <c r="G1820" s="1268">
        <f>SUM(G1816:G1817)</f>
        <v>5548.1137432158139</v>
      </c>
      <c r="H1820" s="733" t="s">
        <v>412</v>
      </c>
    </row>
    <row r="1821" spans="1:29" ht="15" customHeight="1" thickTop="1" x14ac:dyDescent="0.25">
      <c r="G1821" s="1295">
        <f>G1820*59%</f>
        <v>3273.3871084973302</v>
      </c>
      <c r="H1821" s="1274">
        <v>0.59</v>
      </c>
      <c r="I1821" s="733" t="s">
        <v>539</v>
      </c>
    </row>
    <row r="1822" spans="1:29" ht="15" customHeight="1" thickBot="1" x14ac:dyDescent="0.3">
      <c r="G1822" s="1270">
        <f>G1820+G1821</f>
        <v>8821.5008517131446</v>
      </c>
      <c r="H1822" s="733" t="s">
        <v>414</v>
      </c>
    </row>
    <row r="1823" spans="1:29" ht="15" customHeight="1" thickTop="1" x14ac:dyDescent="0.25"/>
    <row r="1826" spans="1:12" ht="15" customHeight="1" x14ac:dyDescent="0.25">
      <c r="B1826" s="1222" t="s">
        <v>61</v>
      </c>
      <c r="C1826" s="1219" t="s">
        <v>197</v>
      </c>
      <c r="D1826" s="733"/>
      <c r="E1826" s="853"/>
      <c r="F1826" s="853"/>
      <c r="G1826" s="853"/>
      <c r="H1826" s="853"/>
    </row>
    <row r="1827" spans="1:12" ht="15" customHeight="1" x14ac:dyDescent="0.25">
      <c r="A1827" s="1223" t="s">
        <v>718</v>
      </c>
      <c r="B1827" s="1222" t="s">
        <v>62</v>
      </c>
      <c r="C1827" s="1219" t="str">
        <f>VLOOKUP(C1826,LISTPROD[],2,FALSE)</f>
        <v>TORO VITAL</v>
      </c>
      <c r="D1827" s="1219" t="s">
        <v>486</v>
      </c>
      <c r="E1827" s="861" t="s">
        <v>487</v>
      </c>
      <c r="F1827" s="853"/>
      <c r="G1827" s="853"/>
      <c r="H1827" s="853"/>
    </row>
    <row r="1828" spans="1:12" ht="15" customHeight="1" x14ac:dyDescent="0.25">
      <c r="B1828" s="1222" t="s">
        <v>234</v>
      </c>
      <c r="C1828" s="1219" t="str">
        <f>VLOOKUP(C1826,LISTPROD[],9,FALSE)</f>
        <v>500 ML</v>
      </c>
      <c r="D1828" s="733"/>
      <c r="E1828" s="853"/>
      <c r="F1828" s="853"/>
      <c r="G1828" s="853"/>
      <c r="H1828" s="853"/>
    </row>
    <row r="1829" spans="1:12" ht="15" customHeight="1" x14ac:dyDescent="0.25">
      <c r="B1829" s="1222" t="s">
        <v>239</v>
      </c>
      <c r="C1829" s="1224">
        <v>420</v>
      </c>
      <c r="D1829" s="1218"/>
      <c r="E1829" s="853"/>
      <c r="F1829" s="853"/>
      <c r="G1829" s="853"/>
      <c r="H1829" s="853"/>
    </row>
    <row r="1830" spans="1:12" ht="15" customHeight="1" x14ac:dyDescent="0.25">
      <c r="B1830" s="1222" t="s">
        <v>240</v>
      </c>
      <c r="C1830" s="1219"/>
      <c r="D1830" s="733"/>
    </row>
    <row r="1831" spans="1:12" ht="15" customHeight="1" x14ac:dyDescent="0.25">
      <c r="B1831" s="1222" t="s">
        <v>238</v>
      </c>
      <c r="C1831" s="733" t="s">
        <v>56</v>
      </c>
      <c r="D1831" s="1218" t="s">
        <v>449</v>
      </c>
    </row>
    <row r="1832" spans="1:12" ht="15" customHeight="1" x14ac:dyDescent="0.25">
      <c r="B1832" s="1225" t="s">
        <v>410</v>
      </c>
      <c r="C1832" s="753">
        <v>500</v>
      </c>
      <c r="D1832" s="1226"/>
    </row>
    <row r="1833" spans="1:12" ht="15" customHeight="1" x14ac:dyDescent="0.25">
      <c r="A1833" s="1227"/>
      <c r="B1833" s="1436" t="s">
        <v>404</v>
      </c>
      <c r="C1833" s="1436"/>
      <c r="D1833" s="1436"/>
      <c r="E1833" s="1436"/>
      <c r="F1833" s="1436"/>
      <c r="G1833" s="1228"/>
      <c r="H1833" s="1437" t="s">
        <v>416</v>
      </c>
      <c r="I1833" s="1438"/>
    </row>
    <row r="1834" spans="1:12" ht="34.5" customHeight="1" x14ac:dyDescent="0.25">
      <c r="A1834" s="1229"/>
      <c r="B1834" s="1230" t="s">
        <v>398</v>
      </c>
      <c r="C1834" s="1231" t="s">
        <v>441</v>
      </c>
      <c r="D1834" s="1232" t="s">
        <v>399</v>
      </c>
      <c r="E1834" s="1233" t="s">
        <v>402</v>
      </c>
      <c r="F1834" s="1232" t="s">
        <v>399</v>
      </c>
      <c r="G1834" s="1232" t="s">
        <v>411</v>
      </c>
      <c r="H1834" s="1234" t="s">
        <v>408</v>
      </c>
      <c r="I1834" s="1235" t="s">
        <v>415</v>
      </c>
      <c r="K1834" s="1236" t="s">
        <v>603</v>
      </c>
      <c r="L1834" s="1237" t="s">
        <v>604</v>
      </c>
    </row>
    <row r="1835" spans="1:12" ht="15" customHeight="1" x14ac:dyDescent="0.25">
      <c r="A1835" s="1238"/>
      <c r="B1835" s="1228" t="s">
        <v>248</v>
      </c>
      <c r="C1835" s="1228">
        <v>1000</v>
      </c>
      <c r="D1835" s="1239">
        <f>'Prec Materia Prima y Empaq'!$H$21</f>
        <v>15400</v>
      </c>
      <c r="E1835" s="1240">
        <f>D1835*19%</f>
        <v>2926</v>
      </c>
      <c r="F1835" s="1241">
        <f>+E1835+D1835</f>
        <v>18326</v>
      </c>
      <c r="G1835" s="1240">
        <f>F1835/C1835*H1835</f>
        <v>14660.800000000001</v>
      </c>
      <c r="H1835" s="1242">
        <v>800</v>
      </c>
      <c r="I1835" s="1228" t="s">
        <v>450</v>
      </c>
      <c r="K1835" s="1242">
        <f>H1835/$C$1829</f>
        <v>1.9047619047619047</v>
      </c>
      <c r="L1835" s="1243">
        <f t="shared" ref="L1835:L1839" si="649">F1835/C1835*K1835</f>
        <v>34.906666666666666</v>
      </c>
    </row>
    <row r="1836" spans="1:12" ht="15" customHeight="1" x14ac:dyDescent="0.25">
      <c r="A1836" s="1238"/>
      <c r="B1836" s="1228" t="s">
        <v>443</v>
      </c>
      <c r="C1836" s="1228">
        <v>1000</v>
      </c>
      <c r="D1836" s="1239">
        <f>'Prec Materia Prima y Empaq'!$H$11</f>
        <v>8000</v>
      </c>
      <c r="E1836" s="1240">
        <f t="shared" ref="E1836:E1839" si="650">D1836*19%</f>
        <v>1520</v>
      </c>
      <c r="F1836" s="1241">
        <f t="shared" ref="F1836:F1841" si="651">+E1836+D1836</f>
        <v>9520</v>
      </c>
      <c r="G1836" s="1240">
        <f t="shared" ref="G1836:G1843" si="652">F1836/C1836*H1836</f>
        <v>5712</v>
      </c>
      <c r="H1836" s="1242">
        <v>600</v>
      </c>
      <c r="I1836" s="1228" t="s">
        <v>450</v>
      </c>
      <c r="K1836" s="1242">
        <f t="shared" ref="K1836:K1851" si="653">H1836/$C$1829</f>
        <v>1.4285714285714286</v>
      </c>
      <c r="L1836" s="1243">
        <f t="shared" si="649"/>
        <v>13.6</v>
      </c>
    </row>
    <row r="1837" spans="1:12" ht="15" customHeight="1" x14ac:dyDescent="0.25">
      <c r="A1837" s="1238"/>
      <c r="B1837" s="1228" t="s">
        <v>253</v>
      </c>
      <c r="C1837" s="1228">
        <v>1000</v>
      </c>
      <c r="D1837" s="1239">
        <f>'Prec Materia Prima y Empaq'!$H$9</f>
        <v>5400</v>
      </c>
      <c r="E1837" s="1240">
        <f t="shared" si="650"/>
        <v>1026</v>
      </c>
      <c r="F1837" s="1241">
        <f t="shared" si="651"/>
        <v>6426</v>
      </c>
      <c r="G1837" s="1240">
        <f t="shared" si="652"/>
        <v>1927.8</v>
      </c>
      <c r="H1837" s="1242">
        <v>300</v>
      </c>
      <c r="I1837" s="1228" t="s">
        <v>450</v>
      </c>
      <c r="K1837" s="1242">
        <f t="shared" si="653"/>
        <v>0.7142857142857143</v>
      </c>
      <c r="L1837" s="1243">
        <f t="shared" si="649"/>
        <v>4.59</v>
      </c>
    </row>
    <row r="1838" spans="1:12" ht="15" customHeight="1" x14ac:dyDescent="0.25">
      <c r="A1838" s="1238"/>
      <c r="B1838" s="1228" t="s">
        <v>262</v>
      </c>
      <c r="C1838" s="1228">
        <v>1000</v>
      </c>
      <c r="D1838" s="1239">
        <f>'Prec Materia Prima y Empaq'!$H$55</f>
        <v>50522</v>
      </c>
      <c r="E1838" s="1240">
        <f t="shared" si="650"/>
        <v>9599.18</v>
      </c>
      <c r="F1838" s="1241">
        <f t="shared" si="651"/>
        <v>60121.18</v>
      </c>
      <c r="G1838" s="1240">
        <f t="shared" si="652"/>
        <v>6012.1180000000004</v>
      </c>
      <c r="H1838" s="1242">
        <v>100</v>
      </c>
      <c r="I1838" s="1228" t="s">
        <v>450</v>
      </c>
      <c r="K1838" s="1242">
        <f t="shared" si="653"/>
        <v>0.23809523809523808</v>
      </c>
      <c r="L1838" s="1243">
        <f t="shared" si="649"/>
        <v>14.314566666666666</v>
      </c>
    </row>
    <row r="1839" spans="1:12" ht="15" customHeight="1" x14ac:dyDescent="0.25">
      <c r="A1839" s="1238"/>
      <c r="B1839" s="1228" t="s">
        <v>261</v>
      </c>
      <c r="C1839" s="1228">
        <v>1000</v>
      </c>
      <c r="D1839" s="1239">
        <f>'Prec Materia Prima y Empaq'!$H$12</f>
        <v>4700</v>
      </c>
      <c r="E1839" s="1240">
        <f t="shared" si="650"/>
        <v>893</v>
      </c>
      <c r="F1839" s="1241">
        <f t="shared" si="651"/>
        <v>5593</v>
      </c>
      <c r="G1839" s="1240">
        <f t="shared" si="652"/>
        <v>1118.5999999999999</v>
      </c>
      <c r="H1839" s="1242">
        <v>200</v>
      </c>
      <c r="I1839" s="1228" t="s">
        <v>450</v>
      </c>
      <c r="K1839" s="1242">
        <f t="shared" si="653"/>
        <v>0.47619047619047616</v>
      </c>
      <c r="L1839" s="1243">
        <f t="shared" si="649"/>
        <v>2.6633333333333331</v>
      </c>
    </row>
    <row r="1840" spans="1:12" ht="15" customHeight="1" x14ac:dyDescent="0.25">
      <c r="A1840" s="1238"/>
      <c r="B1840" s="1228" t="s">
        <v>268</v>
      </c>
      <c r="C1840" s="1228">
        <v>1000</v>
      </c>
      <c r="D1840" s="1239">
        <f>'Prec Materia Prima y Empaq'!$H$31</f>
        <v>20000</v>
      </c>
      <c r="E1840" s="1240">
        <v>0</v>
      </c>
      <c r="F1840" s="1241">
        <f t="shared" si="651"/>
        <v>20000</v>
      </c>
      <c r="G1840" s="1240">
        <f t="shared" si="652"/>
        <v>20000</v>
      </c>
      <c r="H1840" s="1242">
        <v>1000</v>
      </c>
      <c r="I1840" s="1228" t="s">
        <v>450</v>
      </c>
      <c r="K1840" s="1242">
        <f t="shared" si="653"/>
        <v>2.3809523809523809</v>
      </c>
      <c r="L1840" s="1243">
        <f t="shared" ref="L1840:L1851" si="654">F1840/C1840*K1840</f>
        <v>47.61904761904762</v>
      </c>
    </row>
    <row r="1841" spans="1:29" ht="15" customHeight="1" x14ac:dyDescent="0.25">
      <c r="A1841" s="1238"/>
      <c r="B1841" s="1228" t="s">
        <v>246</v>
      </c>
      <c r="C1841" s="1228">
        <v>1000</v>
      </c>
      <c r="D1841" s="1239">
        <f>'Prec Materia Prima y Empaq'!$H$41</f>
        <v>80268</v>
      </c>
      <c r="E1841" s="1240">
        <f t="shared" ref="E1841:E1842" si="655">D1841*19%</f>
        <v>15250.92</v>
      </c>
      <c r="F1841" s="1241">
        <f t="shared" si="651"/>
        <v>95518.92</v>
      </c>
      <c r="G1841" s="1240">
        <f t="shared" si="652"/>
        <v>5731.1351999999997</v>
      </c>
      <c r="H1841" s="1242">
        <v>60</v>
      </c>
      <c r="I1841" s="1228" t="s">
        <v>450</v>
      </c>
      <c r="K1841" s="1242">
        <f t="shared" si="653"/>
        <v>0.14285714285714285</v>
      </c>
      <c r="L1841" s="1243">
        <f t="shared" si="654"/>
        <v>13.645559999999998</v>
      </c>
    </row>
    <row r="1842" spans="1:29" ht="15" customHeight="1" x14ac:dyDescent="0.25">
      <c r="A1842" s="1238"/>
      <c r="B1842" s="1228" t="s">
        <v>259</v>
      </c>
      <c r="C1842" s="1228">
        <v>1000</v>
      </c>
      <c r="D1842" s="1273">
        <f>'Prec Materia Prima y Empaq'!$H$42</f>
        <v>63103</v>
      </c>
      <c r="E1842" s="1240">
        <f t="shared" si="655"/>
        <v>11989.57</v>
      </c>
      <c r="F1842" s="1241">
        <f t="shared" ref="F1842" si="656">+E1842+D1842</f>
        <v>75092.570000000007</v>
      </c>
      <c r="G1842" s="1240">
        <f t="shared" si="652"/>
        <v>750.92570000000012</v>
      </c>
      <c r="H1842" s="1242">
        <v>10</v>
      </c>
      <c r="I1842" s="1228" t="s">
        <v>450</v>
      </c>
      <c r="K1842" s="1242">
        <f t="shared" si="653"/>
        <v>2.3809523809523808E-2</v>
      </c>
      <c r="L1842" s="1243">
        <f t="shared" si="654"/>
        <v>1.7879183333333335</v>
      </c>
    </row>
    <row r="1843" spans="1:29" ht="15" customHeight="1" x14ac:dyDescent="0.25">
      <c r="A1843" s="1238"/>
      <c r="B1843" s="1228" t="s">
        <v>255</v>
      </c>
      <c r="C1843" s="1228">
        <v>1000</v>
      </c>
      <c r="D1843" s="1239">
        <f>'Prec Materia Prima y Empaq'!$H$26</f>
        <v>45404</v>
      </c>
      <c r="E1843" s="1240">
        <f t="shared" ref="E1843:E1844" si="657">D1843*19%</f>
        <v>8626.76</v>
      </c>
      <c r="F1843" s="1241">
        <f t="shared" ref="F1843:F1850" si="658">+E1843+D1843</f>
        <v>54030.76</v>
      </c>
      <c r="G1843" s="1240">
        <f t="shared" si="652"/>
        <v>5403.076</v>
      </c>
      <c r="H1843" s="1242">
        <v>100</v>
      </c>
      <c r="I1843" s="1228" t="s">
        <v>450</v>
      </c>
      <c r="K1843" s="1242">
        <f t="shared" si="653"/>
        <v>0.23809523809523808</v>
      </c>
      <c r="L1843" s="1243">
        <f t="shared" si="654"/>
        <v>12.864466666666667</v>
      </c>
    </row>
    <row r="1844" spans="1:29" ht="30.75" customHeight="1" x14ac:dyDescent="0.25">
      <c r="B1844" s="1228" t="s">
        <v>382</v>
      </c>
      <c r="C1844" s="1228">
        <v>3785</v>
      </c>
      <c r="D1844" s="1239">
        <f>'Prec Materia Prima y Empaq'!$H$18</f>
        <v>24</v>
      </c>
      <c r="E1844" s="1240">
        <f t="shared" si="657"/>
        <v>4.5600000000000005</v>
      </c>
      <c r="F1844" s="1241">
        <f t="shared" si="658"/>
        <v>28.560000000000002</v>
      </c>
      <c r="G1844" s="1240">
        <f>F1844/C1844*H1844</f>
        <v>0.37727873183619554</v>
      </c>
      <c r="H1844" s="1242">
        <v>50</v>
      </c>
      <c r="I1844" s="1228" t="s">
        <v>450</v>
      </c>
      <c r="K1844" s="1242">
        <f t="shared" si="653"/>
        <v>0.11904761904761904</v>
      </c>
      <c r="L1844" s="1243">
        <f t="shared" si="654"/>
        <v>8.9828269484808459E-4</v>
      </c>
    </row>
    <row r="1845" spans="1:29" ht="31.5" customHeight="1" x14ac:dyDescent="0.25">
      <c r="B1845" s="1220" t="s">
        <v>247</v>
      </c>
      <c r="C1845" s="1228">
        <v>1000</v>
      </c>
      <c r="D1845" s="1244">
        <f>'Prec Materia Prima y Empaq'!$H$7</f>
        <v>50000</v>
      </c>
      <c r="E1845" s="1240">
        <v>0</v>
      </c>
      <c r="F1845" s="1241">
        <f t="shared" si="658"/>
        <v>50000</v>
      </c>
      <c r="G1845" s="1240">
        <f>F1845/C1845*H1845</f>
        <v>32.022471910112351</v>
      </c>
      <c r="H1845" s="1245">
        <v>0.64044943820224698</v>
      </c>
      <c r="I1845" s="1245" t="s">
        <v>453</v>
      </c>
      <c r="K1845" s="1242">
        <f t="shared" ref="K1845" si="659">H1845/$C$1371</f>
        <v>7.6243980738362736E-4</v>
      </c>
      <c r="L1845" s="1243">
        <f t="shared" si="654"/>
        <v>3.8121990369181367E-2</v>
      </c>
      <c r="N1845" s="1220" t="s">
        <v>247</v>
      </c>
      <c r="O1845" s="1247">
        <v>1</v>
      </c>
      <c r="P1845" s="1240">
        <f>$F$391/$C$391*$O$391</f>
        <v>50</v>
      </c>
      <c r="Q1845" s="1248"/>
      <c r="R1845" s="1249" t="e">
        <f>P1845/O1834</f>
        <v>#DIV/0!</v>
      </c>
      <c r="S1845" s="1248" t="e">
        <f>R1845*1000</f>
        <v>#DIV/0!</v>
      </c>
      <c r="T1845" s="1250">
        <f>O1845/$O$380*1000</f>
        <v>2.5641025641025641E-3</v>
      </c>
      <c r="U1845" s="1238">
        <f>T1845*$M$380</f>
        <v>1</v>
      </c>
      <c r="Y1845" s="1238"/>
      <c r="Z1845" s="1238"/>
      <c r="AA1845" s="1251"/>
      <c r="AC1845" s="1252"/>
    </row>
    <row r="1846" spans="1:29" ht="15" customHeight="1" x14ac:dyDescent="0.25">
      <c r="B1846" s="1220" t="s">
        <v>485</v>
      </c>
      <c r="C1846" s="1220">
        <v>1</v>
      </c>
      <c r="D1846" s="1244">
        <f>'Prec Materia Prima y Empaq'!$H$138</f>
        <v>650</v>
      </c>
      <c r="E1846" s="1240">
        <v>0</v>
      </c>
      <c r="F1846" s="1241">
        <f t="shared" si="658"/>
        <v>650</v>
      </c>
      <c r="G1846" s="1253">
        <f>F1846*H1846</f>
        <v>273000</v>
      </c>
      <c r="H1846" s="1245">
        <f>$C$1795</f>
        <v>420</v>
      </c>
      <c r="I1846" s="1245" t="s">
        <v>453</v>
      </c>
      <c r="K1846" s="1242">
        <f t="shared" si="653"/>
        <v>1</v>
      </c>
      <c r="L1846" s="1243">
        <f t="shared" si="654"/>
        <v>650</v>
      </c>
    </row>
    <row r="1847" spans="1:29" ht="15" customHeight="1" x14ac:dyDescent="0.25">
      <c r="B1847" s="1220" t="s">
        <v>614</v>
      </c>
      <c r="C1847" s="1220">
        <v>1</v>
      </c>
      <c r="D1847" s="1244">
        <f>'Prec Materia Prima y Empaq'!$H$144</f>
        <v>70</v>
      </c>
      <c r="E1847" s="1240">
        <v>0</v>
      </c>
      <c r="F1847" s="1241">
        <f t="shared" si="658"/>
        <v>70</v>
      </c>
      <c r="G1847" s="1253">
        <f t="shared" ref="G1847:G1850" si="660">F1847*H1847</f>
        <v>29400</v>
      </c>
      <c r="H1847" s="1245">
        <f t="shared" ref="H1847:H1851" si="661">$C$1795</f>
        <v>420</v>
      </c>
      <c r="I1847" s="1245" t="s">
        <v>453</v>
      </c>
      <c r="K1847" s="1242">
        <f t="shared" si="653"/>
        <v>1</v>
      </c>
      <c r="L1847" s="1243">
        <f t="shared" si="654"/>
        <v>70</v>
      </c>
    </row>
    <row r="1848" spans="1:29" ht="43.5" customHeight="1" x14ac:dyDescent="0.25">
      <c r="B1848" s="1220" t="s">
        <v>695</v>
      </c>
      <c r="C1848" s="1245">
        <v>1</v>
      </c>
      <c r="D1848" s="1272">
        <f>'Prec Materia Prima y Empaq'!$H$161</f>
        <v>300</v>
      </c>
      <c r="E1848" s="1240">
        <v>0</v>
      </c>
      <c r="F1848" s="1241">
        <f t="shared" si="658"/>
        <v>300</v>
      </c>
      <c r="G1848" s="1253">
        <f t="shared" si="660"/>
        <v>126000</v>
      </c>
      <c r="H1848" s="1245">
        <f t="shared" si="661"/>
        <v>420</v>
      </c>
      <c r="I1848" s="1245" t="s">
        <v>453</v>
      </c>
      <c r="K1848" s="1242">
        <f t="shared" si="653"/>
        <v>1</v>
      </c>
      <c r="L1848" s="1243">
        <f t="shared" si="654"/>
        <v>300</v>
      </c>
    </row>
    <row r="1849" spans="1:29" ht="15" customHeight="1" x14ac:dyDescent="0.25">
      <c r="B1849" s="1279" t="s">
        <v>675</v>
      </c>
      <c r="C1849" s="1245">
        <v>1</v>
      </c>
      <c r="D1849" s="1272">
        <f>'Prec Materia Prima y Empaq'!$H$162</f>
        <v>100</v>
      </c>
      <c r="E1849" s="1240"/>
      <c r="F1849" s="1241">
        <f t="shared" si="658"/>
        <v>100</v>
      </c>
      <c r="G1849" s="1253">
        <f t="shared" si="660"/>
        <v>42000</v>
      </c>
      <c r="H1849" s="1245">
        <f t="shared" si="661"/>
        <v>420</v>
      </c>
      <c r="I1849" s="1245" t="s">
        <v>453</v>
      </c>
      <c r="K1849" s="1242">
        <f t="shared" si="653"/>
        <v>1</v>
      </c>
      <c r="L1849" s="1243">
        <f t="shared" si="654"/>
        <v>100</v>
      </c>
    </row>
    <row r="1850" spans="1:29" ht="15" customHeight="1" x14ac:dyDescent="0.25">
      <c r="B1850" s="1220" t="s">
        <v>310</v>
      </c>
      <c r="C1850" s="1245">
        <v>1</v>
      </c>
      <c r="D1850" s="1272">
        <f>'Prec Materia Prima y Empaq'!$H$130</f>
        <v>100</v>
      </c>
      <c r="E1850" s="1240">
        <v>0</v>
      </c>
      <c r="F1850" s="1241">
        <f t="shared" si="658"/>
        <v>100</v>
      </c>
      <c r="G1850" s="1253">
        <f t="shared" si="660"/>
        <v>42000</v>
      </c>
      <c r="H1850" s="1245">
        <f t="shared" si="661"/>
        <v>420</v>
      </c>
      <c r="I1850" s="1245" t="s">
        <v>453</v>
      </c>
      <c r="K1850" s="1242">
        <f t="shared" si="653"/>
        <v>1</v>
      </c>
      <c r="L1850" s="1243">
        <f t="shared" si="654"/>
        <v>100</v>
      </c>
    </row>
    <row r="1851" spans="1:29" ht="50.25" customHeight="1" x14ac:dyDescent="0.25">
      <c r="B1851" s="1245" t="s">
        <v>309</v>
      </c>
      <c r="C1851" s="1245">
        <v>1</v>
      </c>
      <c r="D1851" s="1272">
        <f>'Prec Materia Prima y Empaq'!$H$129</f>
        <v>800</v>
      </c>
      <c r="E1851" s="1240">
        <v>0</v>
      </c>
      <c r="F1851" s="1241">
        <f t="shared" ref="F1851" si="662">+E1851+D1851</f>
        <v>800</v>
      </c>
      <c r="G1851" s="1253">
        <f>F1851*H1851</f>
        <v>336000</v>
      </c>
      <c r="H1851" s="1245">
        <f t="shared" si="661"/>
        <v>420</v>
      </c>
      <c r="I1851" s="1245" t="s">
        <v>453</v>
      </c>
      <c r="K1851" s="1242">
        <f t="shared" si="653"/>
        <v>1</v>
      </c>
      <c r="L1851" s="1243">
        <f t="shared" si="654"/>
        <v>800</v>
      </c>
    </row>
    <row r="1852" spans="1:29" ht="19.5" customHeight="1" thickBot="1" x14ac:dyDescent="0.3">
      <c r="B1852" s="1255"/>
      <c r="C1852" s="857"/>
      <c r="D1852" s="1256"/>
      <c r="E1852" s="1248"/>
      <c r="F1852" s="1257"/>
      <c r="G1852" s="1258">
        <f>SUM(G1835:G1851)/C1829</f>
        <v>2166.0687015491476</v>
      </c>
      <c r="H1852" s="1259" t="s">
        <v>454</v>
      </c>
      <c r="I1852" s="857"/>
      <c r="L1852" s="1260">
        <f>SUM(L1835:L1851)</f>
        <v>2166.0305795587783</v>
      </c>
    </row>
    <row r="1853" spans="1:29" ht="15" customHeight="1" thickTop="1" x14ac:dyDescent="0.25">
      <c r="B1853" s="1314" t="s">
        <v>409</v>
      </c>
      <c r="C1853" s="1315"/>
      <c r="D1853" s="1316">
        <f>+'Gtos Varios'!I14</f>
        <v>3672.93</v>
      </c>
      <c r="E1853" s="1315"/>
      <c r="F1853" s="1317">
        <f t="shared" ref="F1853" si="663">+E1853+D1853</f>
        <v>3672.93</v>
      </c>
      <c r="G1853" s="1318">
        <f>F1853</f>
        <v>3672.93</v>
      </c>
      <c r="H1853" s="1315" t="str">
        <f>B1853</f>
        <v xml:space="preserve">GASTOS VARIOS </v>
      </c>
      <c r="I1853" s="1315"/>
    </row>
    <row r="1854" spans="1:29" ht="15" customHeight="1" x14ac:dyDescent="0.25">
      <c r="B1854" s="1255"/>
      <c r="C1854" s="857"/>
      <c r="D1854" s="1256"/>
      <c r="E1854" s="1248"/>
      <c r="F1854" s="1257"/>
      <c r="G1854" s="1266"/>
      <c r="H1854" s="857"/>
      <c r="I1854" s="857"/>
    </row>
    <row r="1855" spans="1:29" ht="15" customHeight="1" x14ac:dyDescent="0.25">
      <c r="B1855" s="1255"/>
      <c r="C1855" s="857"/>
      <c r="D1855" s="1256"/>
      <c r="E1855" s="1248"/>
      <c r="F1855" s="1257"/>
      <c r="G1855" s="1266"/>
      <c r="H1855" s="857"/>
      <c r="I1855" s="857"/>
    </row>
    <row r="1856" spans="1:29" ht="15" customHeight="1" thickBot="1" x14ac:dyDescent="0.3">
      <c r="F1856" s="1267">
        <f>SUM(F1835:F1851)</f>
        <v>396676.99</v>
      </c>
      <c r="G1856" s="1268">
        <f>SUM(G1852:G1853)</f>
        <v>5838.9987015491479</v>
      </c>
      <c r="H1856" s="733" t="s">
        <v>412</v>
      </c>
    </row>
    <row r="1857" spans="1:12" ht="15" customHeight="1" thickTop="1" x14ac:dyDescent="0.25">
      <c r="G1857" s="1295">
        <f>G1856*58%</f>
        <v>3386.6192468985055</v>
      </c>
      <c r="H1857" s="1274">
        <v>0.57999999999999996</v>
      </c>
      <c r="I1857" s="733" t="s">
        <v>539</v>
      </c>
    </row>
    <row r="1858" spans="1:12" ht="15" customHeight="1" thickBot="1" x14ac:dyDescent="0.3">
      <c r="G1858" s="1270">
        <f>G1856+G1857</f>
        <v>9225.6179484476525</v>
      </c>
      <c r="H1858" s="733" t="s">
        <v>414</v>
      </c>
    </row>
    <row r="1859" spans="1:12" ht="15" customHeight="1" thickTop="1" x14ac:dyDescent="0.25"/>
    <row r="1862" spans="1:12" ht="15" customHeight="1" x14ac:dyDescent="0.25">
      <c r="B1862" s="1222" t="s">
        <v>61</v>
      </c>
      <c r="C1862" s="1219" t="s">
        <v>199</v>
      </c>
      <c r="D1862" s="733"/>
      <c r="E1862" s="847"/>
      <c r="F1862" s="847"/>
      <c r="G1862" s="847"/>
      <c r="H1862" s="847"/>
    </row>
    <row r="1863" spans="1:12" ht="15" customHeight="1" x14ac:dyDescent="0.25">
      <c r="A1863" s="1223" t="s">
        <v>718</v>
      </c>
      <c r="B1863" s="1222" t="s">
        <v>62</v>
      </c>
      <c r="C1863" s="1219" t="str">
        <f>VLOOKUP(C1862,LISTPROD[],2,FALSE)</f>
        <v>TOS BRONQUIOS</v>
      </c>
      <c r="D1863" s="733" t="s">
        <v>486</v>
      </c>
      <c r="E1863" s="857" t="s">
        <v>487</v>
      </c>
      <c r="F1863" s="847"/>
      <c r="G1863" s="847"/>
      <c r="H1863" s="847"/>
    </row>
    <row r="1864" spans="1:12" ht="15" customHeight="1" x14ac:dyDescent="0.25">
      <c r="B1864" s="1222" t="s">
        <v>234</v>
      </c>
      <c r="C1864" s="1219" t="str">
        <f>VLOOKUP(C1862,LISTPROD[],9,FALSE)</f>
        <v>500 ML</v>
      </c>
      <c r="D1864" s="733"/>
      <c r="E1864" s="847"/>
      <c r="F1864" s="847"/>
      <c r="G1864" s="847"/>
      <c r="H1864" s="847"/>
    </row>
    <row r="1865" spans="1:12" ht="15" customHeight="1" x14ac:dyDescent="0.25">
      <c r="B1865" s="1222" t="s">
        <v>239</v>
      </c>
      <c r="C1865" s="1224">
        <v>420</v>
      </c>
      <c r="D1865" s="1218"/>
      <c r="E1865" s="847"/>
      <c r="F1865" s="847"/>
      <c r="G1865" s="847"/>
      <c r="H1865" s="847"/>
    </row>
    <row r="1866" spans="1:12" ht="15" customHeight="1" x14ac:dyDescent="0.25">
      <c r="B1866" s="1222" t="s">
        <v>240</v>
      </c>
      <c r="C1866" s="1219"/>
      <c r="D1866" s="733"/>
    </row>
    <row r="1867" spans="1:12" ht="15" customHeight="1" x14ac:dyDescent="0.25">
      <c r="B1867" s="1222" t="s">
        <v>238</v>
      </c>
      <c r="C1867" s="733" t="s">
        <v>56</v>
      </c>
      <c r="D1867" s="1218" t="s">
        <v>449</v>
      </c>
    </row>
    <row r="1868" spans="1:12" ht="15" customHeight="1" x14ac:dyDescent="0.25">
      <c r="B1868" s="1225" t="s">
        <v>410</v>
      </c>
      <c r="C1868" s="753">
        <v>500</v>
      </c>
      <c r="D1868" s="1226"/>
    </row>
    <row r="1869" spans="1:12" ht="15" customHeight="1" x14ac:dyDescent="0.25">
      <c r="A1869" s="1227"/>
      <c r="B1869" s="1436" t="s">
        <v>404</v>
      </c>
      <c r="C1869" s="1436"/>
      <c r="D1869" s="1436"/>
      <c r="E1869" s="1436"/>
      <c r="F1869" s="1436"/>
      <c r="G1869" s="1228"/>
      <c r="H1869" s="1437" t="s">
        <v>416</v>
      </c>
      <c r="I1869" s="1438"/>
    </row>
    <row r="1870" spans="1:12" ht="34.5" customHeight="1" x14ac:dyDescent="0.25">
      <c r="A1870" s="1229"/>
      <c r="B1870" s="1230" t="s">
        <v>398</v>
      </c>
      <c r="C1870" s="1231" t="s">
        <v>441</v>
      </c>
      <c r="D1870" s="1232" t="s">
        <v>399</v>
      </c>
      <c r="E1870" s="1233" t="s">
        <v>402</v>
      </c>
      <c r="F1870" s="1232" t="s">
        <v>399</v>
      </c>
      <c r="G1870" s="1232" t="s">
        <v>411</v>
      </c>
      <c r="H1870" s="1234" t="s">
        <v>408</v>
      </c>
      <c r="I1870" s="1235" t="s">
        <v>415</v>
      </c>
      <c r="K1870" s="1236" t="s">
        <v>603</v>
      </c>
      <c r="L1870" s="1237" t="s">
        <v>604</v>
      </c>
    </row>
    <row r="1871" spans="1:12" ht="15" customHeight="1" x14ac:dyDescent="0.25">
      <c r="A1871" s="1238"/>
      <c r="B1871" s="1228" t="s">
        <v>248</v>
      </c>
      <c r="C1871" s="1228">
        <v>1000</v>
      </c>
      <c r="D1871" s="1239">
        <f>'Prec Materia Prima y Empaq'!$H$21</f>
        <v>15400</v>
      </c>
      <c r="E1871" s="1240">
        <f>D1871*19%</f>
        <v>2926</v>
      </c>
      <c r="F1871" s="1241">
        <f>+E1871+D1871</f>
        <v>18326</v>
      </c>
      <c r="G1871" s="1240">
        <f>F1871/C1871*H1871</f>
        <v>10995.6</v>
      </c>
      <c r="H1871" s="1242">
        <v>600</v>
      </c>
      <c r="I1871" s="1228" t="s">
        <v>450</v>
      </c>
      <c r="K1871" s="1242">
        <f>H1871/$C$1865</f>
        <v>1.4285714285714286</v>
      </c>
      <c r="L1871" s="1243">
        <f>F1871/C1871*K1871</f>
        <v>26.18</v>
      </c>
    </row>
    <row r="1872" spans="1:12" ht="15" customHeight="1" x14ac:dyDescent="0.25">
      <c r="A1872" s="1238"/>
      <c r="B1872" s="1228" t="s">
        <v>443</v>
      </c>
      <c r="C1872" s="1228">
        <v>1000</v>
      </c>
      <c r="D1872" s="1239">
        <f>'Prec Materia Prima y Empaq'!$H$11</f>
        <v>8000</v>
      </c>
      <c r="E1872" s="1240">
        <f t="shared" ref="E1872:E1879" si="664">D1872*19%</f>
        <v>1520</v>
      </c>
      <c r="F1872" s="1241">
        <f t="shared" ref="F1872:F1884" si="665">+E1872+D1872</f>
        <v>9520</v>
      </c>
      <c r="G1872" s="1240">
        <f t="shared" ref="G1872:G1877" si="666">F1872/C1872*H1872</f>
        <v>5236</v>
      </c>
      <c r="H1872" s="1242">
        <v>550</v>
      </c>
      <c r="I1872" s="1228" t="s">
        <v>450</v>
      </c>
      <c r="K1872" s="1242">
        <f t="shared" ref="K1872:K1886" si="667">H1872/$C$1865</f>
        <v>1.3095238095238095</v>
      </c>
      <c r="L1872" s="1243">
        <f t="shared" ref="L1872:L1886" si="668">F1872/C1872*K1872</f>
        <v>12.466666666666667</v>
      </c>
    </row>
    <row r="1873" spans="1:29" ht="15" customHeight="1" x14ac:dyDescent="0.25">
      <c r="A1873" s="1238"/>
      <c r="B1873" s="1228" t="s">
        <v>253</v>
      </c>
      <c r="C1873" s="1228">
        <v>1000</v>
      </c>
      <c r="D1873" s="1239">
        <f>'Prec Materia Prima y Empaq'!$H$9</f>
        <v>5400</v>
      </c>
      <c r="E1873" s="1240">
        <f t="shared" si="664"/>
        <v>1026</v>
      </c>
      <c r="F1873" s="1241">
        <f t="shared" si="665"/>
        <v>6426</v>
      </c>
      <c r="G1873" s="1240">
        <f t="shared" si="666"/>
        <v>1285.2</v>
      </c>
      <c r="H1873" s="1242">
        <v>200</v>
      </c>
      <c r="I1873" s="1228" t="s">
        <v>450</v>
      </c>
      <c r="K1873" s="1242">
        <f t="shared" si="667"/>
        <v>0.47619047619047616</v>
      </c>
      <c r="L1873" s="1243">
        <f t="shared" si="668"/>
        <v>3.06</v>
      </c>
    </row>
    <row r="1874" spans="1:29" ht="15" customHeight="1" x14ac:dyDescent="0.25">
      <c r="A1874" s="1238"/>
      <c r="B1874" s="1228" t="s">
        <v>256</v>
      </c>
      <c r="C1874" s="1228">
        <v>1000</v>
      </c>
      <c r="D1874" s="1239">
        <f>'Prec Materia Prima y Empaq'!$H$54</f>
        <v>142131</v>
      </c>
      <c r="E1874" s="1240">
        <f t="shared" si="664"/>
        <v>27004.89</v>
      </c>
      <c r="F1874" s="1241">
        <f t="shared" si="665"/>
        <v>169135.89</v>
      </c>
      <c r="G1874" s="1240">
        <f t="shared" si="666"/>
        <v>1014.8153400000001</v>
      </c>
      <c r="H1874" s="1242">
        <v>6</v>
      </c>
      <c r="I1874" s="1228" t="s">
        <v>450</v>
      </c>
      <c r="K1874" s="1242">
        <f t="shared" si="667"/>
        <v>1.4285714285714285E-2</v>
      </c>
      <c r="L1874" s="1243">
        <f t="shared" si="668"/>
        <v>2.4162270000000001</v>
      </c>
    </row>
    <row r="1875" spans="1:29" ht="15" customHeight="1" x14ac:dyDescent="0.25">
      <c r="A1875" s="1238"/>
      <c r="B1875" s="1228" t="s">
        <v>262</v>
      </c>
      <c r="C1875" s="1228">
        <v>1000</v>
      </c>
      <c r="D1875" s="1239">
        <f>'Prec Materia Prima y Empaq'!$H$55</f>
        <v>50522</v>
      </c>
      <c r="E1875" s="1240">
        <f t="shared" si="664"/>
        <v>9599.18</v>
      </c>
      <c r="F1875" s="1241">
        <f t="shared" si="665"/>
        <v>60121.18</v>
      </c>
      <c r="G1875" s="1240">
        <f t="shared" si="666"/>
        <v>360.72708</v>
      </c>
      <c r="H1875" s="1242">
        <v>6</v>
      </c>
      <c r="I1875" s="1228" t="s">
        <v>450</v>
      </c>
      <c r="K1875" s="1242">
        <f t="shared" si="667"/>
        <v>1.4285714285714285E-2</v>
      </c>
      <c r="L1875" s="1243">
        <f t="shared" si="668"/>
        <v>0.85887400000000003</v>
      </c>
    </row>
    <row r="1876" spans="1:29" ht="15" customHeight="1" x14ac:dyDescent="0.25">
      <c r="A1876" s="1238"/>
      <c r="B1876" s="1228" t="s">
        <v>261</v>
      </c>
      <c r="C1876" s="1228">
        <v>1000</v>
      </c>
      <c r="D1876" s="1239">
        <f>'Prec Materia Prima y Empaq'!$H$12</f>
        <v>4700</v>
      </c>
      <c r="E1876" s="1240">
        <f t="shared" si="664"/>
        <v>893</v>
      </c>
      <c r="F1876" s="1241">
        <f t="shared" si="665"/>
        <v>5593</v>
      </c>
      <c r="G1876" s="1240">
        <f t="shared" si="666"/>
        <v>559.29999999999995</v>
      </c>
      <c r="H1876" s="1242">
        <v>100</v>
      </c>
      <c r="I1876" s="1228" t="s">
        <v>450</v>
      </c>
      <c r="K1876" s="1242">
        <f t="shared" si="667"/>
        <v>0.23809523809523808</v>
      </c>
      <c r="L1876" s="1243">
        <f t="shared" si="668"/>
        <v>1.3316666666666666</v>
      </c>
    </row>
    <row r="1877" spans="1:29" ht="15" customHeight="1" x14ac:dyDescent="0.25">
      <c r="A1877" s="1238"/>
      <c r="B1877" s="1228" t="s">
        <v>264</v>
      </c>
      <c r="C1877" s="1228">
        <v>1000</v>
      </c>
      <c r="D1877" s="1239">
        <f>'Prec Materia Prima y Empaq'!$H$38</f>
        <v>61698</v>
      </c>
      <c r="E1877" s="1240">
        <f t="shared" si="664"/>
        <v>11722.62</v>
      </c>
      <c r="F1877" s="1241">
        <f t="shared" si="665"/>
        <v>73420.62</v>
      </c>
      <c r="G1877" s="1240">
        <f t="shared" si="666"/>
        <v>5139.4434000000001</v>
      </c>
      <c r="H1877" s="1242">
        <v>70</v>
      </c>
      <c r="I1877" s="1228" t="s">
        <v>450</v>
      </c>
      <c r="K1877" s="1242">
        <f t="shared" si="667"/>
        <v>0.16666666666666666</v>
      </c>
      <c r="L1877" s="1243">
        <f t="shared" si="668"/>
        <v>12.23677</v>
      </c>
    </row>
    <row r="1878" spans="1:29" ht="30.75" customHeight="1" x14ac:dyDescent="0.25">
      <c r="B1878" s="1228" t="s">
        <v>382</v>
      </c>
      <c r="C1878" s="1228">
        <v>3785</v>
      </c>
      <c r="D1878" s="1239">
        <f>'Prec Materia Prima y Empaq'!$H$18</f>
        <v>24</v>
      </c>
      <c r="E1878" s="1240">
        <f t="shared" si="664"/>
        <v>4.5600000000000005</v>
      </c>
      <c r="F1878" s="1241">
        <f t="shared" si="665"/>
        <v>28.560000000000002</v>
      </c>
      <c r="G1878" s="1240">
        <f>F1878/C1878*H1878</f>
        <v>0.37727873183619554</v>
      </c>
      <c r="H1878" s="1242">
        <v>50</v>
      </c>
      <c r="I1878" s="1228" t="s">
        <v>450</v>
      </c>
      <c r="K1878" s="1242">
        <f t="shared" si="667"/>
        <v>0.11904761904761904</v>
      </c>
      <c r="L1878" s="1243">
        <f t="shared" si="668"/>
        <v>8.9828269484808459E-4</v>
      </c>
    </row>
    <row r="1879" spans="1:29" ht="15" customHeight="1" x14ac:dyDescent="0.25">
      <c r="B1879" s="1228" t="s">
        <v>251</v>
      </c>
      <c r="C1879" s="1228">
        <v>1000</v>
      </c>
      <c r="D1879" s="1239">
        <f>'Prec Materia Prima y Empaq'!$H$26</f>
        <v>45404</v>
      </c>
      <c r="E1879" s="1240">
        <f t="shared" si="664"/>
        <v>8626.76</v>
      </c>
      <c r="F1879" s="1241">
        <f t="shared" si="665"/>
        <v>54030.76</v>
      </c>
      <c r="G1879" s="1240">
        <f>F1879/C1879*H1879</f>
        <v>2701.538</v>
      </c>
      <c r="H1879" s="1242">
        <v>50</v>
      </c>
      <c r="I1879" s="1228" t="s">
        <v>450</v>
      </c>
      <c r="K1879" s="1242">
        <f t="shared" si="667"/>
        <v>0.11904761904761904</v>
      </c>
      <c r="L1879" s="1243">
        <f t="shared" si="668"/>
        <v>6.4322333333333335</v>
      </c>
    </row>
    <row r="1880" spans="1:29" ht="31.5" customHeight="1" x14ac:dyDescent="0.25">
      <c r="B1880" s="1220" t="s">
        <v>247</v>
      </c>
      <c r="C1880" s="1228">
        <v>1000</v>
      </c>
      <c r="D1880" s="1244">
        <f>'Prec Materia Prima y Empaq'!$H$7</f>
        <v>50000</v>
      </c>
      <c r="E1880" s="1240">
        <v>0</v>
      </c>
      <c r="F1880" s="1241">
        <f t="shared" si="665"/>
        <v>50000</v>
      </c>
      <c r="G1880" s="1240">
        <f>F1880/C1880*H1880</f>
        <v>32.022471910112351</v>
      </c>
      <c r="H1880" s="1245">
        <v>0.64044943820224698</v>
      </c>
      <c r="I1880" s="1245" t="s">
        <v>453</v>
      </c>
      <c r="K1880" s="1242">
        <f t="shared" si="667"/>
        <v>1.5248796147672547E-3</v>
      </c>
      <c r="L1880" s="1243">
        <f t="shared" si="668"/>
        <v>7.6243980738362735E-2</v>
      </c>
      <c r="N1880" s="1220" t="s">
        <v>247</v>
      </c>
      <c r="O1880" s="1247">
        <v>1</v>
      </c>
      <c r="P1880" s="1240">
        <f>$F$391/$C$391*$O$391</f>
        <v>50</v>
      </c>
      <c r="Q1880" s="1248"/>
      <c r="R1880" s="1249" t="e">
        <f>P1880/O1869</f>
        <v>#DIV/0!</v>
      </c>
      <c r="S1880" s="1248" t="e">
        <f>R1880*1000</f>
        <v>#DIV/0!</v>
      </c>
      <c r="T1880" s="1250">
        <f>O1880/$O$380*1000</f>
        <v>2.5641025641025641E-3</v>
      </c>
      <c r="U1880" s="1238">
        <f>T1880*$M$380</f>
        <v>1</v>
      </c>
      <c r="Y1880" s="1238"/>
      <c r="Z1880" s="1238"/>
      <c r="AA1880" s="1251"/>
      <c r="AC1880" s="1252"/>
    </row>
    <row r="1881" spans="1:29" ht="52.5" customHeight="1" x14ac:dyDescent="0.25">
      <c r="B1881" s="1220" t="s">
        <v>485</v>
      </c>
      <c r="C1881" s="1220">
        <v>1</v>
      </c>
      <c r="D1881" s="1244">
        <f>'Prec Materia Prima y Empaq'!$H$138</f>
        <v>650</v>
      </c>
      <c r="E1881" s="1240">
        <v>0</v>
      </c>
      <c r="F1881" s="1241">
        <f t="shared" si="665"/>
        <v>650</v>
      </c>
      <c r="G1881" s="1253">
        <f t="shared" ref="G1881:G1886" si="669">F1881*H1881</f>
        <v>273000</v>
      </c>
      <c r="H1881" s="1245">
        <f>$C$1865</f>
        <v>420</v>
      </c>
      <c r="I1881" s="1245" t="s">
        <v>453</v>
      </c>
      <c r="K1881" s="1242">
        <f t="shared" si="667"/>
        <v>1</v>
      </c>
      <c r="L1881" s="1243">
        <f t="shared" si="668"/>
        <v>650</v>
      </c>
    </row>
    <row r="1882" spans="1:29" ht="15" customHeight="1" x14ac:dyDescent="0.25">
      <c r="B1882" s="1220" t="s">
        <v>614</v>
      </c>
      <c r="C1882" s="1220">
        <v>1</v>
      </c>
      <c r="D1882" s="1244">
        <f>'Prec Materia Prima y Empaq'!$H$144</f>
        <v>70</v>
      </c>
      <c r="E1882" s="1240">
        <v>0</v>
      </c>
      <c r="F1882" s="1241">
        <f t="shared" si="665"/>
        <v>70</v>
      </c>
      <c r="G1882" s="1253">
        <f t="shared" si="669"/>
        <v>29400</v>
      </c>
      <c r="H1882" s="1245">
        <f t="shared" ref="H1882:H1886" si="670">$C$1865</f>
        <v>420</v>
      </c>
      <c r="I1882" s="1245" t="s">
        <v>453</v>
      </c>
      <c r="K1882" s="1242">
        <f t="shared" si="667"/>
        <v>1</v>
      </c>
      <c r="L1882" s="1243">
        <f t="shared" si="668"/>
        <v>70</v>
      </c>
    </row>
    <row r="1883" spans="1:29" ht="50.25" customHeight="1" x14ac:dyDescent="0.25">
      <c r="B1883" s="1220" t="s">
        <v>695</v>
      </c>
      <c r="C1883" s="1245">
        <v>1</v>
      </c>
      <c r="D1883" s="1272">
        <f>'Prec Materia Prima y Empaq'!$H$161</f>
        <v>300</v>
      </c>
      <c r="E1883" s="1240">
        <v>0</v>
      </c>
      <c r="F1883" s="1241">
        <f t="shared" si="665"/>
        <v>300</v>
      </c>
      <c r="G1883" s="1253">
        <f t="shared" si="669"/>
        <v>126000</v>
      </c>
      <c r="H1883" s="1245">
        <f t="shared" si="670"/>
        <v>420</v>
      </c>
      <c r="I1883" s="1245" t="s">
        <v>453</v>
      </c>
      <c r="K1883" s="1242">
        <f t="shared" si="667"/>
        <v>1</v>
      </c>
      <c r="L1883" s="1243">
        <f t="shared" si="668"/>
        <v>300</v>
      </c>
    </row>
    <row r="1884" spans="1:29" ht="15" customHeight="1" x14ac:dyDescent="0.25">
      <c r="B1884" s="1279" t="s">
        <v>675</v>
      </c>
      <c r="C1884" s="1245">
        <v>1</v>
      </c>
      <c r="D1884" s="1272">
        <f>'Prec Materia Prima y Empaq'!$H$162</f>
        <v>100</v>
      </c>
      <c r="E1884" s="1240"/>
      <c r="F1884" s="1241">
        <f t="shared" si="665"/>
        <v>100</v>
      </c>
      <c r="G1884" s="1253">
        <f t="shared" si="669"/>
        <v>42000</v>
      </c>
      <c r="H1884" s="1245">
        <f t="shared" si="670"/>
        <v>420</v>
      </c>
      <c r="I1884" s="1245" t="s">
        <v>453</v>
      </c>
      <c r="K1884" s="1242">
        <f t="shared" si="667"/>
        <v>1</v>
      </c>
      <c r="L1884" s="1243">
        <f t="shared" si="668"/>
        <v>100</v>
      </c>
    </row>
    <row r="1885" spans="1:29" ht="15" customHeight="1" x14ac:dyDescent="0.25">
      <c r="B1885" s="1220" t="s">
        <v>310</v>
      </c>
      <c r="C1885" s="1245">
        <v>1</v>
      </c>
      <c r="D1885" s="1272">
        <f>'Prec Materia Prima y Empaq'!$H$130</f>
        <v>100</v>
      </c>
      <c r="E1885" s="1240">
        <v>0</v>
      </c>
      <c r="F1885" s="1241">
        <f t="shared" ref="F1885:F1886" si="671">+E1885+D1885</f>
        <v>100</v>
      </c>
      <c r="G1885" s="1253">
        <f t="shared" si="669"/>
        <v>42000</v>
      </c>
      <c r="H1885" s="1245">
        <f t="shared" si="670"/>
        <v>420</v>
      </c>
      <c r="I1885" s="1245" t="s">
        <v>453</v>
      </c>
      <c r="K1885" s="1242">
        <f t="shared" si="667"/>
        <v>1</v>
      </c>
      <c r="L1885" s="1243">
        <f t="shared" si="668"/>
        <v>100</v>
      </c>
    </row>
    <row r="1886" spans="1:29" ht="15" customHeight="1" x14ac:dyDescent="0.25">
      <c r="B1886" s="1245" t="s">
        <v>309</v>
      </c>
      <c r="C1886" s="1245">
        <v>1</v>
      </c>
      <c r="D1886" s="1272">
        <f>'Prec Materia Prima y Empaq'!$H$129</f>
        <v>800</v>
      </c>
      <c r="E1886" s="1240">
        <v>0</v>
      </c>
      <c r="F1886" s="1241">
        <f t="shared" si="671"/>
        <v>800</v>
      </c>
      <c r="G1886" s="1253">
        <f t="shared" si="669"/>
        <v>336000</v>
      </c>
      <c r="H1886" s="1245">
        <f t="shared" si="670"/>
        <v>420</v>
      </c>
      <c r="I1886" s="1245" t="s">
        <v>453</v>
      </c>
      <c r="K1886" s="1242">
        <f t="shared" si="667"/>
        <v>1</v>
      </c>
      <c r="L1886" s="1243">
        <f t="shared" si="668"/>
        <v>800</v>
      </c>
    </row>
    <row r="1887" spans="1:29" ht="19.5" customHeight="1" thickBot="1" x14ac:dyDescent="0.3">
      <c r="B1887" s="1255"/>
      <c r="C1887" s="857"/>
      <c r="D1887" s="1256"/>
      <c r="E1887" s="1248"/>
      <c r="F1887" s="1257"/>
      <c r="G1887" s="1258">
        <f>SUM(G1871:G1886)/C1865</f>
        <v>2085.0595799300995</v>
      </c>
      <c r="H1887" s="1259" t="s">
        <v>454</v>
      </c>
      <c r="I1887" s="857"/>
      <c r="L1887" s="1260">
        <f>SUM(L1871:L1886)</f>
        <v>2085.0595799301</v>
      </c>
    </row>
    <row r="1888" spans="1:29" ht="15" customHeight="1" thickTop="1" x14ac:dyDescent="0.25">
      <c r="B1888" s="1314" t="s">
        <v>409</v>
      </c>
      <c r="C1888" s="1315"/>
      <c r="D1888" s="1316">
        <f>+'Gtos Varios'!I14</f>
        <v>3672.93</v>
      </c>
      <c r="E1888" s="1315"/>
      <c r="F1888" s="1317">
        <f t="shared" ref="F1888" si="672">+E1888+D1888</f>
        <v>3672.93</v>
      </c>
      <c r="G1888" s="1318">
        <f>F1888</f>
        <v>3672.93</v>
      </c>
      <c r="H1888" s="1315" t="str">
        <f>B1888</f>
        <v xml:space="preserve">GASTOS VARIOS </v>
      </c>
      <c r="I1888" s="1315"/>
    </row>
    <row r="1889" spans="1:9" ht="15" customHeight="1" x14ac:dyDescent="0.25">
      <c r="B1889" s="1255"/>
      <c r="C1889" s="857"/>
      <c r="D1889" s="1256"/>
      <c r="E1889" s="1248"/>
      <c r="F1889" s="1257"/>
      <c r="G1889" s="1266"/>
      <c r="H1889" s="857"/>
      <c r="I1889" s="857"/>
    </row>
    <row r="1890" spans="1:9" ht="15" customHeight="1" x14ac:dyDescent="0.25">
      <c r="B1890" s="1255"/>
      <c r="C1890" s="857"/>
      <c r="D1890" s="1256"/>
      <c r="E1890" s="1248"/>
      <c r="F1890" s="1257"/>
      <c r="G1890" s="1266"/>
      <c r="H1890" s="857"/>
      <c r="I1890" s="857"/>
    </row>
    <row r="1891" spans="1:9" ht="15" customHeight="1" thickBot="1" x14ac:dyDescent="0.3">
      <c r="F1891" s="1267">
        <f>SUM(F1871:F1886)</f>
        <v>448622.01</v>
      </c>
      <c r="G1891" s="1268">
        <f>SUM(G1887:G1888)</f>
        <v>5757.9895799300994</v>
      </c>
      <c r="H1891" s="733" t="s">
        <v>412</v>
      </c>
    </row>
    <row r="1892" spans="1:9" ht="15" customHeight="1" thickTop="1" x14ac:dyDescent="0.25">
      <c r="G1892" s="1295">
        <f>G1891*59%</f>
        <v>3397.2138521587585</v>
      </c>
      <c r="H1892" s="1274">
        <v>0.59</v>
      </c>
      <c r="I1892" s="733" t="s">
        <v>539</v>
      </c>
    </row>
    <row r="1893" spans="1:9" ht="15" customHeight="1" thickBot="1" x14ac:dyDescent="0.3">
      <c r="G1893" s="1270">
        <f>G1891+G1892</f>
        <v>9155.2034320888579</v>
      </c>
      <c r="H1893" s="733" t="s">
        <v>414</v>
      </c>
    </row>
    <row r="1894" spans="1:9" ht="15" customHeight="1" thickTop="1" x14ac:dyDescent="0.25"/>
    <row r="1897" spans="1:9" ht="15" customHeight="1" x14ac:dyDescent="0.25">
      <c r="B1897" s="1222" t="s">
        <v>61</v>
      </c>
      <c r="C1897" s="1219" t="s">
        <v>201</v>
      </c>
      <c r="D1897" s="733"/>
      <c r="E1897" s="853"/>
      <c r="F1897" s="853"/>
      <c r="G1897" s="853"/>
      <c r="H1897" s="853"/>
    </row>
    <row r="1898" spans="1:9" ht="15" customHeight="1" x14ac:dyDescent="0.25">
      <c r="A1898" s="1223" t="s">
        <v>718</v>
      </c>
      <c r="B1898" s="1222" t="s">
        <v>62</v>
      </c>
      <c r="C1898" s="1219" t="str">
        <f>VLOOKUP(C1897,LISTPROD[],2,FALSE)</f>
        <v>TOTUMO PULMONARIA</v>
      </c>
      <c r="D1898" s="733" t="s">
        <v>486</v>
      </c>
      <c r="E1898" s="865" t="s">
        <v>487</v>
      </c>
      <c r="F1898" s="853"/>
      <c r="G1898" s="853"/>
      <c r="H1898" s="853"/>
    </row>
    <row r="1899" spans="1:9" ht="15" customHeight="1" x14ac:dyDescent="0.25">
      <c r="B1899" s="1222" t="s">
        <v>234</v>
      </c>
      <c r="C1899" s="1219" t="str">
        <f>VLOOKUP(C1897,LISTPROD[],9,FALSE)</f>
        <v>500 ML</v>
      </c>
      <c r="D1899" s="733"/>
      <c r="E1899" s="853"/>
      <c r="F1899" s="853"/>
      <c r="G1899" s="853"/>
      <c r="H1899" s="853"/>
    </row>
    <row r="1900" spans="1:9" ht="15" customHeight="1" x14ac:dyDescent="0.25">
      <c r="B1900" s="1222" t="s">
        <v>239</v>
      </c>
      <c r="C1900" s="1224">
        <v>420</v>
      </c>
      <c r="D1900" s="1218"/>
      <c r="E1900" s="853"/>
      <c r="F1900" s="853"/>
      <c r="G1900" s="853"/>
      <c r="H1900" s="853"/>
    </row>
    <row r="1901" spans="1:9" ht="15" customHeight="1" x14ac:dyDescent="0.25">
      <c r="B1901" s="1222" t="s">
        <v>240</v>
      </c>
      <c r="C1901" s="1219"/>
      <c r="D1901" s="733"/>
    </row>
    <row r="1902" spans="1:9" ht="15" customHeight="1" x14ac:dyDescent="0.25">
      <c r="B1902" s="1222" t="s">
        <v>238</v>
      </c>
      <c r="C1902" s="733" t="s">
        <v>56</v>
      </c>
      <c r="D1902" s="1218" t="s">
        <v>449</v>
      </c>
    </row>
    <row r="1903" spans="1:9" ht="15" customHeight="1" x14ac:dyDescent="0.25">
      <c r="B1903" s="1225" t="s">
        <v>410</v>
      </c>
      <c r="C1903" s="753">
        <v>500</v>
      </c>
      <c r="D1903" s="1226"/>
    </row>
    <row r="1904" spans="1:9" ht="15" customHeight="1" x14ac:dyDescent="0.25">
      <c r="A1904" s="1227"/>
      <c r="B1904" s="1436" t="s">
        <v>404</v>
      </c>
      <c r="C1904" s="1436"/>
      <c r="D1904" s="1436"/>
      <c r="E1904" s="1436"/>
      <c r="F1904" s="1436"/>
      <c r="G1904" s="1228"/>
      <c r="H1904" s="1437" t="s">
        <v>416</v>
      </c>
      <c r="I1904" s="1438"/>
    </row>
    <row r="1905" spans="1:29" ht="41.25" customHeight="1" x14ac:dyDescent="0.25">
      <c r="A1905" s="1229"/>
      <c r="B1905" s="1230" t="s">
        <v>398</v>
      </c>
      <c r="C1905" s="1231" t="s">
        <v>441</v>
      </c>
      <c r="D1905" s="1232" t="s">
        <v>399</v>
      </c>
      <c r="E1905" s="1233" t="s">
        <v>402</v>
      </c>
      <c r="F1905" s="1232" t="s">
        <v>399</v>
      </c>
      <c r="G1905" s="1232" t="s">
        <v>411</v>
      </c>
      <c r="H1905" s="1234" t="s">
        <v>408</v>
      </c>
      <c r="I1905" s="1235" t="s">
        <v>415</v>
      </c>
      <c r="K1905" s="1236" t="s">
        <v>603</v>
      </c>
      <c r="L1905" s="1237" t="s">
        <v>604</v>
      </c>
    </row>
    <row r="1906" spans="1:29" ht="15" customHeight="1" x14ac:dyDescent="0.25">
      <c r="A1906" s="1238"/>
      <c r="B1906" s="1228" t="s">
        <v>248</v>
      </c>
      <c r="C1906" s="1228">
        <v>1000</v>
      </c>
      <c r="D1906" s="1239">
        <f>'Prec Materia Prima y Empaq'!$H$21</f>
        <v>15400</v>
      </c>
      <c r="E1906" s="1240">
        <f>D1906*19%</f>
        <v>2926</v>
      </c>
      <c r="F1906" s="1241">
        <f>+E1906+D1906</f>
        <v>18326</v>
      </c>
      <c r="G1906" s="1240">
        <f>F1906/C1906*H1906</f>
        <v>10995.6</v>
      </c>
      <c r="H1906" s="1242">
        <v>600</v>
      </c>
      <c r="I1906" s="1228" t="s">
        <v>450</v>
      </c>
      <c r="K1906" s="1242">
        <f>H1906/$C$1900</f>
        <v>1.4285714285714286</v>
      </c>
      <c r="L1906" s="1243">
        <f>F1906/C1906*K1906</f>
        <v>26.18</v>
      </c>
    </row>
    <row r="1907" spans="1:29" ht="15" customHeight="1" x14ac:dyDescent="0.25">
      <c r="A1907" s="1238"/>
      <c r="B1907" s="1228" t="s">
        <v>443</v>
      </c>
      <c r="C1907" s="1228">
        <v>1000</v>
      </c>
      <c r="D1907" s="1239">
        <f>'Prec Materia Prima y Empaq'!$H$11</f>
        <v>8000</v>
      </c>
      <c r="E1907" s="1240">
        <f t="shared" ref="E1907:E1913" si="673">D1907*19%</f>
        <v>1520</v>
      </c>
      <c r="F1907" s="1241">
        <f t="shared" ref="F1907:F1913" si="674">+E1907+D1907</f>
        <v>9520</v>
      </c>
      <c r="G1907" s="1240">
        <f t="shared" ref="G1907:G1912" si="675">F1907/C1907*H1907</f>
        <v>5236</v>
      </c>
      <c r="H1907" s="1242">
        <v>550</v>
      </c>
      <c r="I1907" s="1228" t="s">
        <v>450</v>
      </c>
      <c r="K1907" s="1242">
        <f t="shared" ref="K1907:K1921" si="676">H1907/$C$1900</f>
        <v>1.3095238095238095</v>
      </c>
      <c r="L1907" s="1243">
        <f t="shared" ref="L1907:L1921" si="677">F1907/C1907*K1907</f>
        <v>12.466666666666667</v>
      </c>
    </row>
    <row r="1908" spans="1:29" ht="15" customHeight="1" x14ac:dyDescent="0.25">
      <c r="A1908" s="1238"/>
      <c r="B1908" s="1228" t="s">
        <v>253</v>
      </c>
      <c r="C1908" s="1228">
        <v>1000</v>
      </c>
      <c r="D1908" s="1239">
        <f>'Prec Materia Prima y Empaq'!$H$9</f>
        <v>5400</v>
      </c>
      <c r="E1908" s="1240">
        <f t="shared" si="673"/>
        <v>1026</v>
      </c>
      <c r="F1908" s="1241">
        <f t="shared" si="674"/>
        <v>6426</v>
      </c>
      <c r="G1908" s="1240">
        <f t="shared" si="675"/>
        <v>1285.2</v>
      </c>
      <c r="H1908" s="1242">
        <v>200</v>
      </c>
      <c r="I1908" s="1228" t="s">
        <v>450</v>
      </c>
      <c r="K1908" s="1242">
        <f t="shared" si="676"/>
        <v>0.47619047619047616</v>
      </c>
      <c r="L1908" s="1243">
        <f t="shared" si="677"/>
        <v>3.06</v>
      </c>
    </row>
    <row r="1909" spans="1:29" ht="15" customHeight="1" x14ac:dyDescent="0.25">
      <c r="A1909" s="1238"/>
      <c r="B1909" s="1228" t="s">
        <v>256</v>
      </c>
      <c r="C1909" s="1228">
        <v>1000</v>
      </c>
      <c r="D1909" s="1239">
        <f>'Prec Materia Prima y Empaq'!$H$54</f>
        <v>142131</v>
      </c>
      <c r="E1909" s="1240">
        <f t="shared" si="673"/>
        <v>27004.89</v>
      </c>
      <c r="F1909" s="1241">
        <f t="shared" si="674"/>
        <v>169135.89</v>
      </c>
      <c r="G1909" s="1240">
        <f t="shared" si="675"/>
        <v>1014.8153400000001</v>
      </c>
      <c r="H1909" s="1242">
        <v>6</v>
      </c>
      <c r="I1909" s="1228" t="s">
        <v>450</v>
      </c>
      <c r="K1909" s="1242">
        <f t="shared" si="676"/>
        <v>1.4285714285714285E-2</v>
      </c>
      <c r="L1909" s="1243">
        <f t="shared" si="677"/>
        <v>2.4162270000000001</v>
      </c>
    </row>
    <row r="1910" spans="1:29" ht="15" customHeight="1" x14ac:dyDescent="0.25">
      <c r="A1910" s="1238"/>
      <c r="B1910" s="1228" t="s">
        <v>262</v>
      </c>
      <c r="C1910" s="1228">
        <v>1000</v>
      </c>
      <c r="D1910" s="1239">
        <f>'Prec Materia Prima y Empaq'!$H$55</f>
        <v>50522</v>
      </c>
      <c r="E1910" s="1240">
        <f t="shared" ref="E1910" si="678">D1910*19%</f>
        <v>9599.18</v>
      </c>
      <c r="F1910" s="1241">
        <f t="shared" ref="F1910" si="679">+E1910+D1910</f>
        <v>60121.18</v>
      </c>
      <c r="G1910" s="1240">
        <f t="shared" ref="G1910" si="680">F1910/C1910*H1910</f>
        <v>360.72708</v>
      </c>
      <c r="H1910" s="1242">
        <v>6</v>
      </c>
      <c r="I1910" s="1228" t="s">
        <v>450</v>
      </c>
      <c r="K1910" s="1242">
        <f t="shared" si="676"/>
        <v>1.4285714285714285E-2</v>
      </c>
      <c r="L1910" s="1243">
        <f t="shared" si="677"/>
        <v>0.85887400000000003</v>
      </c>
    </row>
    <row r="1911" spans="1:29" ht="15" customHeight="1" x14ac:dyDescent="0.25">
      <c r="A1911" s="1238"/>
      <c r="B1911" s="1228" t="s">
        <v>261</v>
      </c>
      <c r="C1911" s="1228">
        <v>1000</v>
      </c>
      <c r="D1911" s="1239">
        <f>'Prec Materia Prima y Empaq'!$H$12</f>
        <v>4700</v>
      </c>
      <c r="E1911" s="1240">
        <f t="shared" si="673"/>
        <v>893</v>
      </c>
      <c r="F1911" s="1241">
        <f t="shared" si="674"/>
        <v>5593</v>
      </c>
      <c r="G1911" s="1240">
        <f t="shared" si="675"/>
        <v>559.29999999999995</v>
      </c>
      <c r="H1911" s="1242">
        <v>100</v>
      </c>
      <c r="I1911" s="1228" t="s">
        <v>450</v>
      </c>
      <c r="K1911" s="1242">
        <f t="shared" si="676"/>
        <v>0.23809523809523808</v>
      </c>
      <c r="L1911" s="1243">
        <f t="shared" si="677"/>
        <v>1.3316666666666666</v>
      </c>
    </row>
    <row r="1912" spans="1:29" ht="15" customHeight="1" x14ac:dyDescent="0.25">
      <c r="A1912" s="1238"/>
      <c r="B1912" s="1228" t="s">
        <v>264</v>
      </c>
      <c r="C1912" s="1228">
        <v>1000</v>
      </c>
      <c r="D1912" s="1239">
        <f>'Prec Materia Prima y Empaq'!$H$38</f>
        <v>61698</v>
      </c>
      <c r="E1912" s="1240">
        <f t="shared" si="673"/>
        <v>11722.62</v>
      </c>
      <c r="F1912" s="1241">
        <f t="shared" si="674"/>
        <v>73420.62</v>
      </c>
      <c r="G1912" s="1240">
        <f t="shared" si="675"/>
        <v>5139.4434000000001</v>
      </c>
      <c r="H1912" s="1242">
        <v>70</v>
      </c>
      <c r="I1912" s="1228" t="s">
        <v>450</v>
      </c>
      <c r="K1912" s="1242">
        <f t="shared" si="676"/>
        <v>0.16666666666666666</v>
      </c>
      <c r="L1912" s="1243">
        <f t="shared" si="677"/>
        <v>12.23677</v>
      </c>
    </row>
    <row r="1913" spans="1:29" ht="15" customHeight="1" x14ac:dyDescent="0.25">
      <c r="A1913" s="1238"/>
      <c r="B1913" s="1228" t="s">
        <v>382</v>
      </c>
      <c r="C1913" s="1228">
        <v>3785</v>
      </c>
      <c r="D1913" s="1239">
        <f>'Prec Materia Prima y Empaq'!$H$18</f>
        <v>24</v>
      </c>
      <c r="E1913" s="1240">
        <f t="shared" si="673"/>
        <v>4.5600000000000005</v>
      </c>
      <c r="F1913" s="1241">
        <f t="shared" si="674"/>
        <v>28.560000000000002</v>
      </c>
      <c r="G1913" s="1240">
        <f>F1913/C1913*H1913</f>
        <v>0.37727873183619554</v>
      </c>
      <c r="H1913" s="1242">
        <v>50</v>
      </c>
      <c r="I1913" s="1228" t="s">
        <v>450</v>
      </c>
      <c r="K1913" s="1242">
        <f t="shared" si="676"/>
        <v>0.11904761904761904</v>
      </c>
      <c r="L1913" s="1243">
        <f t="shared" si="677"/>
        <v>8.9828269484808459E-4</v>
      </c>
    </row>
    <row r="1914" spans="1:29" ht="15" customHeight="1" x14ac:dyDescent="0.25">
      <c r="A1914" s="1238"/>
      <c r="B1914" s="1228" t="s">
        <v>251</v>
      </c>
      <c r="C1914" s="1228">
        <v>1000</v>
      </c>
      <c r="D1914" s="1239">
        <f>'Prec Materia Prima y Empaq'!$H$26</f>
        <v>45404</v>
      </c>
      <c r="E1914" s="1240">
        <f t="shared" ref="E1914" si="681">D1914*19%</f>
        <v>8626.76</v>
      </c>
      <c r="F1914" s="1241">
        <f t="shared" ref="F1914:F1920" si="682">+E1914+D1914</f>
        <v>54030.76</v>
      </c>
      <c r="G1914" s="1240">
        <f>F1914/C1914*H1914</f>
        <v>2701.538</v>
      </c>
      <c r="H1914" s="1242">
        <v>50</v>
      </c>
      <c r="I1914" s="1228" t="s">
        <v>450</v>
      </c>
      <c r="K1914" s="1242">
        <f t="shared" si="676"/>
        <v>0.11904761904761904</v>
      </c>
      <c r="L1914" s="1243">
        <f t="shared" si="677"/>
        <v>6.4322333333333335</v>
      </c>
    </row>
    <row r="1915" spans="1:29" ht="31.5" customHeight="1" x14ac:dyDescent="0.25">
      <c r="B1915" s="1220" t="s">
        <v>247</v>
      </c>
      <c r="C1915" s="1228">
        <v>1000</v>
      </c>
      <c r="D1915" s="1244">
        <f>'Prec Materia Prima y Empaq'!$H$7</f>
        <v>50000</v>
      </c>
      <c r="E1915" s="1240">
        <v>0</v>
      </c>
      <c r="F1915" s="1241">
        <f t="shared" si="682"/>
        <v>50000</v>
      </c>
      <c r="G1915" s="1240">
        <f>F1915/C1915*H1915</f>
        <v>32.022471910112351</v>
      </c>
      <c r="H1915" s="1245">
        <v>0.64044943820224698</v>
      </c>
      <c r="I1915" s="1245" t="s">
        <v>453</v>
      </c>
      <c r="K1915" s="1242">
        <f t="shared" si="676"/>
        <v>1.5248796147672547E-3</v>
      </c>
      <c r="L1915" s="1243">
        <f t="shared" si="677"/>
        <v>7.6243980738362735E-2</v>
      </c>
      <c r="N1915" s="1220" t="s">
        <v>247</v>
      </c>
      <c r="O1915" s="1247">
        <v>1</v>
      </c>
      <c r="P1915" s="1240">
        <f>$F$391/$C$391*$O$391</f>
        <v>50</v>
      </c>
      <c r="Q1915" s="1248"/>
      <c r="R1915" s="1249" t="e">
        <f>P1915/O1904</f>
        <v>#DIV/0!</v>
      </c>
      <c r="S1915" s="1248" t="e">
        <f>R1915*1000</f>
        <v>#DIV/0!</v>
      </c>
      <c r="T1915" s="1250">
        <f>O1915/$O$380*1000</f>
        <v>2.5641025641025641E-3</v>
      </c>
      <c r="U1915" s="1238">
        <f>T1915*$M$380</f>
        <v>1</v>
      </c>
      <c r="Y1915" s="1238"/>
      <c r="Z1915" s="1238"/>
      <c r="AA1915" s="1251"/>
      <c r="AC1915" s="1252"/>
    </row>
    <row r="1916" spans="1:29" ht="30.75" customHeight="1" x14ac:dyDescent="0.25">
      <c r="B1916" s="1220" t="s">
        <v>485</v>
      </c>
      <c r="C1916" s="1220">
        <v>1</v>
      </c>
      <c r="D1916" s="1244">
        <f>'Prec Materia Prima y Empaq'!$H$138</f>
        <v>650</v>
      </c>
      <c r="E1916" s="1240">
        <v>0</v>
      </c>
      <c r="F1916" s="1241">
        <f t="shared" si="682"/>
        <v>650</v>
      </c>
      <c r="G1916" s="1253">
        <f>F1916*H1916</f>
        <v>273000</v>
      </c>
      <c r="H1916" s="1245">
        <f>$C$1795</f>
        <v>420</v>
      </c>
      <c r="I1916" s="1245" t="s">
        <v>453</v>
      </c>
      <c r="K1916" s="1242">
        <f t="shared" si="676"/>
        <v>1</v>
      </c>
      <c r="L1916" s="1243">
        <f t="shared" si="677"/>
        <v>650</v>
      </c>
    </row>
    <row r="1917" spans="1:29" ht="15" customHeight="1" x14ac:dyDescent="0.25">
      <c r="B1917" s="1220" t="s">
        <v>614</v>
      </c>
      <c r="C1917" s="1220">
        <v>1</v>
      </c>
      <c r="D1917" s="1244">
        <f>'Prec Materia Prima y Empaq'!$H$144</f>
        <v>70</v>
      </c>
      <c r="E1917" s="1240">
        <v>0</v>
      </c>
      <c r="F1917" s="1241">
        <f t="shared" si="682"/>
        <v>70</v>
      </c>
      <c r="G1917" s="1253">
        <f t="shared" ref="G1917:G1921" si="683">F1917*H1917</f>
        <v>29400</v>
      </c>
      <c r="H1917" s="1245">
        <f t="shared" ref="H1917:H1921" si="684">$C$1795</f>
        <v>420</v>
      </c>
      <c r="I1917" s="1245" t="s">
        <v>453</v>
      </c>
      <c r="K1917" s="1242">
        <f t="shared" si="676"/>
        <v>1</v>
      </c>
      <c r="L1917" s="1243">
        <f t="shared" si="677"/>
        <v>70</v>
      </c>
    </row>
    <row r="1918" spans="1:29" ht="43.5" customHeight="1" x14ac:dyDescent="0.25">
      <c r="B1918" s="1220" t="s">
        <v>695</v>
      </c>
      <c r="C1918" s="1245">
        <v>1</v>
      </c>
      <c r="D1918" s="1272">
        <f>'Prec Materia Prima y Empaq'!$H$161</f>
        <v>300</v>
      </c>
      <c r="E1918" s="1240">
        <v>0</v>
      </c>
      <c r="F1918" s="1241">
        <f t="shared" si="682"/>
        <v>300</v>
      </c>
      <c r="G1918" s="1253">
        <f t="shared" si="683"/>
        <v>126000</v>
      </c>
      <c r="H1918" s="1245">
        <f t="shared" si="684"/>
        <v>420</v>
      </c>
      <c r="I1918" s="1245" t="s">
        <v>453</v>
      </c>
      <c r="K1918" s="1242">
        <f t="shared" si="676"/>
        <v>1</v>
      </c>
      <c r="L1918" s="1243">
        <f t="shared" si="677"/>
        <v>300</v>
      </c>
    </row>
    <row r="1919" spans="1:29" ht="15" customHeight="1" x14ac:dyDescent="0.25">
      <c r="B1919" s="1279" t="s">
        <v>675</v>
      </c>
      <c r="C1919" s="1245">
        <v>1</v>
      </c>
      <c r="D1919" s="1272">
        <f>'Prec Materia Prima y Empaq'!$H$162</f>
        <v>100</v>
      </c>
      <c r="E1919" s="1240"/>
      <c r="F1919" s="1241">
        <f t="shared" si="682"/>
        <v>100</v>
      </c>
      <c r="G1919" s="1253">
        <f t="shared" si="683"/>
        <v>42000</v>
      </c>
      <c r="H1919" s="1245">
        <f t="shared" si="684"/>
        <v>420</v>
      </c>
      <c r="I1919" s="1245" t="s">
        <v>453</v>
      </c>
      <c r="K1919" s="1242">
        <f t="shared" si="676"/>
        <v>1</v>
      </c>
      <c r="L1919" s="1243">
        <f t="shared" si="677"/>
        <v>100</v>
      </c>
    </row>
    <row r="1920" spans="1:29" ht="15" customHeight="1" x14ac:dyDescent="0.25">
      <c r="B1920" s="1220" t="s">
        <v>310</v>
      </c>
      <c r="C1920" s="1245">
        <v>1</v>
      </c>
      <c r="D1920" s="1272">
        <f>'Prec Materia Prima y Empaq'!$H$130</f>
        <v>100</v>
      </c>
      <c r="E1920" s="1240">
        <v>0</v>
      </c>
      <c r="F1920" s="1241">
        <f t="shared" si="682"/>
        <v>100</v>
      </c>
      <c r="G1920" s="1253">
        <f t="shared" si="683"/>
        <v>42000</v>
      </c>
      <c r="H1920" s="1245">
        <f t="shared" si="684"/>
        <v>420</v>
      </c>
      <c r="I1920" s="1245" t="s">
        <v>453</v>
      </c>
      <c r="K1920" s="1242">
        <f t="shared" si="676"/>
        <v>1</v>
      </c>
      <c r="L1920" s="1243">
        <f t="shared" si="677"/>
        <v>100</v>
      </c>
    </row>
    <row r="1921" spans="1:12" ht="15" customHeight="1" x14ac:dyDescent="0.25">
      <c r="B1921" s="1245" t="s">
        <v>309</v>
      </c>
      <c r="C1921" s="1245">
        <v>1</v>
      </c>
      <c r="D1921" s="1272">
        <f>'Prec Materia Prima y Empaq'!$H$129</f>
        <v>800</v>
      </c>
      <c r="E1921" s="1240">
        <v>0</v>
      </c>
      <c r="F1921" s="1241">
        <f t="shared" ref="F1921" si="685">+E1921+D1921</f>
        <v>800</v>
      </c>
      <c r="G1921" s="1253">
        <f t="shared" si="683"/>
        <v>336000</v>
      </c>
      <c r="H1921" s="1245">
        <f t="shared" si="684"/>
        <v>420</v>
      </c>
      <c r="I1921" s="1245" t="s">
        <v>453</v>
      </c>
      <c r="K1921" s="1242">
        <f t="shared" si="676"/>
        <v>1</v>
      </c>
      <c r="L1921" s="1243">
        <f t="shared" si="677"/>
        <v>800</v>
      </c>
    </row>
    <row r="1922" spans="1:12" ht="19.5" customHeight="1" thickBot="1" x14ac:dyDescent="0.3">
      <c r="B1922" s="1255"/>
      <c r="C1922" s="857"/>
      <c r="D1922" s="1256"/>
      <c r="E1922" s="1248"/>
      <c r="F1922" s="1257"/>
      <c r="G1922" s="1258">
        <f>SUM(G1906:G1921)/C1900</f>
        <v>2085.0595799300995</v>
      </c>
      <c r="H1922" s="1259" t="s">
        <v>454</v>
      </c>
      <c r="I1922" s="857"/>
      <c r="L1922" s="1260">
        <f>SUM(L1906:L1921)</f>
        <v>2085.0595799301</v>
      </c>
    </row>
    <row r="1923" spans="1:12" ht="15" customHeight="1" thickTop="1" x14ac:dyDescent="0.25">
      <c r="B1923" s="1314" t="s">
        <v>409</v>
      </c>
      <c r="C1923" s="1315"/>
      <c r="D1923" s="1316">
        <f>+'Gtos Varios'!I14</f>
        <v>3672.93</v>
      </c>
      <c r="E1923" s="1315"/>
      <c r="F1923" s="1317">
        <f t="shared" ref="F1923" si="686">+E1923+D1923</f>
        <v>3672.93</v>
      </c>
      <c r="G1923" s="1318">
        <f>F1923</f>
        <v>3672.93</v>
      </c>
      <c r="H1923" s="1315" t="str">
        <f>B1923</f>
        <v xml:space="preserve">GASTOS VARIOS </v>
      </c>
      <c r="I1923" s="1315"/>
    </row>
    <row r="1924" spans="1:12" ht="15" customHeight="1" x14ac:dyDescent="0.25">
      <c r="B1924" s="1255"/>
      <c r="C1924" s="857"/>
      <c r="D1924" s="1256"/>
      <c r="E1924" s="1248"/>
      <c r="F1924" s="1257"/>
      <c r="G1924" s="1266"/>
      <c r="H1924" s="857"/>
      <c r="I1924" s="857"/>
    </row>
    <row r="1925" spans="1:12" ht="15" customHeight="1" x14ac:dyDescent="0.25">
      <c r="B1925" s="1255"/>
      <c r="C1925" s="857"/>
      <c r="D1925" s="1256"/>
      <c r="E1925" s="1248"/>
      <c r="F1925" s="1257"/>
      <c r="G1925" s="1266"/>
      <c r="H1925" s="857"/>
      <c r="I1925" s="857"/>
    </row>
    <row r="1926" spans="1:12" ht="15" customHeight="1" thickBot="1" x14ac:dyDescent="0.3">
      <c r="F1926" s="1267">
        <f>SUM(F1906:F1921)</f>
        <v>448622.01</v>
      </c>
      <c r="G1926" s="1268">
        <f>SUM(G1922:G1923)</f>
        <v>5757.9895799300994</v>
      </c>
      <c r="H1926" s="733" t="s">
        <v>412</v>
      </c>
    </row>
    <row r="1927" spans="1:12" ht="15" customHeight="1" thickTop="1" x14ac:dyDescent="0.25">
      <c r="G1927" s="1295">
        <f>G1926*59%</f>
        <v>3397.2138521587585</v>
      </c>
      <c r="H1927" s="1274">
        <v>0.59</v>
      </c>
      <c r="I1927" s="733" t="s">
        <v>539</v>
      </c>
    </row>
    <row r="1928" spans="1:12" ht="15" customHeight="1" thickBot="1" x14ac:dyDescent="0.3">
      <c r="G1928" s="1270">
        <f>G1926+G1927</f>
        <v>9155.2034320888579</v>
      </c>
      <c r="H1928" s="733" t="s">
        <v>414</v>
      </c>
    </row>
    <row r="1929" spans="1:12" ht="15" customHeight="1" thickTop="1" x14ac:dyDescent="0.25"/>
    <row r="1932" spans="1:12" ht="15" customHeight="1" x14ac:dyDescent="0.25">
      <c r="B1932" s="1222" t="s">
        <v>61</v>
      </c>
      <c r="C1932" s="1219" t="s">
        <v>207</v>
      </c>
      <c r="D1932" s="733"/>
    </row>
    <row r="1933" spans="1:12" ht="15" customHeight="1" x14ac:dyDescent="0.25">
      <c r="A1933" s="1223" t="s">
        <v>718</v>
      </c>
      <c r="B1933" s="1222" t="s">
        <v>62</v>
      </c>
      <c r="C1933" s="1219" t="str">
        <f>VLOOKUP(C1932,LISTPROD[],2,FALSE)</f>
        <v>URODATIVO LT</v>
      </c>
      <c r="D1933" s="733" t="s">
        <v>486</v>
      </c>
      <c r="E1933" s="733" t="s">
        <v>491</v>
      </c>
    </row>
    <row r="1934" spans="1:12" ht="15" customHeight="1" x14ac:dyDescent="0.25">
      <c r="B1934" s="1222" t="s">
        <v>234</v>
      </c>
      <c r="C1934" s="1219" t="str">
        <f>VLOOKUP(C1932,LISTPROD[],9,FALSE)</f>
        <v>1000 ML</v>
      </c>
      <c r="D1934" s="733"/>
    </row>
    <row r="1935" spans="1:12" ht="15" customHeight="1" x14ac:dyDescent="0.25">
      <c r="B1935" s="1222" t="s">
        <v>239</v>
      </c>
      <c r="C1935" s="1224">
        <v>220</v>
      </c>
      <c r="D1935" s="1218"/>
    </row>
    <row r="1936" spans="1:12" ht="15" customHeight="1" x14ac:dyDescent="0.25">
      <c r="B1936" s="1222" t="s">
        <v>240</v>
      </c>
      <c r="C1936" s="1219"/>
      <c r="D1936" s="733"/>
    </row>
    <row r="1937" spans="1:29" ht="15" customHeight="1" x14ac:dyDescent="0.25">
      <c r="B1937" s="1222" t="s">
        <v>238</v>
      </c>
      <c r="C1937" s="733" t="s">
        <v>56</v>
      </c>
      <c r="D1937" s="1218" t="s">
        <v>449</v>
      </c>
    </row>
    <row r="1938" spans="1:29" ht="15" customHeight="1" x14ac:dyDescent="0.25">
      <c r="B1938" s="1225" t="s">
        <v>410</v>
      </c>
      <c r="C1938" s="753">
        <v>1000</v>
      </c>
      <c r="D1938" s="1226"/>
    </row>
    <row r="1939" spans="1:29" ht="15" customHeight="1" x14ac:dyDescent="0.25">
      <c r="A1939" s="1227"/>
      <c r="B1939" s="1436" t="s">
        <v>404</v>
      </c>
      <c r="C1939" s="1436"/>
      <c r="D1939" s="1436"/>
      <c r="E1939" s="1436"/>
      <c r="F1939" s="1436"/>
      <c r="G1939" s="1228"/>
      <c r="H1939" s="1437" t="s">
        <v>416</v>
      </c>
      <c r="I1939" s="1438"/>
    </row>
    <row r="1940" spans="1:29" ht="34.5" customHeight="1" x14ac:dyDescent="0.25">
      <c r="A1940" s="1229"/>
      <c r="B1940" s="1230" t="s">
        <v>398</v>
      </c>
      <c r="C1940" s="1231" t="s">
        <v>441</v>
      </c>
      <c r="D1940" s="1232" t="s">
        <v>399</v>
      </c>
      <c r="E1940" s="1233" t="s">
        <v>402</v>
      </c>
      <c r="F1940" s="1232" t="s">
        <v>399</v>
      </c>
      <c r="G1940" s="1232" t="s">
        <v>411</v>
      </c>
      <c r="H1940" s="1234" t="s">
        <v>408</v>
      </c>
      <c r="I1940" s="1235" t="s">
        <v>415</v>
      </c>
      <c r="K1940" s="1236" t="s">
        <v>603</v>
      </c>
      <c r="L1940" s="1237" t="s">
        <v>604</v>
      </c>
    </row>
    <row r="1941" spans="1:29" ht="15" customHeight="1" x14ac:dyDescent="0.25">
      <c r="A1941" s="1238"/>
      <c r="B1941" s="1228" t="s">
        <v>248</v>
      </c>
      <c r="C1941" s="1228">
        <v>1000</v>
      </c>
      <c r="D1941" s="1239">
        <f>'Prec Materia Prima y Empaq'!$H$21</f>
        <v>15400</v>
      </c>
      <c r="E1941" s="1240">
        <f>D1941*19%</f>
        <v>2926</v>
      </c>
      <c r="F1941" s="1241">
        <f>+E1941+D1941</f>
        <v>18326</v>
      </c>
      <c r="G1941" s="1240">
        <f>F1941/C1941*H1941</f>
        <v>16493.400000000001</v>
      </c>
      <c r="H1941" s="1242">
        <v>900</v>
      </c>
      <c r="I1941" s="1228" t="s">
        <v>450</v>
      </c>
      <c r="K1941" s="1242">
        <f>H1941/$C$1935</f>
        <v>4.0909090909090908</v>
      </c>
      <c r="L1941" s="1243">
        <f>F1941/C1941*K1941</f>
        <v>74.97</v>
      </c>
    </row>
    <row r="1942" spans="1:29" ht="15" customHeight="1" x14ac:dyDescent="0.25">
      <c r="A1942" s="1238"/>
      <c r="B1942" s="1228" t="s">
        <v>443</v>
      </c>
      <c r="C1942" s="1228">
        <v>1000</v>
      </c>
      <c r="D1942" s="1239">
        <f>'Prec Materia Prima y Empaq'!$H$11</f>
        <v>8000</v>
      </c>
      <c r="E1942" s="1240">
        <f t="shared" ref="E1942:E1948" si="687">D1942*19%</f>
        <v>1520</v>
      </c>
      <c r="F1942" s="1241">
        <f t="shared" ref="F1942:F1949" si="688">+E1942+D1942</f>
        <v>9520</v>
      </c>
      <c r="G1942" s="1240">
        <f t="shared" ref="G1942:G1948" si="689">F1942/C1942*H1942</f>
        <v>5712</v>
      </c>
      <c r="H1942" s="1242">
        <v>600</v>
      </c>
      <c r="I1942" s="1228" t="s">
        <v>450</v>
      </c>
      <c r="K1942" s="1242">
        <f t="shared" ref="K1942:K1952" si="690">H1942/$C$1935</f>
        <v>2.7272727272727271</v>
      </c>
      <c r="L1942" s="1243">
        <f t="shared" ref="L1942:L1952" si="691">F1942/C1942*K1942</f>
        <v>25.963636363636361</v>
      </c>
    </row>
    <row r="1943" spans="1:29" ht="15" customHeight="1" x14ac:dyDescent="0.25">
      <c r="A1943" s="1238"/>
      <c r="B1943" s="1228" t="s">
        <v>253</v>
      </c>
      <c r="C1943" s="1228">
        <v>1000</v>
      </c>
      <c r="D1943" s="1239">
        <f>'Prec Materia Prima y Empaq'!$H$9</f>
        <v>5400</v>
      </c>
      <c r="E1943" s="1240">
        <f t="shared" si="687"/>
        <v>1026</v>
      </c>
      <c r="F1943" s="1241">
        <f t="shared" si="688"/>
        <v>6426</v>
      </c>
      <c r="G1943" s="1240">
        <f t="shared" si="689"/>
        <v>6426</v>
      </c>
      <c r="H1943" s="1242">
        <v>1000</v>
      </c>
      <c r="I1943" s="1228" t="s">
        <v>450</v>
      </c>
      <c r="K1943" s="1242">
        <f t="shared" si="690"/>
        <v>4.5454545454545459</v>
      </c>
      <c r="L1943" s="1243">
        <f t="shared" si="691"/>
        <v>29.209090909090911</v>
      </c>
    </row>
    <row r="1944" spans="1:29" ht="15" customHeight="1" x14ac:dyDescent="0.25">
      <c r="A1944" s="1238"/>
      <c r="B1944" s="1228" t="s">
        <v>255</v>
      </c>
      <c r="C1944" s="1228">
        <v>1000</v>
      </c>
      <c r="D1944" s="1239">
        <f>'Prec Materia Prima y Empaq'!$H$26</f>
        <v>45404</v>
      </c>
      <c r="E1944" s="1240">
        <f t="shared" si="687"/>
        <v>8626.76</v>
      </c>
      <c r="F1944" s="1241">
        <f t="shared" si="688"/>
        <v>54030.76</v>
      </c>
      <c r="G1944" s="1240">
        <f t="shared" si="689"/>
        <v>8104.6140000000005</v>
      </c>
      <c r="H1944" s="1242">
        <v>150</v>
      </c>
      <c r="I1944" s="1228" t="s">
        <v>450</v>
      </c>
      <c r="K1944" s="1242">
        <f t="shared" si="690"/>
        <v>0.68181818181818177</v>
      </c>
      <c r="L1944" s="1243">
        <f t="shared" si="691"/>
        <v>36.839154545454541</v>
      </c>
    </row>
    <row r="1945" spans="1:29" ht="15" customHeight="1" x14ac:dyDescent="0.25">
      <c r="A1945" s="1238"/>
      <c r="B1945" s="1228" t="s">
        <v>382</v>
      </c>
      <c r="C1945" s="1228">
        <v>3785</v>
      </c>
      <c r="D1945" s="1239">
        <f>'Prec Materia Prima y Empaq'!$H$18</f>
        <v>24</v>
      </c>
      <c r="E1945" s="1240">
        <f t="shared" si="687"/>
        <v>4.5600000000000005</v>
      </c>
      <c r="F1945" s="1241">
        <f t="shared" si="688"/>
        <v>28.560000000000002</v>
      </c>
      <c r="G1945" s="1240">
        <f t="shared" si="689"/>
        <v>0.37727873183619554</v>
      </c>
      <c r="H1945" s="1242">
        <v>50</v>
      </c>
      <c r="I1945" s="1228" t="s">
        <v>450</v>
      </c>
      <c r="K1945" s="1242">
        <f t="shared" si="690"/>
        <v>0.22727272727272727</v>
      </c>
      <c r="L1945" s="1243">
        <f t="shared" si="691"/>
        <v>1.7149033265281615E-3</v>
      </c>
    </row>
    <row r="1946" spans="1:29" ht="15" customHeight="1" x14ac:dyDescent="0.25">
      <c r="A1946" s="1238"/>
      <c r="B1946" s="1228" t="s">
        <v>262</v>
      </c>
      <c r="C1946" s="1228">
        <v>1000</v>
      </c>
      <c r="D1946" s="1273">
        <f>'Prec Materia Prima y Empaq'!$H$55</f>
        <v>50522</v>
      </c>
      <c r="E1946" s="1240">
        <f t="shared" si="687"/>
        <v>9599.18</v>
      </c>
      <c r="F1946" s="1241">
        <f t="shared" si="688"/>
        <v>60121.18</v>
      </c>
      <c r="G1946" s="1240">
        <f t="shared" si="689"/>
        <v>6012.1180000000004</v>
      </c>
      <c r="H1946" s="1242">
        <v>100</v>
      </c>
      <c r="I1946" s="1228" t="s">
        <v>450</v>
      </c>
      <c r="K1946" s="1242">
        <f t="shared" si="690"/>
        <v>0.45454545454545453</v>
      </c>
      <c r="L1946" s="1243">
        <f t="shared" si="691"/>
        <v>27.327809090909092</v>
      </c>
    </row>
    <row r="1947" spans="1:29" ht="15" customHeight="1" x14ac:dyDescent="0.25">
      <c r="A1947" s="1238"/>
      <c r="B1947" s="1228" t="s">
        <v>246</v>
      </c>
      <c r="C1947" s="1228">
        <v>1000</v>
      </c>
      <c r="D1947" s="1239">
        <f>'Prec Materia Prima y Empaq'!$H$41</f>
        <v>80268</v>
      </c>
      <c r="E1947" s="1240">
        <f t="shared" si="687"/>
        <v>15250.92</v>
      </c>
      <c r="F1947" s="1241">
        <f t="shared" si="688"/>
        <v>95518.92</v>
      </c>
      <c r="G1947" s="1240">
        <f t="shared" si="689"/>
        <v>1910.3783999999998</v>
      </c>
      <c r="H1947" s="1242">
        <v>20</v>
      </c>
      <c r="I1947" s="1228" t="s">
        <v>450</v>
      </c>
      <c r="K1947" s="1242">
        <f t="shared" si="690"/>
        <v>9.0909090909090912E-2</v>
      </c>
      <c r="L1947" s="1243">
        <f t="shared" si="691"/>
        <v>8.6835381818181823</v>
      </c>
    </row>
    <row r="1948" spans="1:29" ht="15" customHeight="1" x14ac:dyDescent="0.25">
      <c r="A1948" s="1238"/>
      <c r="B1948" s="1228" t="s">
        <v>261</v>
      </c>
      <c r="C1948" s="1228">
        <v>1000</v>
      </c>
      <c r="D1948" s="1239">
        <f>'Prec Materia Prima y Empaq'!$H$12</f>
        <v>4700</v>
      </c>
      <c r="E1948" s="1240">
        <f t="shared" si="687"/>
        <v>893</v>
      </c>
      <c r="F1948" s="1241">
        <f t="shared" si="688"/>
        <v>5593</v>
      </c>
      <c r="G1948" s="1240">
        <f t="shared" si="689"/>
        <v>1118.5999999999999</v>
      </c>
      <c r="H1948" s="1228">
        <v>200</v>
      </c>
      <c r="I1948" s="1228" t="s">
        <v>450</v>
      </c>
      <c r="K1948" s="1242">
        <f t="shared" si="690"/>
        <v>0.90909090909090906</v>
      </c>
      <c r="L1948" s="1243">
        <f t="shared" si="691"/>
        <v>5.084545454545454</v>
      </c>
    </row>
    <row r="1949" spans="1:29" ht="31.5" customHeight="1" x14ac:dyDescent="0.25">
      <c r="B1949" s="1220" t="s">
        <v>247</v>
      </c>
      <c r="C1949" s="1228">
        <v>1000</v>
      </c>
      <c r="D1949" s="1244">
        <f>'Prec Materia Prima y Empaq'!$H$7</f>
        <v>50000</v>
      </c>
      <c r="E1949" s="1240">
        <v>0</v>
      </c>
      <c r="F1949" s="1241">
        <f t="shared" si="688"/>
        <v>50000</v>
      </c>
      <c r="G1949" s="1240">
        <f>F1949/C1949*H1949</f>
        <v>32.022471910112351</v>
      </c>
      <c r="H1949" s="1245">
        <v>0.64044943820224698</v>
      </c>
      <c r="I1949" s="1245" t="s">
        <v>453</v>
      </c>
      <c r="K1949" s="1242">
        <f t="shared" si="690"/>
        <v>2.9111338100102136E-3</v>
      </c>
      <c r="L1949" s="1243">
        <f t="shared" si="691"/>
        <v>0.14555669050051068</v>
      </c>
      <c r="N1949" s="1220" t="s">
        <v>247</v>
      </c>
      <c r="O1949" s="1247">
        <v>1</v>
      </c>
      <c r="P1949" s="1240">
        <f>$F$391/$C$391*$O$391</f>
        <v>50</v>
      </c>
      <c r="Q1949" s="1248"/>
      <c r="R1949" s="1249" t="e">
        <f>P1949/O1938</f>
        <v>#DIV/0!</v>
      </c>
      <c r="S1949" s="1248" t="e">
        <f>R1949*1000</f>
        <v>#DIV/0!</v>
      </c>
      <c r="T1949" s="1250">
        <f>O1949/$O$380*1000</f>
        <v>2.5641025641025641E-3</v>
      </c>
      <c r="U1949" s="1238">
        <f>T1949*$M$380</f>
        <v>1</v>
      </c>
      <c r="Y1949" s="1238"/>
      <c r="Z1949" s="1238"/>
      <c r="AA1949" s="1251"/>
      <c r="AC1949" s="1252"/>
    </row>
    <row r="1950" spans="1:29" ht="30.75" customHeight="1" x14ac:dyDescent="0.25">
      <c r="B1950" s="1220" t="s">
        <v>494</v>
      </c>
      <c r="C1950" s="1220">
        <v>1</v>
      </c>
      <c r="D1950" s="1244">
        <f>'Prec Materia Prima y Empaq'!$H$141</f>
        <v>1500</v>
      </c>
      <c r="E1950" s="1240">
        <v>0</v>
      </c>
      <c r="F1950" s="1241">
        <f t="shared" ref="F1950:F1952" si="692">+E1950+D1950</f>
        <v>1500</v>
      </c>
      <c r="G1950" s="1253">
        <f t="shared" ref="G1950:G1952" si="693">F1950*H1950</f>
        <v>330000</v>
      </c>
      <c r="H1950" s="1245">
        <f>$C$1935</f>
        <v>220</v>
      </c>
      <c r="I1950" s="1228" t="s">
        <v>450</v>
      </c>
      <c r="K1950" s="1242">
        <f t="shared" si="690"/>
        <v>1</v>
      </c>
      <c r="L1950" s="1243">
        <f t="shared" si="691"/>
        <v>1500</v>
      </c>
    </row>
    <row r="1951" spans="1:29" ht="54.75" customHeight="1" x14ac:dyDescent="0.25">
      <c r="B1951" s="1220" t="s">
        <v>695</v>
      </c>
      <c r="C1951" s="1220">
        <v>1</v>
      </c>
      <c r="D1951" s="1272">
        <f>'Prec Materia Prima y Empaq'!$H$161</f>
        <v>300</v>
      </c>
      <c r="E1951" s="1240">
        <v>0</v>
      </c>
      <c r="F1951" s="1241">
        <f t="shared" si="692"/>
        <v>300</v>
      </c>
      <c r="G1951" s="1253">
        <f t="shared" si="693"/>
        <v>66000</v>
      </c>
      <c r="H1951" s="1245">
        <f t="shared" ref="H1951:H1952" si="694">$C$1935</f>
        <v>220</v>
      </c>
      <c r="I1951" s="1245" t="s">
        <v>453</v>
      </c>
      <c r="K1951" s="1242">
        <f t="shared" si="690"/>
        <v>1</v>
      </c>
      <c r="L1951" s="1243">
        <f t="shared" si="691"/>
        <v>300</v>
      </c>
    </row>
    <row r="1952" spans="1:29" ht="15" customHeight="1" x14ac:dyDescent="0.25">
      <c r="B1952" s="1254" t="s">
        <v>310</v>
      </c>
      <c r="C1952" s="1245">
        <v>1</v>
      </c>
      <c r="D1952" s="1244">
        <f>'Prec Materia Prima y Empaq'!$H$130</f>
        <v>100</v>
      </c>
      <c r="E1952" s="1240">
        <v>0</v>
      </c>
      <c r="F1952" s="1241">
        <f t="shared" si="692"/>
        <v>100</v>
      </c>
      <c r="G1952" s="1253">
        <f t="shared" si="693"/>
        <v>22000</v>
      </c>
      <c r="H1952" s="1245">
        <f t="shared" si="694"/>
        <v>220</v>
      </c>
      <c r="I1952" s="1245" t="s">
        <v>453</v>
      </c>
      <c r="K1952" s="1242">
        <f t="shared" si="690"/>
        <v>1</v>
      </c>
      <c r="L1952" s="1243">
        <f t="shared" si="691"/>
        <v>100</v>
      </c>
    </row>
    <row r="1953" spans="1:12" ht="19.5" customHeight="1" thickBot="1" x14ac:dyDescent="0.3">
      <c r="B1953" s="1255"/>
      <c r="C1953" s="857"/>
      <c r="D1953" s="1256"/>
      <c r="E1953" s="1248"/>
      <c r="F1953" s="1257"/>
      <c r="G1953" s="1258">
        <f>SUM(G1941:G1952)/C1935</f>
        <v>2108.2250461392819</v>
      </c>
      <c r="H1953" s="1259" t="s">
        <v>454</v>
      </c>
      <c r="I1953" s="857"/>
      <c r="L1953" s="1260">
        <f>SUM(L1941:L1952)</f>
        <v>2108.2250461392814</v>
      </c>
    </row>
    <row r="1954" spans="1:12" ht="15" customHeight="1" thickTop="1" x14ac:dyDescent="0.25">
      <c r="B1954" s="1314" t="s">
        <v>409</v>
      </c>
      <c r="C1954" s="1315"/>
      <c r="D1954" s="1316">
        <f>+'Gtos Varios'!I14</f>
        <v>3672.93</v>
      </c>
      <c r="E1954" s="1315"/>
      <c r="F1954" s="1317">
        <f t="shared" ref="F1954" si="695">+E1954+D1954</f>
        <v>3672.93</v>
      </c>
      <c r="G1954" s="1318">
        <f>F1954</f>
        <v>3672.93</v>
      </c>
      <c r="H1954" s="1315" t="str">
        <f>B1954</f>
        <v xml:space="preserve">GASTOS VARIOS </v>
      </c>
      <c r="I1954" s="1315"/>
      <c r="J1954" s="1315"/>
    </row>
    <row r="1955" spans="1:12" ht="15" customHeight="1" x14ac:dyDescent="0.25">
      <c r="B1955" s="1324"/>
      <c r="C1955" s="1315"/>
      <c r="D1955" s="1316"/>
      <c r="E1955" s="1325"/>
      <c r="F1955" s="1318"/>
      <c r="G1955" s="1325"/>
      <c r="H1955" s="1315"/>
      <c r="I1955" s="1315"/>
      <c r="J1955" s="1315"/>
    </row>
    <row r="1956" spans="1:12" ht="15" customHeight="1" x14ac:dyDescent="0.25">
      <c r="B1956" s="1255"/>
      <c r="C1956" s="857"/>
      <c r="D1956" s="1256"/>
      <c r="E1956" s="1248"/>
      <c r="F1956" s="1257"/>
      <c r="G1956" s="1266"/>
      <c r="H1956" s="857"/>
      <c r="I1956" s="857"/>
    </row>
    <row r="1957" spans="1:12" ht="15" customHeight="1" thickBot="1" x14ac:dyDescent="0.3">
      <c r="F1957" s="1267">
        <f>SUM(F1941:F1952)</f>
        <v>301464.42</v>
      </c>
      <c r="G1957" s="1268">
        <f>SUM(G1953:G1954)</f>
        <v>5781.1550461392817</v>
      </c>
      <c r="H1957" s="733" t="s">
        <v>412</v>
      </c>
    </row>
    <row r="1958" spans="1:12" ht="15" customHeight="1" thickTop="1" x14ac:dyDescent="0.25">
      <c r="G1958" s="1295">
        <f>G1957*58%</f>
        <v>3353.0699267607833</v>
      </c>
      <c r="H1958" s="1274">
        <v>0.57999999999999996</v>
      </c>
      <c r="I1958" s="733" t="s">
        <v>539</v>
      </c>
    </row>
    <row r="1959" spans="1:12" ht="15" customHeight="1" thickBot="1" x14ac:dyDescent="0.3">
      <c r="G1959" s="1270">
        <f>G1957+G1958</f>
        <v>9134.224972900065</v>
      </c>
      <c r="H1959" s="733" t="s">
        <v>414</v>
      </c>
    </row>
    <row r="1960" spans="1:12" ht="15" customHeight="1" thickTop="1" x14ac:dyDescent="0.25"/>
    <row r="1963" spans="1:12" ht="15" customHeight="1" x14ac:dyDescent="0.25">
      <c r="B1963" s="1222" t="s">
        <v>61</v>
      </c>
      <c r="C1963" s="1219" t="s">
        <v>209</v>
      </c>
      <c r="D1963" s="733"/>
    </row>
    <row r="1964" spans="1:12" ht="15" customHeight="1" x14ac:dyDescent="0.25">
      <c r="A1964" s="1223" t="s">
        <v>718</v>
      </c>
      <c r="B1964" s="1222" t="s">
        <v>62</v>
      </c>
      <c r="C1964" s="1219" t="str">
        <f>VLOOKUP(C1963,LISTPROD[],2,FALSE)</f>
        <v>VENOFLEX LT</v>
      </c>
      <c r="D1964" s="733" t="s">
        <v>690</v>
      </c>
      <c r="E1964" s="733" t="s">
        <v>491</v>
      </c>
    </row>
    <row r="1965" spans="1:12" ht="15" customHeight="1" x14ac:dyDescent="0.25">
      <c r="B1965" s="1222" t="s">
        <v>234</v>
      </c>
      <c r="C1965" s="1219" t="str">
        <f>VLOOKUP(C1963,LISTPROD[],9,FALSE)</f>
        <v>1000 ML</v>
      </c>
      <c r="D1965" s="733"/>
    </row>
    <row r="1966" spans="1:12" ht="15" customHeight="1" x14ac:dyDescent="0.25">
      <c r="B1966" s="1222" t="s">
        <v>239</v>
      </c>
      <c r="C1966" s="1224">
        <v>220</v>
      </c>
      <c r="D1966" s="1218"/>
    </row>
    <row r="1967" spans="1:12" ht="15" customHeight="1" x14ac:dyDescent="0.25">
      <c r="B1967" s="1222" t="s">
        <v>238</v>
      </c>
      <c r="C1967" s="733" t="s">
        <v>56</v>
      </c>
      <c r="D1967" s="1218" t="s">
        <v>449</v>
      </c>
    </row>
    <row r="1968" spans="1:12" ht="15" customHeight="1" x14ac:dyDescent="0.25">
      <c r="B1968" s="1225" t="s">
        <v>410</v>
      </c>
      <c r="C1968" s="753">
        <v>1000</v>
      </c>
      <c r="D1968" s="1226"/>
    </row>
    <row r="1969" spans="1:29" ht="28.5" customHeight="1" x14ac:dyDescent="0.25">
      <c r="A1969" s="1227"/>
      <c r="B1969" s="1436" t="s">
        <v>404</v>
      </c>
      <c r="C1969" s="1436"/>
      <c r="D1969" s="1436"/>
      <c r="E1969" s="1436"/>
      <c r="F1969" s="1436"/>
      <c r="G1969" s="1228"/>
      <c r="H1969" s="1437" t="s">
        <v>416</v>
      </c>
      <c r="I1969" s="1438"/>
    </row>
    <row r="1970" spans="1:29" ht="34.5" customHeight="1" x14ac:dyDescent="0.25">
      <c r="A1970" s="1229"/>
      <c r="B1970" s="1230" t="s">
        <v>398</v>
      </c>
      <c r="C1970" s="1231" t="s">
        <v>441</v>
      </c>
      <c r="D1970" s="1232" t="s">
        <v>399</v>
      </c>
      <c r="E1970" s="1233" t="s">
        <v>402</v>
      </c>
      <c r="F1970" s="1232" t="s">
        <v>399</v>
      </c>
      <c r="G1970" s="1232" t="s">
        <v>411</v>
      </c>
      <c r="H1970" s="1234" t="s">
        <v>408</v>
      </c>
      <c r="I1970" s="1235" t="s">
        <v>415</v>
      </c>
      <c r="K1970" s="1236" t="s">
        <v>603</v>
      </c>
      <c r="L1970" s="1237" t="s">
        <v>604</v>
      </c>
    </row>
    <row r="1971" spans="1:29" ht="15" customHeight="1" x14ac:dyDescent="0.25">
      <c r="A1971" s="1238"/>
      <c r="B1971" s="1228" t="s">
        <v>248</v>
      </c>
      <c r="C1971" s="1228">
        <v>1000</v>
      </c>
      <c r="D1971" s="1239">
        <f>'Prec Materia Prima y Empaq'!$H$21</f>
        <v>15400</v>
      </c>
      <c r="E1971" s="1240">
        <f>D1971*19%</f>
        <v>2926</v>
      </c>
      <c r="F1971" s="1241">
        <f>+E1971+D1971</f>
        <v>18326</v>
      </c>
      <c r="G1971" s="1240">
        <f>F1971/C1971*H1971</f>
        <v>16493.400000000001</v>
      </c>
      <c r="H1971" s="1242">
        <v>900</v>
      </c>
      <c r="I1971" s="1228" t="s">
        <v>450</v>
      </c>
      <c r="K1971" s="1242">
        <f>H1971/$C$1966</f>
        <v>4.0909090909090908</v>
      </c>
      <c r="L1971" s="1243">
        <f>F1971/C1971*K1971</f>
        <v>74.97</v>
      </c>
    </row>
    <row r="1972" spans="1:29" ht="15" customHeight="1" x14ac:dyDescent="0.25">
      <c r="A1972" s="1238"/>
      <c r="B1972" s="1228" t="s">
        <v>443</v>
      </c>
      <c r="C1972" s="1228">
        <v>1000</v>
      </c>
      <c r="D1972" s="1239">
        <f>'Prec Materia Prima y Empaq'!$H$11</f>
        <v>8000</v>
      </c>
      <c r="E1972" s="1240">
        <f t="shared" ref="E1972:E1977" si="696">D1972*19%</f>
        <v>1520</v>
      </c>
      <c r="F1972" s="1241">
        <f t="shared" ref="F1972:F1981" si="697">+E1972+D1972</f>
        <v>9520</v>
      </c>
      <c r="G1972" s="1240">
        <f t="shared" ref="G1972:G1977" si="698">F1972/C1972*H1972</f>
        <v>5712</v>
      </c>
      <c r="H1972" s="1242">
        <v>600</v>
      </c>
      <c r="I1972" s="1228" t="s">
        <v>450</v>
      </c>
      <c r="K1972" s="1242">
        <f t="shared" ref="K1972:K1981" si="699">H1972/$C$1966</f>
        <v>2.7272727272727271</v>
      </c>
      <c r="L1972" s="1243">
        <f t="shared" ref="L1972:L1981" si="700">F1972/C1972*K1972</f>
        <v>25.963636363636361</v>
      </c>
    </row>
    <row r="1973" spans="1:29" ht="15" customHeight="1" x14ac:dyDescent="0.25">
      <c r="A1973" s="1238"/>
      <c r="B1973" s="1228" t="s">
        <v>253</v>
      </c>
      <c r="C1973" s="1228">
        <v>1000</v>
      </c>
      <c r="D1973" s="1239">
        <f>'Prec Materia Prima y Empaq'!$H$9</f>
        <v>5400</v>
      </c>
      <c r="E1973" s="1240">
        <f t="shared" si="696"/>
        <v>1026</v>
      </c>
      <c r="F1973" s="1241">
        <f t="shared" si="697"/>
        <v>6426</v>
      </c>
      <c r="G1973" s="1240">
        <f t="shared" si="698"/>
        <v>3213</v>
      </c>
      <c r="H1973" s="1242">
        <v>500</v>
      </c>
      <c r="I1973" s="1228"/>
      <c r="K1973" s="1242">
        <f>H1973/$C$1966</f>
        <v>2.2727272727272729</v>
      </c>
      <c r="L1973" s="1243">
        <f t="shared" si="700"/>
        <v>14.604545454545455</v>
      </c>
    </row>
    <row r="1974" spans="1:29" ht="15" customHeight="1" x14ac:dyDescent="0.25">
      <c r="A1974" s="1238"/>
      <c r="B1974" s="1228" t="s">
        <v>382</v>
      </c>
      <c r="C1974" s="1228">
        <v>3785</v>
      </c>
      <c r="D1974" s="1239">
        <f>'Prec Materia Prima y Empaq'!$H$18</f>
        <v>24</v>
      </c>
      <c r="E1974" s="1240">
        <f t="shared" si="696"/>
        <v>4.5600000000000005</v>
      </c>
      <c r="F1974" s="1240">
        <f t="shared" si="697"/>
        <v>28.560000000000002</v>
      </c>
      <c r="G1974" s="1240">
        <f>F1974/C1974*H1974</f>
        <v>0.37727873183619554</v>
      </c>
      <c r="H1974" s="1242">
        <v>50</v>
      </c>
      <c r="I1974" s="1228" t="s">
        <v>450</v>
      </c>
      <c r="K1974" s="1242">
        <f t="shared" si="699"/>
        <v>0.22727272727272727</v>
      </c>
      <c r="L1974" s="1243">
        <f t="shared" si="700"/>
        <v>1.7149033265281615E-3</v>
      </c>
    </row>
    <row r="1975" spans="1:29" ht="15" customHeight="1" x14ac:dyDescent="0.25">
      <c r="A1975" s="1238"/>
      <c r="B1975" s="1228" t="s">
        <v>246</v>
      </c>
      <c r="C1975" s="1228">
        <v>1000</v>
      </c>
      <c r="D1975" s="1239">
        <f>'Prec Materia Prima y Empaq'!$H$41</f>
        <v>80268</v>
      </c>
      <c r="E1975" s="1240">
        <f t="shared" si="696"/>
        <v>15250.92</v>
      </c>
      <c r="F1975" s="1241">
        <f t="shared" si="697"/>
        <v>95518.92</v>
      </c>
      <c r="G1975" s="1240">
        <f t="shared" si="698"/>
        <v>1910.3783999999998</v>
      </c>
      <c r="H1975" s="1242">
        <v>20</v>
      </c>
      <c r="I1975" s="1228" t="s">
        <v>450</v>
      </c>
      <c r="K1975" s="1242">
        <f t="shared" si="699"/>
        <v>9.0909090909090912E-2</v>
      </c>
      <c r="L1975" s="1243">
        <f t="shared" si="700"/>
        <v>8.6835381818181823</v>
      </c>
    </row>
    <row r="1976" spans="1:29" ht="15" customHeight="1" x14ac:dyDescent="0.25">
      <c r="A1976" s="1238"/>
      <c r="B1976" s="1228" t="s">
        <v>262</v>
      </c>
      <c r="C1976" s="1228">
        <v>1000</v>
      </c>
      <c r="D1976" s="1239">
        <f>'Prec Materia Prima y Empaq'!$H$55</f>
        <v>50522</v>
      </c>
      <c r="E1976" s="1240">
        <f t="shared" si="696"/>
        <v>9599.18</v>
      </c>
      <c r="F1976" s="1241">
        <f t="shared" si="697"/>
        <v>60121.18</v>
      </c>
      <c r="G1976" s="1240">
        <f t="shared" si="698"/>
        <v>6012.1180000000004</v>
      </c>
      <c r="H1976" s="1228">
        <v>100</v>
      </c>
      <c r="I1976" s="1228" t="s">
        <v>450</v>
      </c>
      <c r="K1976" s="1242">
        <f t="shared" si="699"/>
        <v>0.45454545454545453</v>
      </c>
      <c r="L1976" s="1243">
        <f t="shared" si="700"/>
        <v>27.327809090909092</v>
      </c>
    </row>
    <row r="1977" spans="1:29" ht="15" customHeight="1" x14ac:dyDescent="0.25">
      <c r="A1977" s="1238"/>
      <c r="B1977" s="1228" t="s">
        <v>261</v>
      </c>
      <c r="C1977" s="1228">
        <v>1000</v>
      </c>
      <c r="D1977" s="1239">
        <f>'Preci Comp Prod'!$E$13</f>
        <v>4700</v>
      </c>
      <c r="E1977" s="1240">
        <f t="shared" si="696"/>
        <v>893</v>
      </c>
      <c r="F1977" s="1241">
        <f t="shared" si="697"/>
        <v>5593</v>
      </c>
      <c r="G1977" s="1240">
        <f t="shared" si="698"/>
        <v>1118.5999999999999</v>
      </c>
      <c r="H1977" s="1228">
        <v>200</v>
      </c>
      <c r="I1977" s="1228" t="s">
        <v>450</v>
      </c>
      <c r="K1977" s="1242">
        <f t="shared" si="699"/>
        <v>0.90909090909090906</v>
      </c>
      <c r="L1977" s="1243">
        <f t="shared" si="700"/>
        <v>5.084545454545454</v>
      </c>
    </row>
    <row r="1978" spans="1:29" ht="31.5" customHeight="1" x14ac:dyDescent="0.25">
      <c r="B1978" s="1220" t="s">
        <v>247</v>
      </c>
      <c r="C1978" s="1228">
        <v>1000</v>
      </c>
      <c r="D1978" s="1244">
        <f>'Prec Materia Prima y Empaq'!$H$7</f>
        <v>50000</v>
      </c>
      <c r="E1978" s="1240">
        <v>0</v>
      </c>
      <c r="F1978" s="1241">
        <f t="shared" si="697"/>
        <v>50000</v>
      </c>
      <c r="G1978" s="1240">
        <f>F1978/C1978*H1978</f>
        <v>32.022471910112351</v>
      </c>
      <c r="H1978" s="1245">
        <v>0.64044943820224698</v>
      </c>
      <c r="I1978" s="1245" t="s">
        <v>453</v>
      </c>
      <c r="K1978" s="1242">
        <f t="shared" ref="K1978" si="701">H1978/$C$1935</f>
        <v>2.9111338100102136E-3</v>
      </c>
      <c r="L1978" s="1243">
        <f t="shared" si="700"/>
        <v>0.14555669050051068</v>
      </c>
      <c r="N1978" s="1220" t="s">
        <v>247</v>
      </c>
      <c r="O1978" s="1247">
        <v>1</v>
      </c>
      <c r="P1978" s="1240">
        <f>$F$391/$C$391*$O$391</f>
        <v>50</v>
      </c>
      <c r="Q1978" s="1248"/>
      <c r="R1978" s="1249" t="e">
        <f>P1978/O1967</f>
        <v>#DIV/0!</v>
      </c>
      <c r="S1978" s="1248" t="e">
        <f>R1978*1000</f>
        <v>#DIV/0!</v>
      </c>
      <c r="T1978" s="1250">
        <f>O1978/$O$380*1000</f>
        <v>2.5641025641025641E-3</v>
      </c>
      <c r="U1978" s="1238">
        <f>T1978*$M$380</f>
        <v>1</v>
      </c>
      <c r="Y1978" s="1238"/>
      <c r="Z1978" s="1238"/>
      <c r="AA1978" s="1251"/>
      <c r="AC1978" s="1252"/>
    </row>
    <row r="1979" spans="1:29" ht="15" customHeight="1" x14ac:dyDescent="0.25">
      <c r="A1979" s="1238"/>
      <c r="B1979" s="1220" t="s">
        <v>494</v>
      </c>
      <c r="C1979" s="1220">
        <v>1</v>
      </c>
      <c r="D1979" s="1244">
        <f>'Prec Materia Prima y Empaq'!$H$141</f>
        <v>1500</v>
      </c>
      <c r="E1979" s="1240">
        <v>0</v>
      </c>
      <c r="F1979" s="1241">
        <f t="shared" si="697"/>
        <v>1500</v>
      </c>
      <c r="G1979" s="1253">
        <f t="shared" ref="G1979:G1981" si="702">F1979*H1979</f>
        <v>330000</v>
      </c>
      <c r="H1979" s="1228">
        <f t="shared" ref="H1979:H1981" si="703">$C$1966</f>
        <v>220</v>
      </c>
      <c r="I1979" s="1228" t="s">
        <v>450</v>
      </c>
      <c r="K1979" s="1242">
        <f t="shared" si="699"/>
        <v>1</v>
      </c>
      <c r="L1979" s="1243">
        <f t="shared" si="700"/>
        <v>1500</v>
      </c>
    </row>
    <row r="1980" spans="1:29" ht="58.5" customHeight="1" x14ac:dyDescent="0.25">
      <c r="A1980" s="1238"/>
      <c r="B1980" s="1220" t="s">
        <v>695</v>
      </c>
      <c r="C1980" s="1220">
        <v>1</v>
      </c>
      <c r="D1980" s="1272">
        <f>'Prec Materia Prima y Empaq'!$H$161</f>
        <v>300</v>
      </c>
      <c r="E1980" s="1240">
        <v>0</v>
      </c>
      <c r="F1980" s="1241">
        <f t="shared" si="697"/>
        <v>300</v>
      </c>
      <c r="G1980" s="1253">
        <f t="shared" si="702"/>
        <v>66000</v>
      </c>
      <c r="H1980" s="1228">
        <f t="shared" si="703"/>
        <v>220</v>
      </c>
      <c r="I1980" s="1245" t="s">
        <v>453</v>
      </c>
      <c r="K1980" s="1242">
        <f t="shared" si="699"/>
        <v>1</v>
      </c>
      <c r="L1980" s="1243">
        <f t="shared" si="700"/>
        <v>300</v>
      </c>
    </row>
    <row r="1981" spans="1:29" ht="30.75" customHeight="1" x14ac:dyDescent="0.25">
      <c r="B1981" s="1254" t="s">
        <v>310</v>
      </c>
      <c r="C1981" s="1245">
        <v>1</v>
      </c>
      <c r="D1981" s="1244">
        <f>'Prec Materia Prima y Empaq'!$H$130</f>
        <v>100</v>
      </c>
      <c r="E1981" s="1240">
        <v>0</v>
      </c>
      <c r="F1981" s="1241">
        <f t="shared" si="697"/>
        <v>100</v>
      </c>
      <c r="G1981" s="1253">
        <f t="shared" si="702"/>
        <v>22000</v>
      </c>
      <c r="H1981" s="1228">
        <f t="shared" si="703"/>
        <v>220</v>
      </c>
      <c r="I1981" s="1245" t="s">
        <v>453</v>
      </c>
      <c r="K1981" s="1242">
        <f t="shared" si="699"/>
        <v>1</v>
      </c>
      <c r="L1981" s="1243">
        <f t="shared" si="700"/>
        <v>100</v>
      </c>
    </row>
    <row r="1982" spans="1:29" ht="19.5" customHeight="1" thickBot="1" x14ac:dyDescent="0.3">
      <c r="B1982" s="1255"/>
      <c r="C1982" s="857"/>
      <c r="D1982" s="1256"/>
      <c r="E1982" s="1248"/>
      <c r="F1982" s="1257"/>
      <c r="G1982" s="1258">
        <f>SUM(G1971:G1981)/C1966</f>
        <v>2056.7813461392816</v>
      </c>
      <c r="H1982" s="1259" t="s">
        <v>454</v>
      </c>
      <c r="I1982" s="857"/>
      <c r="L1982" s="1260">
        <f>SUM(L1971:L1981)</f>
        <v>2056.7813461392816</v>
      </c>
    </row>
    <row r="1983" spans="1:29" ht="15" customHeight="1" thickTop="1" x14ac:dyDescent="0.25">
      <c r="B1983" s="1433"/>
      <c r="C1983" s="1315"/>
      <c r="D1983" s="1316"/>
      <c r="E1983" s="1315"/>
      <c r="F1983" s="1318"/>
      <c r="G1983" s="1434">
        <f>+'Gtos Varios'!I14</f>
        <v>3672.93</v>
      </c>
      <c r="H1983" s="1433" t="s">
        <v>1180</v>
      </c>
      <c r="I1983" s="1315"/>
    </row>
    <row r="1984" spans="1:29" ht="15" customHeight="1" thickBot="1" x14ac:dyDescent="0.3">
      <c r="F1984" s="1267">
        <f>SUM(F1971:F1981)</f>
        <v>247433.66</v>
      </c>
      <c r="G1984" s="1268">
        <f>SUM(G1982:G1983)</f>
        <v>5729.7113461392819</v>
      </c>
      <c r="H1984" s="733" t="s">
        <v>412</v>
      </c>
    </row>
    <row r="1985" spans="1:12" ht="15" customHeight="1" thickTop="1" x14ac:dyDescent="0.25">
      <c r="G1985" s="1295">
        <f>G1984*59%</f>
        <v>3380.5296942221762</v>
      </c>
      <c r="H1985" s="1274">
        <v>0.59</v>
      </c>
      <c r="I1985" s="733" t="s">
        <v>539</v>
      </c>
    </row>
    <row r="1986" spans="1:12" ht="15" customHeight="1" thickBot="1" x14ac:dyDescent="0.3">
      <c r="G1986" s="1270">
        <f>G1984+G1985</f>
        <v>9110.2410403614576</v>
      </c>
      <c r="H1986" s="733" t="s">
        <v>414</v>
      </c>
    </row>
    <row r="1987" spans="1:12" ht="15" customHeight="1" thickTop="1" x14ac:dyDescent="0.25"/>
    <row r="1991" spans="1:12" ht="15" customHeight="1" x14ac:dyDescent="0.25">
      <c r="B1991" s="1222" t="s">
        <v>61</v>
      </c>
      <c r="C1991" s="1219" t="s">
        <v>211</v>
      </c>
      <c r="D1991" s="733"/>
      <c r="E1991" s="853"/>
      <c r="F1991" s="853"/>
      <c r="G1991" s="853"/>
      <c r="H1991" s="853"/>
    </row>
    <row r="1992" spans="1:12" ht="15" customHeight="1" x14ac:dyDescent="0.25">
      <c r="A1992" s="1223" t="s">
        <v>718</v>
      </c>
      <c r="B1992" s="1222" t="s">
        <v>62</v>
      </c>
      <c r="C1992" s="1219" t="str">
        <f>VLOOKUP(C1991,LISTPROD[],2,FALSE)</f>
        <v>VINO CEREBRAL</v>
      </c>
      <c r="D1992" s="733" t="s">
        <v>486</v>
      </c>
      <c r="E1992" s="866" t="s">
        <v>487</v>
      </c>
      <c r="F1992" s="853"/>
      <c r="G1992" s="853"/>
      <c r="H1992" s="853"/>
    </row>
    <row r="1993" spans="1:12" ht="15" customHeight="1" x14ac:dyDescent="0.25">
      <c r="B1993" s="1222" t="s">
        <v>234</v>
      </c>
      <c r="C1993" s="1219" t="str">
        <f>VLOOKUP(C1991,LISTPROD[],9,FALSE)</f>
        <v>500 ML</v>
      </c>
      <c r="D1993" s="733"/>
      <c r="E1993" s="853"/>
      <c r="F1993" s="853"/>
      <c r="G1993" s="853"/>
      <c r="H1993" s="853"/>
    </row>
    <row r="1994" spans="1:12" ht="15" customHeight="1" x14ac:dyDescent="0.25">
      <c r="B1994" s="1222" t="s">
        <v>239</v>
      </c>
      <c r="C1994" s="1224">
        <v>420</v>
      </c>
      <c r="D1994" s="1218"/>
      <c r="E1994" s="853"/>
      <c r="F1994" s="853"/>
      <c r="G1994" s="853"/>
      <c r="H1994" s="853"/>
    </row>
    <row r="1995" spans="1:12" ht="15" customHeight="1" x14ac:dyDescent="0.25">
      <c r="B1995" s="1222" t="s">
        <v>240</v>
      </c>
      <c r="C1995" s="1219"/>
      <c r="D1995" s="733"/>
    </row>
    <row r="1996" spans="1:12" ht="15" customHeight="1" x14ac:dyDescent="0.25">
      <c r="B1996" s="1222" t="s">
        <v>238</v>
      </c>
      <c r="C1996" s="733" t="s">
        <v>56</v>
      </c>
      <c r="D1996" s="1218" t="s">
        <v>449</v>
      </c>
    </row>
    <row r="1997" spans="1:12" ht="15" customHeight="1" x14ac:dyDescent="0.25">
      <c r="B1997" s="1225" t="s">
        <v>410</v>
      </c>
      <c r="C1997" s="753">
        <v>500</v>
      </c>
      <c r="D1997" s="1226"/>
    </row>
    <row r="1998" spans="1:12" ht="15" customHeight="1" x14ac:dyDescent="0.25">
      <c r="A1998" s="1227"/>
      <c r="B1998" s="1436" t="s">
        <v>404</v>
      </c>
      <c r="C1998" s="1436"/>
      <c r="D1998" s="1436"/>
      <c r="E1998" s="1436"/>
      <c r="F1998" s="1436"/>
      <c r="G1998" s="1228"/>
      <c r="H1998" s="1437" t="s">
        <v>416</v>
      </c>
      <c r="I1998" s="1438"/>
    </row>
    <row r="1999" spans="1:12" ht="34.5" customHeight="1" x14ac:dyDescent="0.25">
      <c r="A1999" s="1229"/>
      <c r="B1999" s="1230" t="s">
        <v>398</v>
      </c>
      <c r="C1999" s="1231" t="s">
        <v>441</v>
      </c>
      <c r="D1999" s="1232" t="s">
        <v>399</v>
      </c>
      <c r="E1999" s="1233" t="s">
        <v>402</v>
      </c>
      <c r="F1999" s="1232" t="s">
        <v>399</v>
      </c>
      <c r="G1999" s="1232" t="s">
        <v>411</v>
      </c>
      <c r="H1999" s="1234" t="s">
        <v>408</v>
      </c>
      <c r="I1999" s="1235" t="s">
        <v>415</v>
      </c>
      <c r="K1999" s="1236" t="s">
        <v>603</v>
      </c>
      <c r="L1999" s="1237" t="s">
        <v>604</v>
      </c>
    </row>
    <row r="2000" spans="1:12" ht="15" customHeight="1" x14ac:dyDescent="0.25">
      <c r="A2000" s="1238"/>
      <c r="B2000" s="1228" t="s">
        <v>248</v>
      </c>
      <c r="C2000" s="1228">
        <v>1000</v>
      </c>
      <c r="D2000" s="1239">
        <f>'Prec Materia Prima y Empaq'!$H$21</f>
        <v>15400</v>
      </c>
      <c r="E2000" s="1240">
        <f>D2000*19%</f>
        <v>2926</v>
      </c>
      <c r="F2000" s="1241">
        <f>+E2000+D2000</f>
        <v>18326</v>
      </c>
      <c r="G2000" s="1240">
        <f>F2000/C2000*H2000</f>
        <v>14660.800000000001</v>
      </c>
      <c r="H2000" s="1242">
        <v>800</v>
      </c>
      <c r="I2000" s="1228" t="s">
        <v>450</v>
      </c>
      <c r="K2000" s="1242">
        <f t="shared" ref="K2000:K2015" si="704">H2000/$C$1994</f>
        <v>1.9047619047619047</v>
      </c>
      <c r="L2000" s="1243">
        <f>F2000/C2000*K2000</f>
        <v>34.906666666666666</v>
      </c>
    </row>
    <row r="2001" spans="1:29" ht="15" customHeight="1" x14ac:dyDescent="0.25">
      <c r="A2001" s="1238"/>
      <c r="B2001" s="1228" t="s">
        <v>443</v>
      </c>
      <c r="C2001" s="1228">
        <v>1000</v>
      </c>
      <c r="D2001" s="1239">
        <f>'Prec Materia Prima y Empaq'!$H$11</f>
        <v>8000</v>
      </c>
      <c r="E2001" s="1240">
        <f t="shared" ref="E2001:E2006" si="705">D2001*19%</f>
        <v>1520</v>
      </c>
      <c r="F2001" s="1241">
        <f t="shared" ref="F2001:F2013" si="706">+E2001+D2001</f>
        <v>9520</v>
      </c>
      <c r="G2001" s="1240">
        <f t="shared" ref="G2001:G2007" si="707">F2001/C2001*H2001</f>
        <v>5712</v>
      </c>
      <c r="H2001" s="1242">
        <v>600</v>
      </c>
      <c r="I2001" s="1228" t="s">
        <v>450</v>
      </c>
      <c r="K2001" s="1242">
        <f t="shared" si="704"/>
        <v>1.4285714285714286</v>
      </c>
      <c r="L2001" s="1243">
        <f t="shared" ref="L2001:L2015" si="708">F2001/C2001*K2001</f>
        <v>13.6</v>
      </c>
    </row>
    <row r="2002" spans="1:29" ht="15" customHeight="1" x14ac:dyDescent="0.25">
      <c r="A2002" s="1238"/>
      <c r="B2002" s="1228" t="s">
        <v>253</v>
      </c>
      <c r="C2002" s="1228">
        <v>1000</v>
      </c>
      <c r="D2002" s="1239">
        <f>'Prec Materia Prima y Empaq'!$H$9</f>
        <v>5400</v>
      </c>
      <c r="E2002" s="1240">
        <f t="shared" si="705"/>
        <v>1026</v>
      </c>
      <c r="F2002" s="1241">
        <f t="shared" si="706"/>
        <v>6426</v>
      </c>
      <c r="G2002" s="1240">
        <f t="shared" si="707"/>
        <v>1927.8</v>
      </c>
      <c r="H2002" s="1242">
        <v>300</v>
      </c>
      <c r="I2002" s="1228" t="s">
        <v>450</v>
      </c>
      <c r="K2002" s="1242">
        <f t="shared" si="704"/>
        <v>0.7142857142857143</v>
      </c>
      <c r="L2002" s="1243">
        <f t="shared" si="708"/>
        <v>4.59</v>
      </c>
    </row>
    <row r="2003" spans="1:29" ht="15" customHeight="1" x14ac:dyDescent="0.25">
      <c r="A2003" s="1238"/>
      <c r="B2003" s="1228" t="s">
        <v>262</v>
      </c>
      <c r="C2003" s="1228">
        <v>1000</v>
      </c>
      <c r="D2003" s="1239">
        <f>'Prec Materia Prima y Empaq'!$H$55</f>
        <v>50522</v>
      </c>
      <c r="E2003" s="1240">
        <f t="shared" si="705"/>
        <v>9599.18</v>
      </c>
      <c r="F2003" s="1241">
        <f t="shared" si="706"/>
        <v>60121.18</v>
      </c>
      <c r="G2003" s="1240">
        <f t="shared" si="707"/>
        <v>6012.1180000000004</v>
      </c>
      <c r="H2003" s="1242">
        <v>100</v>
      </c>
      <c r="I2003" s="1228" t="s">
        <v>450</v>
      </c>
      <c r="K2003" s="1242">
        <f t="shared" si="704"/>
        <v>0.23809523809523808</v>
      </c>
      <c r="L2003" s="1243">
        <f t="shared" si="708"/>
        <v>14.314566666666666</v>
      </c>
    </row>
    <row r="2004" spans="1:29" ht="15" customHeight="1" x14ac:dyDescent="0.25">
      <c r="A2004" s="1238"/>
      <c r="B2004" s="1228" t="s">
        <v>261</v>
      </c>
      <c r="C2004" s="1228">
        <v>1000</v>
      </c>
      <c r="D2004" s="1239">
        <f>'Prec Materia Prima y Empaq'!$H$12</f>
        <v>4700</v>
      </c>
      <c r="E2004" s="1240">
        <f t="shared" si="705"/>
        <v>893</v>
      </c>
      <c r="F2004" s="1241">
        <f t="shared" si="706"/>
        <v>5593</v>
      </c>
      <c r="G2004" s="1240">
        <f t="shared" si="707"/>
        <v>1118.5999999999999</v>
      </c>
      <c r="H2004" s="1242">
        <v>200</v>
      </c>
      <c r="I2004" s="1228" t="s">
        <v>450</v>
      </c>
      <c r="K2004" s="1242">
        <f t="shared" si="704"/>
        <v>0.47619047619047616</v>
      </c>
      <c r="L2004" s="1243">
        <f t="shared" si="708"/>
        <v>2.6633333333333331</v>
      </c>
    </row>
    <row r="2005" spans="1:29" ht="15" customHeight="1" x14ac:dyDescent="0.25">
      <c r="A2005" s="1238"/>
      <c r="B2005" s="1228" t="s">
        <v>268</v>
      </c>
      <c r="C2005" s="1228">
        <v>1000</v>
      </c>
      <c r="D2005" s="1239">
        <f>'Prec Materia Prima y Empaq'!$H$31</f>
        <v>20000</v>
      </c>
      <c r="E2005" s="1240">
        <v>0</v>
      </c>
      <c r="F2005" s="1241">
        <f t="shared" si="706"/>
        <v>20000</v>
      </c>
      <c r="G2005" s="1240">
        <f t="shared" si="707"/>
        <v>20000</v>
      </c>
      <c r="H2005" s="1242">
        <v>1000</v>
      </c>
      <c r="I2005" s="1228" t="s">
        <v>450</v>
      </c>
      <c r="K2005" s="1242">
        <f t="shared" si="704"/>
        <v>2.3809523809523809</v>
      </c>
      <c r="L2005" s="1243">
        <f t="shared" si="708"/>
        <v>47.61904761904762</v>
      </c>
    </row>
    <row r="2006" spans="1:29" ht="15" customHeight="1" x14ac:dyDescent="0.25">
      <c r="A2006" s="1238"/>
      <c r="B2006" s="1228" t="s">
        <v>246</v>
      </c>
      <c r="C2006" s="1228">
        <v>1000</v>
      </c>
      <c r="D2006" s="1239">
        <f>'Prec Materia Prima y Empaq'!$H$41</f>
        <v>80268</v>
      </c>
      <c r="E2006" s="1240">
        <f t="shared" si="705"/>
        <v>15250.92</v>
      </c>
      <c r="F2006" s="1241">
        <f t="shared" si="706"/>
        <v>95518.92</v>
      </c>
      <c r="G2006" s="1240">
        <f t="shared" si="707"/>
        <v>1910.3783999999998</v>
      </c>
      <c r="H2006" s="1242">
        <v>20</v>
      </c>
      <c r="I2006" s="1228" t="s">
        <v>450</v>
      </c>
      <c r="K2006" s="1242">
        <f t="shared" si="704"/>
        <v>4.7619047619047616E-2</v>
      </c>
      <c r="L2006" s="1243">
        <f t="shared" si="708"/>
        <v>4.5485199999999999</v>
      </c>
    </row>
    <row r="2007" spans="1:29" ht="15" customHeight="1" x14ac:dyDescent="0.25">
      <c r="A2007" s="1238"/>
      <c r="B2007" s="1228" t="s">
        <v>255</v>
      </c>
      <c r="C2007" s="1228">
        <v>1000</v>
      </c>
      <c r="D2007" s="1239">
        <f>'Prec Materia Prima y Empaq'!$H$26</f>
        <v>45404</v>
      </c>
      <c r="E2007" s="1240">
        <f t="shared" ref="E2007:E2008" si="709">D2007*19%</f>
        <v>8626.76</v>
      </c>
      <c r="F2007" s="1241">
        <f t="shared" si="706"/>
        <v>54030.76</v>
      </c>
      <c r="G2007" s="1240">
        <f t="shared" si="707"/>
        <v>5403.076</v>
      </c>
      <c r="H2007" s="1242">
        <v>100</v>
      </c>
      <c r="I2007" s="1228" t="s">
        <v>450</v>
      </c>
      <c r="K2007" s="1242">
        <f t="shared" si="704"/>
        <v>0.23809523809523808</v>
      </c>
      <c r="L2007" s="1243">
        <f t="shared" si="708"/>
        <v>12.864466666666667</v>
      </c>
    </row>
    <row r="2008" spans="1:29" ht="15" customHeight="1" x14ac:dyDescent="0.25">
      <c r="A2008" s="1238"/>
      <c r="B2008" s="1228" t="s">
        <v>382</v>
      </c>
      <c r="C2008" s="1228">
        <v>3785</v>
      </c>
      <c r="D2008" s="1239">
        <f>'Prec Materia Prima y Empaq'!$H$18</f>
        <v>24</v>
      </c>
      <c r="E2008" s="1240">
        <f t="shared" si="709"/>
        <v>4.5600000000000005</v>
      </c>
      <c r="F2008" s="1241">
        <f t="shared" si="706"/>
        <v>28.560000000000002</v>
      </c>
      <c r="G2008" s="1240">
        <f>F2008/C2008*H2008</f>
        <v>0.37727873183619554</v>
      </c>
      <c r="H2008" s="1242">
        <v>50</v>
      </c>
      <c r="I2008" s="1228" t="s">
        <v>450</v>
      </c>
      <c r="K2008" s="1242">
        <f t="shared" si="704"/>
        <v>0.11904761904761904</v>
      </c>
      <c r="L2008" s="1243">
        <f t="shared" si="708"/>
        <v>8.9828269484808459E-4</v>
      </c>
    </row>
    <row r="2009" spans="1:29" ht="31.5" customHeight="1" x14ac:dyDescent="0.25">
      <c r="B2009" s="1220" t="s">
        <v>247</v>
      </c>
      <c r="C2009" s="1228">
        <v>1000</v>
      </c>
      <c r="D2009" s="1244">
        <f>'Prec Materia Prima y Empaq'!$H$7</f>
        <v>50000</v>
      </c>
      <c r="E2009" s="1240">
        <v>0</v>
      </c>
      <c r="F2009" s="1241">
        <f t="shared" si="706"/>
        <v>50000</v>
      </c>
      <c r="G2009" s="1240">
        <f>F2009/C2009*H2009</f>
        <v>32.022471910112351</v>
      </c>
      <c r="H2009" s="1245">
        <v>0.64044943820224698</v>
      </c>
      <c r="I2009" s="1245" t="s">
        <v>453</v>
      </c>
      <c r="K2009" s="1242">
        <f t="shared" ref="K2009" si="710">H2009/$C$1935</f>
        <v>2.9111338100102136E-3</v>
      </c>
      <c r="L2009" s="1243">
        <f t="shared" si="708"/>
        <v>0.14555669050051068</v>
      </c>
      <c r="N2009" s="1220" t="s">
        <v>247</v>
      </c>
      <c r="O2009" s="1247">
        <v>1</v>
      </c>
      <c r="P2009" s="1240">
        <f>$F$391/$C$391*$O$391</f>
        <v>50</v>
      </c>
      <c r="Q2009" s="1248"/>
      <c r="R2009" s="1249" t="e">
        <f>P2009/O1998</f>
        <v>#DIV/0!</v>
      </c>
      <c r="S2009" s="1248" t="e">
        <f>R2009*1000</f>
        <v>#DIV/0!</v>
      </c>
      <c r="T2009" s="1250">
        <f>O2009/$O$380*1000</f>
        <v>2.5641025641025641E-3</v>
      </c>
      <c r="U2009" s="1238">
        <f>T2009*$M$380</f>
        <v>1</v>
      </c>
      <c r="Y2009" s="1238"/>
      <c r="Z2009" s="1238"/>
      <c r="AA2009" s="1251"/>
      <c r="AC2009" s="1252"/>
    </row>
    <row r="2010" spans="1:29" ht="15" customHeight="1" x14ac:dyDescent="0.25">
      <c r="A2010" s="1238"/>
      <c r="B2010" s="1220" t="s">
        <v>485</v>
      </c>
      <c r="C2010" s="1220">
        <v>1</v>
      </c>
      <c r="D2010" s="1244">
        <f>'Prec Materia Prima y Empaq'!$H$138</f>
        <v>650</v>
      </c>
      <c r="E2010" s="1240">
        <v>0</v>
      </c>
      <c r="F2010" s="1241">
        <f t="shared" si="706"/>
        <v>650</v>
      </c>
      <c r="G2010" s="1253">
        <f t="shared" ref="G2010:G2015" si="711">F2010*H2010</f>
        <v>273000</v>
      </c>
      <c r="H2010" s="1245">
        <f t="shared" ref="H2010:H2015" si="712">$C$1795</f>
        <v>420</v>
      </c>
      <c r="I2010" s="1245" t="s">
        <v>453</v>
      </c>
      <c r="K2010" s="1242">
        <f t="shared" si="704"/>
        <v>1</v>
      </c>
      <c r="L2010" s="1243">
        <f t="shared" si="708"/>
        <v>650</v>
      </c>
    </row>
    <row r="2011" spans="1:29" ht="15" customHeight="1" x14ac:dyDescent="0.25">
      <c r="A2011" s="1238"/>
      <c r="B2011" s="1220" t="s">
        <v>614</v>
      </c>
      <c r="C2011" s="1220">
        <v>1</v>
      </c>
      <c r="D2011" s="1244">
        <f>'Prec Materia Prima y Empaq'!$H$144</f>
        <v>70</v>
      </c>
      <c r="E2011" s="1240">
        <v>0</v>
      </c>
      <c r="F2011" s="1241">
        <f t="shared" si="706"/>
        <v>70</v>
      </c>
      <c r="G2011" s="1253">
        <f t="shared" si="711"/>
        <v>29400</v>
      </c>
      <c r="H2011" s="1245">
        <f t="shared" si="712"/>
        <v>420</v>
      </c>
      <c r="I2011" s="1245" t="s">
        <v>453</v>
      </c>
      <c r="K2011" s="1242">
        <f t="shared" si="704"/>
        <v>1</v>
      </c>
      <c r="L2011" s="1243">
        <f t="shared" si="708"/>
        <v>70</v>
      </c>
    </row>
    <row r="2012" spans="1:29" ht="30.75" customHeight="1" x14ac:dyDescent="0.25">
      <c r="B2012" s="1220" t="s">
        <v>695</v>
      </c>
      <c r="C2012" s="1245">
        <v>1</v>
      </c>
      <c r="D2012" s="1272">
        <f>'Prec Materia Prima y Empaq'!$H$161</f>
        <v>300</v>
      </c>
      <c r="E2012" s="1240">
        <v>0</v>
      </c>
      <c r="F2012" s="1241">
        <f t="shared" si="706"/>
        <v>300</v>
      </c>
      <c r="G2012" s="1253">
        <f t="shared" si="711"/>
        <v>126000</v>
      </c>
      <c r="H2012" s="1245">
        <f t="shared" si="712"/>
        <v>420</v>
      </c>
      <c r="I2012" s="1245" t="s">
        <v>453</v>
      </c>
      <c r="K2012" s="1242">
        <f t="shared" si="704"/>
        <v>1</v>
      </c>
      <c r="L2012" s="1243">
        <f t="shared" si="708"/>
        <v>300</v>
      </c>
    </row>
    <row r="2013" spans="1:29" ht="15" customHeight="1" x14ac:dyDescent="0.25">
      <c r="B2013" s="1279" t="s">
        <v>675</v>
      </c>
      <c r="C2013" s="1245">
        <v>1</v>
      </c>
      <c r="D2013" s="1272">
        <f>'Prec Materia Prima y Empaq'!$H$162</f>
        <v>100</v>
      </c>
      <c r="E2013" s="1240"/>
      <c r="F2013" s="1241">
        <f t="shared" si="706"/>
        <v>100</v>
      </c>
      <c r="G2013" s="1253">
        <f t="shared" si="711"/>
        <v>42000</v>
      </c>
      <c r="H2013" s="1245">
        <f t="shared" si="712"/>
        <v>420</v>
      </c>
      <c r="I2013" s="1245" t="s">
        <v>453</v>
      </c>
      <c r="K2013" s="1242">
        <f t="shared" si="704"/>
        <v>1</v>
      </c>
      <c r="L2013" s="1243">
        <f t="shared" si="708"/>
        <v>100</v>
      </c>
    </row>
    <row r="2014" spans="1:29" ht="15" customHeight="1" x14ac:dyDescent="0.25">
      <c r="B2014" s="1220" t="s">
        <v>310</v>
      </c>
      <c r="C2014" s="1245">
        <v>1</v>
      </c>
      <c r="D2014" s="1272">
        <f>'Prec Materia Prima y Empaq'!$H$130</f>
        <v>100</v>
      </c>
      <c r="E2014" s="1240">
        <v>0</v>
      </c>
      <c r="F2014" s="1241">
        <f t="shared" ref="F2014:F2015" si="713">+E2014+D2014</f>
        <v>100</v>
      </c>
      <c r="G2014" s="1253">
        <f t="shared" si="711"/>
        <v>42000</v>
      </c>
      <c r="H2014" s="1245">
        <f t="shared" si="712"/>
        <v>420</v>
      </c>
      <c r="I2014" s="1245" t="s">
        <v>453</v>
      </c>
      <c r="K2014" s="1242">
        <f t="shared" si="704"/>
        <v>1</v>
      </c>
      <c r="L2014" s="1243">
        <f t="shared" si="708"/>
        <v>100</v>
      </c>
    </row>
    <row r="2015" spans="1:29" ht="15" customHeight="1" x14ac:dyDescent="0.25">
      <c r="B2015" s="1245" t="s">
        <v>309</v>
      </c>
      <c r="C2015" s="1245">
        <v>1</v>
      </c>
      <c r="D2015" s="1272">
        <f>'Prec Materia Prima y Empaq'!$H$129</f>
        <v>800</v>
      </c>
      <c r="E2015" s="1240">
        <v>0</v>
      </c>
      <c r="F2015" s="1241">
        <f t="shared" si="713"/>
        <v>800</v>
      </c>
      <c r="G2015" s="1253">
        <f t="shared" si="711"/>
        <v>336000</v>
      </c>
      <c r="H2015" s="1245">
        <f t="shared" si="712"/>
        <v>420</v>
      </c>
      <c r="I2015" s="1245" t="s">
        <v>453</v>
      </c>
      <c r="K2015" s="1242">
        <f t="shared" si="704"/>
        <v>1</v>
      </c>
      <c r="L2015" s="1243">
        <f t="shared" si="708"/>
        <v>800</v>
      </c>
    </row>
    <row r="2016" spans="1:29" ht="19.5" customHeight="1" thickBot="1" x14ac:dyDescent="0.3">
      <c r="B2016" s="1255"/>
      <c r="C2016" s="857"/>
      <c r="D2016" s="1256"/>
      <c r="E2016" s="1248"/>
      <c r="F2016" s="1257"/>
      <c r="G2016" s="1258">
        <f>SUM(G2000:G2015)/C1994</f>
        <v>2155.183743215814</v>
      </c>
      <c r="H2016" s="1259" t="s">
        <v>454</v>
      </c>
      <c r="I2016" s="857"/>
      <c r="L2016" s="1260">
        <f>SUM(L2000:L2015)</f>
        <v>2155.2530559255765</v>
      </c>
    </row>
    <row r="2017" spans="1:9" ht="15" customHeight="1" thickTop="1" x14ac:dyDescent="0.25">
      <c r="B2017" s="1314" t="s">
        <v>409</v>
      </c>
      <c r="C2017" s="1315"/>
      <c r="D2017" s="1316">
        <f>+'Gtos Varios'!I14</f>
        <v>3672.93</v>
      </c>
      <c r="E2017" s="1315"/>
      <c r="F2017" s="1317">
        <f t="shared" ref="F2017" si="714">+E2017+D2017</f>
        <v>3672.93</v>
      </c>
      <c r="G2017" s="1318">
        <f>F2017</f>
        <v>3672.93</v>
      </c>
      <c r="H2017" s="1315" t="str">
        <f>B2017</f>
        <v xml:space="preserve">GASTOS VARIOS </v>
      </c>
      <c r="I2017" s="857"/>
    </row>
    <row r="2018" spans="1:9" ht="15" customHeight="1" x14ac:dyDescent="0.25">
      <c r="B2018" s="1255"/>
      <c r="C2018" s="857"/>
      <c r="D2018" s="1256"/>
      <c r="E2018" s="1248"/>
      <c r="F2018" s="1257"/>
      <c r="G2018" s="1266"/>
      <c r="H2018" s="857"/>
      <c r="I2018" s="857"/>
    </row>
    <row r="2019" spans="1:9" ht="15" customHeight="1" x14ac:dyDescent="0.25">
      <c r="B2019" s="1255"/>
      <c r="C2019" s="857"/>
      <c r="D2019" s="1256"/>
      <c r="E2019" s="1248"/>
      <c r="F2019" s="1257"/>
      <c r="G2019" s="1266"/>
      <c r="H2019" s="857"/>
      <c r="I2019" s="857"/>
    </row>
    <row r="2020" spans="1:9" ht="15" customHeight="1" thickBot="1" x14ac:dyDescent="0.3">
      <c r="F2020" s="1267">
        <f>SUM(F2000:F2015)</f>
        <v>321584.42</v>
      </c>
      <c r="G2020" s="1268">
        <f>SUM(G2016:G2017)</f>
        <v>5828.1137432158139</v>
      </c>
      <c r="H2020" s="733" t="s">
        <v>412</v>
      </c>
    </row>
    <row r="2021" spans="1:9" ht="15" customHeight="1" thickTop="1" x14ac:dyDescent="0.25">
      <c r="G2021" s="1295">
        <f>G2020*58%</f>
        <v>3380.3059710651719</v>
      </c>
      <c r="H2021" s="1274">
        <v>0.57999999999999996</v>
      </c>
      <c r="I2021" s="733" t="s">
        <v>539</v>
      </c>
    </row>
    <row r="2022" spans="1:9" ht="15" customHeight="1" thickBot="1" x14ac:dyDescent="0.3">
      <c r="G2022" s="1270">
        <f>G2020+G2021</f>
        <v>9208.4197142809862</v>
      </c>
      <c r="H2022" s="733" t="s">
        <v>414</v>
      </c>
    </row>
    <row r="2023" spans="1:9" ht="15" customHeight="1" thickTop="1" x14ac:dyDescent="0.25"/>
    <row r="2027" spans="1:9" ht="15" customHeight="1" x14ac:dyDescent="0.25">
      <c r="B2027" s="1222" t="s">
        <v>61</v>
      </c>
      <c r="C2027" s="1219" t="s">
        <v>214</v>
      </c>
      <c r="D2027" s="733"/>
      <c r="E2027" s="853"/>
      <c r="F2027" s="853"/>
      <c r="G2027" s="853"/>
      <c r="H2027" s="853"/>
    </row>
    <row r="2028" spans="1:9" ht="15" customHeight="1" x14ac:dyDescent="0.25">
      <c r="A2028" s="1223" t="s">
        <v>718</v>
      </c>
      <c r="B2028" s="1222" t="s">
        <v>62</v>
      </c>
      <c r="C2028" s="1219" t="str">
        <f>VLOOKUP(C2027,LISTPROD[],2,FALSE)</f>
        <v>VITA CEREBRINA FRANCESA</v>
      </c>
      <c r="D2028" s="1219" t="s">
        <v>486</v>
      </c>
      <c r="E2028" s="733" t="s">
        <v>487</v>
      </c>
      <c r="F2028" s="853"/>
      <c r="G2028" s="853"/>
      <c r="H2028" s="853"/>
    </row>
    <row r="2029" spans="1:9" ht="15" customHeight="1" x14ac:dyDescent="0.25">
      <c r="B2029" s="1222" t="s">
        <v>234</v>
      </c>
      <c r="C2029" s="1219" t="str">
        <f>VLOOKUP(C2027,LISTPROD[],9,FALSE)</f>
        <v>500 ML</v>
      </c>
      <c r="D2029" s="733"/>
      <c r="E2029" s="853"/>
      <c r="F2029" s="853"/>
      <c r="G2029" s="853"/>
      <c r="H2029" s="853"/>
    </row>
    <row r="2030" spans="1:9" ht="15" customHeight="1" x14ac:dyDescent="0.25">
      <c r="B2030" s="1222" t="s">
        <v>239</v>
      </c>
      <c r="C2030" s="1224">
        <v>420</v>
      </c>
      <c r="D2030" s="1218"/>
      <c r="E2030" s="853"/>
      <c r="F2030" s="853"/>
      <c r="G2030" s="853"/>
      <c r="H2030" s="853"/>
    </row>
    <row r="2031" spans="1:9" ht="15" customHeight="1" x14ac:dyDescent="0.25">
      <c r="B2031" s="1222" t="s">
        <v>240</v>
      </c>
      <c r="C2031" s="1219"/>
      <c r="D2031" s="733"/>
    </row>
    <row r="2032" spans="1:9" ht="15" customHeight="1" x14ac:dyDescent="0.25">
      <c r="B2032" s="1222" t="s">
        <v>238</v>
      </c>
      <c r="C2032" s="733" t="s">
        <v>56</v>
      </c>
      <c r="D2032" s="1218" t="s">
        <v>449</v>
      </c>
    </row>
    <row r="2033" spans="1:29" ht="15" customHeight="1" x14ac:dyDescent="0.25">
      <c r="B2033" s="1225" t="s">
        <v>410</v>
      </c>
      <c r="C2033" s="753">
        <v>500</v>
      </c>
      <c r="D2033" s="1226"/>
    </row>
    <row r="2034" spans="1:29" ht="15" customHeight="1" x14ac:dyDescent="0.25">
      <c r="A2034" s="1227"/>
      <c r="B2034" s="1436" t="s">
        <v>404</v>
      </c>
      <c r="C2034" s="1436"/>
      <c r="D2034" s="1436"/>
      <c r="E2034" s="1436"/>
      <c r="F2034" s="1436"/>
      <c r="G2034" s="1228"/>
      <c r="H2034" s="1437" t="s">
        <v>416</v>
      </c>
      <c r="I2034" s="1438"/>
    </row>
    <row r="2035" spans="1:29" ht="50.25" customHeight="1" x14ac:dyDescent="0.25">
      <c r="A2035" s="1229"/>
      <c r="B2035" s="1230" t="s">
        <v>398</v>
      </c>
      <c r="C2035" s="1231" t="s">
        <v>441</v>
      </c>
      <c r="D2035" s="1232" t="s">
        <v>399</v>
      </c>
      <c r="E2035" s="1233" t="s">
        <v>402</v>
      </c>
      <c r="F2035" s="1232" t="s">
        <v>399</v>
      </c>
      <c r="G2035" s="1232" t="s">
        <v>411</v>
      </c>
      <c r="H2035" s="1234" t="s">
        <v>408</v>
      </c>
      <c r="I2035" s="1235" t="s">
        <v>415</v>
      </c>
      <c r="K2035" s="1236" t="s">
        <v>603</v>
      </c>
      <c r="L2035" s="1237" t="s">
        <v>604</v>
      </c>
    </row>
    <row r="2036" spans="1:29" ht="15" customHeight="1" x14ac:dyDescent="0.25">
      <c r="A2036" s="1238"/>
      <c r="B2036" s="1228" t="s">
        <v>248</v>
      </c>
      <c r="C2036" s="1228">
        <v>1000</v>
      </c>
      <c r="D2036" s="1239">
        <f>'Prec Materia Prima y Empaq'!$H$21</f>
        <v>15400</v>
      </c>
      <c r="E2036" s="1240">
        <f>D2036*19%</f>
        <v>2926</v>
      </c>
      <c r="F2036" s="1241">
        <f>+E2036+D2036</f>
        <v>18326</v>
      </c>
      <c r="G2036" s="1240">
        <f>F2036/C2036*H2036</f>
        <v>14660.800000000001</v>
      </c>
      <c r="H2036" s="1242">
        <v>800</v>
      </c>
      <c r="I2036" s="1228" t="s">
        <v>450</v>
      </c>
      <c r="K2036" s="1242">
        <f t="shared" ref="K2036:K2052" si="715">H2036/$C$2030</f>
        <v>1.9047619047619047</v>
      </c>
      <c r="L2036" s="1243">
        <f t="shared" ref="L2036:L2052" si="716">F2036/C2036*K2036</f>
        <v>34.906666666666666</v>
      </c>
    </row>
    <row r="2037" spans="1:29" ht="15" customHeight="1" x14ac:dyDescent="0.25">
      <c r="A2037" s="1238"/>
      <c r="B2037" s="1228" t="s">
        <v>443</v>
      </c>
      <c r="C2037" s="1228">
        <v>1000</v>
      </c>
      <c r="D2037" s="1239">
        <f>'Prec Materia Prima y Empaq'!$H$11</f>
        <v>8000</v>
      </c>
      <c r="E2037" s="1240">
        <f t="shared" ref="E2037:E2042" si="717">D2037*19%</f>
        <v>1520</v>
      </c>
      <c r="F2037" s="1241">
        <f t="shared" ref="F2037:F2042" si="718">+E2037+D2037</f>
        <v>9520</v>
      </c>
      <c r="G2037" s="1240">
        <f t="shared" ref="G2037:G2044" si="719">F2037/C2037*H2037</f>
        <v>5712</v>
      </c>
      <c r="H2037" s="1242">
        <v>600</v>
      </c>
      <c r="I2037" s="1228" t="s">
        <v>450</v>
      </c>
      <c r="K2037" s="1242">
        <f t="shared" si="715"/>
        <v>1.4285714285714286</v>
      </c>
      <c r="L2037" s="1243">
        <f t="shared" si="716"/>
        <v>13.6</v>
      </c>
    </row>
    <row r="2038" spans="1:29" ht="15" customHeight="1" x14ac:dyDescent="0.25">
      <c r="A2038" s="1238"/>
      <c r="B2038" s="1228" t="s">
        <v>253</v>
      </c>
      <c r="C2038" s="1228">
        <v>1000</v>
      </c>
      <c r="D2038" s="1239">
        <f>'Prec Materia Prima y Empaq'!$H$9</f>
        <v>5400</v>
      </c>
      <c r="E2038" s="1240">
        <f t="shared" si="717"/>
        <v>1026</v>
      </c>
      <c r="F2038" s="1241">
        <f t="shared" si="718"/>
        <v>6426</v>
      </c>
      <c r="G2038" s="1240">
        <f t="shared" si="719"/>
        <v>1927.8</v>
      </c>
      <c r="H2038" s="1242">
        <v>300</v>
      </c>
      <c r="I2038" s="1228" t="s">
        <v>450</v>
      </c>
      <c r="K2038" s="1242">
        <f t="shared" si="715"/>
        <v>0.7142857142857143</v>
      </c>
      <c r="L2038" s="1243">
        <f t="shared" si="716"/>
        <v>4.59</v>
      </c>
    </row>
    <row r="2039" spans="1:29" ht="15" customHeight="1" x14ac:dyDescent="0.25">
      <c r="A2039" s="1238"/>
      <c r="B2039" s="1228" t="s">
        <v>262</v>
      </c>
      <c r="C2039" s="1228">
        <v>1000</v>
      </c>
      <c r="D2039" s="1239">
        <f>'Prec Materia Prima y Empaq'!$H$55</f>
        <v>50522</v>
      </c>
      <c r="E2039" s="1240">
        <f t="shared" si="717"/>
        <v>9599.18</v>
      </c>
      <c r="F2039" s="1241">
        <f t="shared" si="718"/>
        <v>60121.18</v>
      </c>
      <c r="G2039" s="1240">
        <f t="shared" si="719"/>
        <v>6012.1180000000004</v>
      </c>
      <c r="H2039" s="1242">
        <v>100</v>
      </c>
      <c r="I2039" s="1228" t="s">
        <v>450</v>
      </c>
      <c r="K2039" s="1242">
        <f t="shared" si="715"/>
        <v>0.23809523809523808</v>
      </c>
      <c r="L2039" s="1243">
        <f t="shared" si="716"/>
        <v>14.314566666666666</v>
      </c>
    </row>
    <row r="2040" spans="1:29" ht="15" customHeight="1" x14ac:dyDescent="0.25">
      <c r="A2040" s="1238"/>
      <c r="B2040" s="1228" t="s">
        <v>261</v>
      </c>
      <c r="C2040" s="1228">
        <v>1000</v>
      </c>
      <c r="D2040" s="1239">
        <f>'Prec Materia Prima y Empaq'!$H$12</f>
        <v>4700</v>
      </c>
      <c r="E2040" s="1240">
        <f t="shared" si="717"/>
        <v>893</v>
      </c>
      <c r="F2040" s="1241">
        <f t="shared" si="718"/>
        <v>5593</v>
      </c>
      <c r="G2040" s="1240">
        <f t="shared" si="719"/>
        <v>1118.5999999999999</v>
      </c>
      <c r="H2040" s="1242">
        <v>200</v>
      </c>
      <c r="I2040" s="1228" t="s">
        <v>450</v>
      </c>
      <c r="K2040" s="1242">
        <f t="shared" si="715"/>
        <v>0.47619047619047616</v>
      </c>
      <c r="L2040" s="1243">
        <f t="shared" si="716"/>
        <v>2.6633333333333331</v>
      </c>
    </row>
    <row r="2041" spans="1:29" ht="15" customHeight="1" x14ac:dyDescent="0.25">
      <c r="A2041" s="1238"/>
      <c r="B2041" s="1228" t="s">
        <v>268</v>
      </c>
      <c r="C2041" s="1228">
        <v>1000</v>
      </c>
      <c r="D2041" s="1239">
        <f>'Prec Materia Prima y Empaq'!$H$31</f>
        <v>20000</v>
      </c>
      <c r="E2041" s="1240">
        <v>0</v>
      </c>
      <c r="F2041" s="1241">
        <f t="shared" si="718"/>
        <v>20000</v>
      </c>
      <c r="G2041" s="1240">
        <f t="shared" si="719"/>
        <v>20000</v>
      </c>
      <c r="H2041" s="1242">
        <v>1000</v>
      </c>
      <c r="I2041" s="1228" t="s">
        <v>450</v>
      </c>
      <c r="K2041" s="1242">
        <f t="shared" si="715"/>
        <v>2.3809523809523809</v>
      </c>
      <c r="L2041" s="1243">
        <f t="shared" si="716"/>
        <v>47.61904761904762</v>
      </c>
    </row>
    <row r="2042" spans="1:29" ht="15" customHeight="1" x14ac:dyDescent="0.25">
      <c r="A2042" s="1238"/>
      <c r="B2042" s="1228" t="s">
        <v>246</v>
      </c>
      <c r="C2042" s="1228">
        <v>1000</v>
      </c>
      <c r="D2042" s="1239">
        <f>'Prec Materia Prima y Empaq'!$H$41</f>
        <v>80268</v>
      </c>
      <c r="E2042" s="1240">
        <f t="shared" si="717"/>
        <v>15250.92</v>
      </c>
      <c r="F2042" s="1241">
        <f t="shared" si="718"/>
        <v>95518.92</v>
      </c>
      <c r="G2042" s="1240">
        <f t="shared" si="719"/>
        <v>3820.7567999999997</v>
      </c>
      <c r="H2042" s="1242">
        <v>40</v>
      </c>
      <c r="I2042" s="1228" t="s">
        <v>450</v>
      </c>
      <c r="K2042" s="1242">
        <f t="shared" ref="K2042" si="720">H2042/$C$1795</f>
        <v>9.5238095238095233E-2</v>
      </c>
      <c r="L2042" s="1243">
        <f t="shared" si="716"/>
        <v>9.0970399999999998</v>
      </c>
    </row>
    <row r="2043" spans="1:29" ht="15" customHeight="1" x14ac:dyDescent="0.25">
      <c r="A2043" s="1238"/>
      <c r="B2043" s="1228" t="s">
        <v>259</v>
      </c>
      <c r="C2043" s="1228">
        <v>1000</v>
      </c>
      <c r="D2043" s="1273">
        <f>'Prec Materia Prima y Empaq'!$H$42</f>
        <v>63103</v>
      </c>
      <c r="E2043" s="1240">
        <f t="shared" ref="E2043" si="721">D2043*19%</f>
        <v>11989.57</v>
      </c>
      <c r="F2043" s="1241">
        <f t="shared" ref="F2043" si="722">+E2043+D2043</f>
        <v>75092.570000000007</v>
      </c>
      <c r="G2043" s="1240">
        <f t="shared" si="719"/>
        <v>1501.8514000000002</v>
      </c>
      <c r="H2043" s="1242">
        <v>20</v>
      </c>
      <c r="I2043" s="1228" t="s">
        <v>450</v>
      </c>
      <c r="K2043" s="1242">
        <f t="shared" ref="K2043" si="723">H2043/$C$1795</f>
        <v>4.7619047619047616E-2</v>
      </c>
      <c r="L2043" s="1243">
        <f t="shared" ref="L2043" si="724">F2043/C2043*K2043</f>
        <v>3.575836666666667</v>
      </c>
    </row>
    <row r="2044" spans="1:29" ht="15" customHeight="1" x14ac:dyDescent="0.25">
      <c r="A2044" s="1238"/>
      <c r="B2044" s="1228" t="s">
        <v>255</v>
      </c>
      <c r="C2044" s="1228">
        <v>1000</v>
      </c>
      <c r="D2044" s="1239">
        <f>'Prec Materia Prima y Empaq'!$H$26</f>
        <v>45404</v>
      </c>
      <c r="E2044" s="1240">
        <f t="shared" ref="E2044:E2045" si="725">D2044*19%</f>
        <v>8626.76</v>
      </c>
      <c r="F2044" s="1241">
        <f t="shared" ref="F2044:F2046" si="726">+E2044+D2044</f>
        <v>54030.76</v>
      </c>
      <c r="G2044" s="1240">
        <f t="shared" si="719"/>
        <v>5403.076</v>
      </c>
      <c r="H2044" s="1242">
        <v>100</v>
      </c>
      <c r="I2044" s="1228" t="s">
        <v>450</v>
      </c>
      <c r="K2044" s="1242">
        <f t="shared" ref="K2044" si="727">H2044/$C$1795</f>
        <v>0.23809523809523808</v>
      </c>
      <c r="L2044" s="1243">
        <f t="shared" ref="L2044:L2046" si="728">F2044/C2044*K2044</f>
        <v>12.864466666666667</v>
      </c>
    </row>
    <row r="2045" spans="1:29" ht="15" customHeight="1" x14ac:dyDescent="0.25">
      <c r="A2045" s="1238"/>
      <c r="B2045" s="1228" t="s">
        <v>382</v>
      </c>
      <c r="C2045" s="1228">
        <v>3785</v>
      </c>
      <c r="D2045" s="1239">
        <f>'Prec Materia Prima y Empaq'!$H$18</f>
        <v>24</v>
      </c>
      <c r="E2045" s="1240">
        <f t="shared" si="725"/>
        <v>4.5600000000000005</v>
      </c>
      <c r="F2045" s="1241">
        <f t="shared" si="726"/>
        <v>28.560000000000002</v>
      </c>
      <c r="G2045" s="1240">
        <f>F2045/C2045*H2045</f>
        <v>0.37727873183619554</v>
      </c>
      <c r="H2045" s="1242">
        <v>50</v>
      </c>
      <c r="I2045" s="1228" t="s">
        <v>450</v>
      </c>
      <c r="K2045" s="1242">
        <f t="shared" ref="K2045" si="729">H2045/$C$1966</f>
        <v>0.22727272727272727</v>
      </c>
      <c r="L2045" s="1243">
        <f t="shared" si="728"/>
        <v>1.7149033265281615E-3</v>
      </c>
    </row>
    <row r="2046" spans="1:29" ht="31.5" customHeight="1" x14ac:dyDescent="0.25">
      <c r="B2046" s="1220" t="s">
        <v>247</v>
      </c>
      <c r="C2046" s="1228">
        <v>1000</v>
      </c>
      <c r="D2046" s="1244">
        <f>'Prec Materia Prima y Empaq'!$H$7</f>
        <v>50000</v>
      </c>
      <c r="E2046" s="1240">
        <v>0</v>
      </c>
      <c r="F2046" s="1241">
        <f t="shared" si="726"/>
        <v>50000</v>
      </c>
      <c r="G2046" s="1240">
        <f>F2046/C2046*H2046</f>
        <v>32.022471910112351</v>
      </c>
      <c r="H2046" s="1245">
        <v>0.64044943820224698</v>
      </c>
      <c r="I2046" s="1245" t="s">
        <v>453</v>
      </c>
      <c r="K2046" s="1242">
        <f t="shared" ref="K2046" si="730">H2046/$C$1935</f>
        <v>2.9111338100102136E-3</v>
      </c>
      <c r="L2046" s="1243">
        <f t="shared" si="728"/>
        <v>0.14555669050051068</v>
      </c>
      <c r="N2046" s="1220" t="s">
        <v>247</v>
      </c>
      <c r="O2046" s="1247">
        <v>1</v>
      </c>
      <c r="P2046" s="1240">
        <f>$F$391/$C$391*$O$391</f>
        <v>50</v>
      </c>
      <c r="Q2046" s="1248"/>
      <c r="R2046" s="1249" t="e">
        <f>P2046/O2035</f>
        <v>#DIV/0!</v>
      </c>
      <c r="S2046" s="1248" t="e">
        <f>R2046*1000</f>
        <v>#DIV/0!</v>
      </c>
      <c r="T2046" s="1250">
        <f>O2046/$O$380*1000</f>
        <v>2.5641025641025641E-3</v>
      </c>
      <c r="U2046" s="1238">
        <f>T2046*$M$380</f>
        <v>1</v>
      </c>
      <c r="Y2046" s="1238"/>
      <c r="Z2046" s="1238"/>
      <c r="AA2046" s="1251"/>
      <c r="AC2046" s="1252"/>
    </row>
    <row r="2047" spans="1:29" ht="30.75" customHeight="1" x14ac:dyDescent="0.25">
      <c r="B2047" s="1220" t="s">
        <v>485</v>
      </c>
      <c r="C2047" s="1220">
        <v>1</v>
      </c>
      <c r="D2047" s="1244">
        <f>'Prec Materia Prima y Empaq'!$H$138</f>
        <v>650</v>
      </c>
      <c r="E2047" s="1240">
        <v>0</v>
      </c>
      <c r="F2047" s="1241">
        <f t="shared" ref="F2047:F2050" si="731">+E2047+D2047</f>
        <v>650</v>
      </c>
      <c r="G2047" s="1253">
        <f t="shared" ref="G2047:G2052" si="732">F2047*H2047</f>
        <v>273000</v>
      </c>
      <c r="H2047" s="1245">
        <f>$C$2030</f>
        <v>420</v>
      </c>
      <c r="I2047" s="1245" t="s">
        <v>453</v>
      </c>
      <c r="K2047" s="1242">
        <f t="shared" si="715"/>
        <v>1</v>
      </c>
      <c r="L2047" s="1243">
        <f t="shared" si="716"/>
        <v>650</v>
      </c>
    </row>
    <row r="2048" spans="1:29" ht="15" customHeight="1" x14ac:dyDescent="0.25">
      <c r="B2048" s="1220" t="s">
        <v>614</v>
      </c>
      <c r="C2048" s="1220">
        <v>1</v>
      </c>
      <c r="D2048" s="1244">
        <f>'Prec Materia Prima y Empaq'!$H$144</f>
        <v>70</v>
      </c>
      <c r="E2048" s="1240">
        <v>0</v>
      </c>
      <c r="F2048" s="1241">
        <f t="shared" si="731"/>
        <v>70</v>
      </c>
      <c r="G2048" s="1253">
        <f t="shared" si="732"/>
        <v>29400</v>
      </c>
      <c r="H2048" s="1245">
        <f t="shared" ref="H2048:H2052" si="733">$C$2030</f>
        <v>420</v>
      </c>
      <c r="I2048" s="1245" t="s">
        <v>453</v>
      </c>
      <c r="K2048" s="1242">
        <f t="shared" si="715"/>
        <v>1</v>
      </c>
      <c r="L2048" s="1243">
        <f t="shared" si="716"/>
        <v>70</v>
      </c>
    </row>
    <row r="2049" spans="2:12" ht="54" customHeight="1" x14ac:dyDescent="0.25">
      <c r="B2049" s="1220" t="s">
        <v>695</v>
      </c>
      <c r="C2049" s="1245">
        <v>1</v>
      </c>
      <c r="D2049" s="1272">
        <f>'Prec Materia Prima y Empaq'!$H$161</f>
        <v>300</v>
      </c>
      <c r="E2049" s="1240">
        <v>0</v>
      </c>
      <c r="F2049" s="1241">
        <f t="shared" si="731"/>
        <v>300</v>
      </c>
      <c r="G2049" s="1253">
        <f t="shared" si="732"/>
        <v>126000</v>
      </c>
      <c r="H2049" s="1245">
        <f t="shared" si="733"/>
        <v>420</v>
      </c>
      <c r="I2049" s="1245" t="s">
        <v>453</v>
      </c>
      <c r="K2049" s="1242">
        <f t="shared" si="715"/>
        <v>1</v>
      </c>
      <c r="L2049" s="1243">
        <f t="shared" si="716"/>
        <v>300</v>
      </c>
    </row>
    <row r="2050" spans="2:12" ht="15" customHeight="1" x14ac:dyDescent="0.25">
      <c r="B2050" s="1279" t="s">
        <v>675</v>
      </c>
      <c r="C2050" s="1245">
        <v>1</v>
      </c>
      <c r="D2050" s="1272">
        <f>'Prec Materia Prima y Empaq'!$H$162</f>
        <v>100</v>
      </c>
      <c r="E2050" s="1240"/>
      <c r="F2050" s="1241">
        <f t="shared" si="731"/>
        <v>100</v>
      </c>
      <c r="G2050" s="1253">
        <f t="shared" si="732"/>
        <v>42000</v>
      </c>
      <c r="H2050" s="1245">
        <f t="shared" si="733"/>
        <v>420</v>
      </c>
      <c r="I2050" s="1245" t="s">
        <v>453</v>
      </c>
      <c r="K2050" s="1242">
        <f t="shared" si="715"/>
        <v>1</v>
      </c>
      <c r="L2050" s="1243">
        <f t="shared" si="716"/>
        <v>100</v>
      </c>
    </row>
    <row r="2051" spans="2:12" ht="15" customHeight="1" x14ac:dyDescent="0.25">
      <c r="B2051" s="1220" t="s">
        <v>310</v>
      </c>
      <c r="C2051" s="1245">
        <v>1</v>
      </c>
      <c r="D2051" s="1272">
        <f>'Prec Materia Prima y Empaq'!$H$130</f>
        <v>100</v>
      </c>
      <c r="E2051" s="1240">
        <v>0</v>
      </c>
      <c r="F2051" s="1241">
        <f t="shared" ref="F2051:F2052" si="734">+E2051+D2051</f>
        <v>100</v>
      </c>
      <c r="G2051" s="1253">
        <f t="shared" si="732"/>
        <v>42000</v>
      </c>
      <c r="H2051" s="1245">
        <f t="shared" si="733"/>
        <v>420</v>
      </c>
      <c r="I2051" s="1245" t="s">
        <v>453</v>
      </c>
      <c r="K2051" s="1242">
        <f t="shared" si="715"/>
        <v>1</v>
      </c>
      <c r="L2051" s="1243">
        <f t="shared" si="716"/>
        <v>100</v>
      </c>
    </row>
    <row r="2052" spans="2:12" ht="15" customHeight="1" x14ac:dyDescent="0.25">
      <c r="B2052" s="1245" t="s">
        <v>309</v>
      </c>
      <c r="C2052" s="1245">
        <v>1</v>
      </c>
      <c r="D2052" s="1272">
        <f>'Prec Materia Prima y Empaq'!$H$129</f>
        <v>800</v>
      </c>
      <c r="E2052" s="1240">
        <v>0</v>
      </c>
      <c r="F2052" s="1241">
        <f t="shared" si="734"/>
        <v>800</v>
      </c>
      <c r="G2052" s="1253">
        <f t="shared" si="732"/>
        <v>336000</v>
      </c>
      <c r="H2052" s="1245">
        <f t="shared" si="733"/>
        <v>420</v>
      </c>
      <c r="I2052" s="1245" t="s">
        <v>453</v>
      </c>
      <c r="K2052" s="1242">
        <f t="shared" si="715"/>
        <v>1</v>
      </c>
      <c r="L2052" s="1243">
        <f t="shared" si="716"/>
        <v>800</v>
      </c>
    </row>
    <row r="2053" spans="2:12" ht="19.5" customHeight="1" thickBot="1" x14ac:dyDescent="0.3">
      <c r="B2053" s="1255"/>
      <c r="C2053" s="857"/>
      <c r="D2053" s="1256"/>
      <c r="E2053" s="1248"/>
      <c r="F2053" s="1257"/>
      <c r="G2053" s="1258">
        <f>SUM(G2036:G2052)/C2030</f>
        <v>2163.3080998824807</v>
      </c>
      <c r="H2053" s="1259" t="s">
        <v>454</v>
      </c>
      <c r="I2053" s="857"/>
      <c r="L2053" s="1260">
        <f>SUM(L2036:L2052)</f>
        <v>2163.3782292128744</v>
      </c>
    </row>
    <row r="2054" spans="2:12" ht="15" customHeight="1" thickTop="1" x14ac:dyDescent="0.25">
      <c r="B2054" s="1314" t="s">
        <v>409</v>
      </c>
      <c r="C2054" s="1315"/>
      <c r="D2054" s="1316">
        <f>+'Gtos Varios'!I14</f>
        <v>3672.93</v>
      </c>
      <c r="E2054" s="1315"/>
      <c r="F2054" s="1317">
        <f t="shared" ref="F2054" si="735">+E2054+D2054</f>
        <v>3672.93</v>
      </c>
      <c r="G2054" s="1318">
        <f>F2054</f>
        <v>3672.93</v>
      </c>
      <c r="H2054" s="1315" t="str">
        <f>B2054</f>
        <v xml:space="preserve">GASTOS VARIOS </v>
      </c>
      <c r="I2054" s="1315"/>
      <c r="J2054" s="1315"/>
    </row>
    <row r="2055" spans="2:12" ht="15" customHeight="1" x14ac:dyDescent="0.25">
      <c r="B2055" s="1255"/>
      <c r="C2055" s="857"/>
      <c r="D2055" s="1256"/>
      <c r="E2055" s="1248"/>
      <c r="F2055" s="1257"/>
      <c r="G2055" s="1266"/>
      <c r="H2055" s="857"/>
      <c r="I2055" s="857"/>
    </row>
    <row r="2056" spans="2:12" ht="15" customHeight="1" x14ac:dyDescent="0.25">
      <c r="B2056" s="1255"/>
      <c r="C2056" s="857"/>
      <c r="D2056" s="1256"/>
      <c r="E2056" s="1248"/>
      <c r="F2056" s="1257"/>
      <c r="G2056" s="1266"/>
      <c r="H2056" s="857"/>
      <c r="I2056" s="857"/>
    </row>
    <row r="2057" spans="2:12" ht="15" customHeight="1" thickBot="1" x14ac:dyDescent="0.3">
      <c r="F2057" s="1267">
        <f>SUM(F2036:F2052)</f>
        <v>396676.99</v>
      </c>
      <c r="G2057" s="1268">
        <f>SUM(G2053:G2054)</f>
        <v>5836.238099882481</v>
      </c>
      <c r="H2057" s="733" t="s">
        <v>412</v>
      </c>
    </row>
    <row r="2058" spans="2:12" ht="15" customHeight="1" thickTop="1" x14ac:dyDescent="0.25">
      <c r="G2058" s="1295">
        <f>G2057*58%</f>
        <v>3385.0180979318388</v>
      </c>
      <c r="H2058" s="1274">
        <v>0.57999999999999996</v>
      </c>
      <c r="I2058" s="733" t="s">
        <v>539</v>
      </c>
    </row>
    <row r="2059" spans="2:12" ht="15" customHeight="1" thickBot="1" x14ac:dyDescent="0.3">
      <c r="G2059" s="1270">
        <f>G2057+G2058</f>
        <v>9221.2561978143203</v>
      </c>
      <c r="H2059" s="733" t="s">
        <v>414</v>
      </c>
    </row>
    <row r="2060" spans="2:12" ht="15" customHeight="1" thickTop="1" x14ac:dyDescent="0.25"/>
    <row r="2064" spans="2:12" ht="15" customHeight="1" x14ac:dyDescent="0.25">
      <c r="B2064" s="1222" t="s">
        <v>61</v>
      </c>
      <c r="C2064" s="1219" t="s">
        <v>216</v>
      </c>
      <c r="D2064" s="733"/>
      <c r="E2064" s="853"/>
      <c r="F2064" s="1449"/>
      <c r="G2064" s="1449"/>
      <c r="H2064" s="1449"/>
    </row>
    <row r="2065" spans="1:12" ht="15" customHeight="1" x14ac:dyDescent="0.25">
      <c r="A2065" s="1223"/>
      <c r="B2065" s="1222" t="s">
        <v>62</v>
      </c>
      <c r="C2065" s="1219" t="str">
        <f>VLOOKUP(C2064,LISTPROD[],2,FALSE)</f>
        <v>WILTRON</v>
      </c>
      <c r="D2065" s="1219" t="s">
        <v>486</v>
      </c>
      <c r="E2065" s="853" t="s">
        <v>714</v>
      </c>
      <c r="F2065" s="1449"/>
      <c r="G2065" s="1449"/>
      <c r="H2065" s="1449"/>
    </row>
    <row r="2066" spans="1:12" ht="15" customHeight="1" x14ac:dyDescent="0.25">
      <c r="B2066" s="1222" t="s">
        <v>234</v>
      </c>
      <c r="C2066" s="1219" t="str">
        <f>VLOOKUP(C2064,LISTPROD[],9,FALSE)</f>
        <v>500 ML</v>
      </c>
      <c r="D2066" s="733"/>
      <c r="E2066" s="853"/>
      <c r="F2066" s="1449"/>
      <c r="G2066" s="1449"/>
      <c r="H2066" s="1449"/>
    </row>
    <row r="2067" spans="1:12" ht="15" customHeight="1" x14ac:dyDescent="0.25">
      <c r="B2067" s="1222" t="s">
        <v>239</v>
      </c>
      <c r="C2067" s="1224">
        <v>840</v>
      </c>
      <c r="D2067" s="1218"/>
      <c r="E2067" s="853"/>
      <c r="F2067" s="1449"/>
      <c r="G2067" s="1449"/>
      <c r="H2067" s="1449"/>
    </row>
    <row r="2068" spans="1:12" ht="15" customHeight="1" x14ac:dyDescent="0.25">
      <c r="B2068" s="1222" t="s">
        <v>240</v>
      </c>
      <c r="C2068" s="1219"/>
      <c r="D2068" s="733"/>
      <c r="F2068" s="1449"/>
      <c r="G2068" s="1449"/>
      <c r="H2068" s="1449"/>
    </row>
    <row r="2069" spans="1:12" ht="15" customHeight="1" x14ac:dyDescent="0.25">
      <c r="B2069" s="1222" t="s">
        <v>238</v>
      </c>
      <c r="C2069" s="733" t="s">
        <v>56</v>
      </c>
      <c r="D2069" s="1218" t="s">
        <v>449</v>
      </c>
    </row>
    <row r="2070" spans="1:12" ht="15" customHeight="1" x14ac:dyDescent="0.25">
      <c r="B2070" s="1225" t="s">
        <v>410</v>
      </c>
      <c r="C2070" s="1326">
        <v>240</v>
      </c>
      <c r="D2070" s="1226"/>
    </row>
    <row r="2071" spans="1:12" ht="15" customHeight="1" x14ac:dyDescent="0.25">
      <c r="A2071" s="1227"/>
      <c r="B2071" s="1436" t="s">
        <v>404</v>
      </c>
      <c r="C2071" s="1436"/>
      <c r="D2071" s="1436"/>
      <c r="E2071" s="1436"/>
      <c r="F2071" s="1436"/>
      <c r="G2071" s="1228"/>
      <c r="H2071" s="1437" t="s">
        <v>416</v>
      </c>
      <c r="I2071" s="1438"/>
    </row>
    <row r="2072" spans="1:12" ht="34.5" customHeight="1" x14ac:dyDescent="0.25">
      <c r="A2072" s="1229"/>
      <c r="B2072" s="1230" t="s">
        <v>398</v>
      </c>
      <c r="C2072" s="1231" t="s">
        <v>441</v>
      </c>
      <c r="D2072" s="1232" t="s">
        <v>399</v>
      </c>
      <c r="E2072" s="1233" t="s">
        <v>402</v>
      </c>
      <c r="F2072" s="1232" t="s">
        <v>399</v>
      </c>
      <c r="G2072" s="1232" t="s">
        <v>411</v>
      </c>
      <c r="H2072" s="1234" t="s">
        <v>408</v>
      </c>
      <c r="I2072" s="1235" t="s">
        <v>415</v>
      </c>
      <c r="K2072" s="1236" t="s">
        <v>603</v>
      </c>
      <c r="L2072" s="1237" t="s">
        <v>604</v>
      </c>
    </row>
    <row r="2073" spans="1:12" ht="15" customHeight="1" x14ac:dyDescent="0.25">
      <c r="A2073" s="1238"/>
      <c r="B2073" s="1228" t="s">
        <v>248</v>
      </c>
      <c r="C2073" s="1228">
        <v>1000</v>
      </c>
      <c r="D2073" s="1239">
        <f>'Prec Materia Prima y Empaq'!$H$21</f>
        <v>15400</v>
      </c>
      <c r="E2073" s="1240">
        <f>D2073*19%</f>
        <v>2926</v>
      </c>
      <c r="F2073" s="1241">
        <f>+E2073+D2073</f>
        <v>18326</v>
      </c>
      <c r="G2073" s="1240">
        <f>F2073/C2073*H2073</f>
        <v>14660.800000000001</v>
      </c>
      <c r="H2073" s="1242">
        <v>800</v>
      </c>
      <c r="I2073" s="1228" t="s">
        <v>450</v>
      </c>
      <c r="K2073" s="1242">
        <f>H2073/$C$2067</f>
        <v>0.95238095238095233</v>
      </c>
      <c r="L2073" s="1243">
        <f>F2073/C2073*K2073</f>
        <v>17.453333333333333</v>
      </c>
    </row>
    <row r="2074" spans="1:12" ht="15" customHeight="1" x14ac:dyDescent="0.25">
      <c r="A2074" s="1238"/>
      <c r="B2074" s="1228" t="s">
        <v>443</v>
      </c>
      <c r="C2074" s="1228">
        <v>1000</v>
      </c>
      <c r="D2074" s="1239">
        <f>'Prec Materia Prima y Empaq'!$H$11</f>
        <v>8000</v>
      </c>
      <c r="E2074" s="1240">
        <f t="shared" ref="E2074:E2079" si="736">D2074*19%</f>
        <v>1520</v>
      </c>
      <c r="F2074" s="1241">
        <f t="shared" ref="F2074:F2085" si="737">+E2074+D2074</f>
        <v>9520</v>
      </c>
      <c r="G2074" s="1240">
        <f t="shared" ref="G2074:G2080" si="738">F2074/C2074*H2074</f>
        <v>5712</v>
      </c>
      <c r="H2074" s="1242">
        <v>600</v>
      </c>
      <c r="I2074" s="1228" t="s">
        <v>450</v>
      </c>
      <c r="K2074" s="1242">
        <f>H2074/$C$2067</f>
        <v>0.7142857142857143</v>
      </c>
      <c r="L2074" s="1243">
        <f t="shared" ref="L2074:L2086" si="739">F2074/C2074*K2074</f>
        <v>6.8</v>
      </c>
    </row>
    <row r="2075" spans="1:12" ht="15" customHeight="1" x14ac:dyDescent="0.25">
      <c r="A2075" s="1238"/>
      <c r="B2075" s="1228" t="s">
        <v>253</v>
      </c>
      <c r="C2075" s="1228">
        <v>1000</v>
      </c>
      <c r="D2075" s="1239">
        <f>'Prec Materia Prima y Empaq'!$H$9</f>
        <v>5400</v>
      </c>
      <c r="E2075" s="1240">
        <f t="shared" si="736"/>
        <v>1026</v>
      </c>
      <c r="F2075" s="1241">
        <f t="shared" si="737"/>
        <v>6426</v>
      </c>
      <c r="G2075" s="1240">
        <f t="shared" si="738"/>
        <v>6426</v>
      </c>
      <c r="H2075" s="1242">
        <v>1000</v>
      </c>
      <c r="I2075" s="1228" t="s">
        <v>450</v>
      </c>
      <c r="K2075" s="1242">
        <f t="shared" ref="K2075:K2086" si="740">H2075/$C$2067</f>
        <v>1.1904761904761905</v>
      </c>
      <c r="L2075" s="1243">
        <f t="shared" si="739"/>
        <v>7.65</v>
      </c>
    </row>
    <row r="2076" spans="1:12" ht="15" customHeight="1" x14ac:dyDescent="0.25">
      <c r="A2076" s="1238"/>
      <c r="B2076" s="1228" t="s">
        <v>262</v>
      </c>
      <c r="C2076" s="1228">
        <v>1000</v>
      </c>
      <c r="D2076" s="1239">
        <f>'Prec Materia Prima y Empaq'!$H$55</f>
        <v>50522</v>
      </c>
      <c r="E2076" s="1240">
        <f t="shared" si="736"/>
        <v>9599.18</v>
      </c>
      <c r="F2076" s="1241">
        <f t="shared" si="737"/>
        <v>60121.18</v>
      </c>
      <c r="G2076" s="1240">
        <f t="shared" si="738"/>
        <v>6012.1180000000004</v>
      </c>
      <c r="H2076" s="1242">
        <v>100</v>
      </c>
      <c r="I2076" s="1228" t="s">
        <v>450</v>
      </c>
      <c r="K2076" s="1242">
        <f t="shared" si="740"/>
        <v>0.11904761904761904</v>
      </c>
      <c r="L2076" s="1243">
        <f t="shared" si="739"/>
        <v>7.157283333333333</v>
      </c>
    </row>
    <row r="2077" spans="1:12" ht="15" customHeight="1" x14ac:dyDescent="0.25">
      <c r="A2077" s="1238"/>
      <c r="B2077" s="1228" t="s">
        <v>269</v>
      </c>
      <c r="C2077" s="1228">
        <v>1000</v>
      </c>
      <c r="D2077" s="1273">
        <f>'Prec Materia Prima y Empaq'!$H$47</f>
        <v>49240</v>
      </c>
      <c r="E2077" s="1240">
        <f t="shared" ref="E2077" si="741">D2077*19%</f>
        <v>9355.6</v>
      </c>
      <c r="F2077" s="1241">
        <f t="shared" ref="F2077" si="742">+E2077+D2077</f>
        <v>58595.6</v>
      </c>
      <c r="G2077" s="1240">
        <f t="shared" ref="G2077" si="743">F2077/C2077*H2077</f>
        <v>17578.68</v>
      </c>
      <c r="H2077" s="1242">
        <v>300</v>
      </c>
      <c r="I2077" s="1228" t="s">
        <v>450</v>
      </c>
      <c r="K2077" s="1242">
        <f t="shared" ref="K2077" si="744">H2077/$C$2067</f>
        <v>0.35714285714285715</v>
      </c>
      <c r="L2077" s="1243">
        <f t="shared" ref="L2077" si="745">F2077/C2077*K2077</f>
        <v>20.927</v>
      </c>
    </row>
    <row r="2078" spans="1:12" ht="15" customHeight="1" x14ac:dyDescent="0.25">
      <c r="A2078" s="1238"/>
      <c r="B2078" s="1228" t="s">
        <v>261</v>
      </c>
      <c r="C2078" s="1228">
        <v>1000</v>
      </c>
      <c r="D2078" s="1239">
        <f>'Prec Materia Prima y Empaq'!$H$12</f>
        <v>4700</v>
      </c>
      <c r="E2078" s="1240">
        <f t="shared" si="736"/>
        <v>893</v>
      </c>
      <c r="F2078" s="1241">
        <f t="shared" si="737"/>
        <v>5593</v>
      </c>
      <c r="G2078" s="1240">
        <f t="shared" si="738"/>
        <v>1118.5999999999999</v>
      </c>
      <c r="H2078" s="1242">
        <v>200</v>
      </c>
      <c r="I2078" s="1228" t="s">
        <v>450</v>
      </c>
      <c r="K2078" s="1242">
        <f t="shared" si="740"/>
        <v>0.23809523809523808</v>
      </c>
      <c r="L2078" s="1243">
        <f t="shared" si="739"/>
        <v>1.3316666666666666</v>
      </c>
    </row>
    <row r="2079" spans="1:12" ht="15" customHeight="1" x14ac:dyDescent="0.25">
      <c r="A2079" s="1238"/>
      <c r="B2079" s="1228" t="s">
        <v>246</v>
      </c>
      <c r="C2079" s="1228">
        <v>1000</v>
      </c>
      <c r="D2079" s="1239">
        <f>'Prec Materia Prima y Empaq'!$H$41</f>
        <v>80268</v>
      </c>
      <c r="E2079" s="1240">
        <f t="shared" si="736"/>
        <v>15250.92</v>
      </c>
      <c r="F2079" s="1241">
        <f t="shared" si="737"/>
        <v>95518.92</v>
      </c>
      <c r="G2079" s="1240">
        <f t="shared" si="738"/>
        <v>5731.1351999999997</v>
      </c>
      <c r="H2079" s="1242">
        <v>60</v>
      </c>
      <c r="I2079" s="1228" t="s">
        <v>450</v>
      </c>
      <c r="K2079" s="1242">
        <f t="shared" si="740"/>
        <v>7.1428571428571425E-2</v>
      </c>
      <c r="L2079" s="1243">
        <f t="shared" si="739"/>
        <v>6.822779999999999</v>
      </c>
    </row>
    <row r="2080" spans="1:12" ht="15" customHeight="1" x14ac:dyDescent="0.25">
      <c r="A2080" s="1238"/>
      <c r="B2080" s="1228" t="s">
        <v>268</v>
      </c>
      <c r="C2080" s="1228">
        <v>1000</v>
      </c>
      <c r="D2080" s="1239">
        <f>'Prec Materia Prima y Empaq'!$H$31</f>
        <v>20000</v>
      </c>
      <c r="E2080" s="1240">
        <v>0</v>
      </c>
      <c r="F2080" s="1241">
        <f t="shared" si="737"/>
        <v>20000</v>
      </c>
      <c r="G2080" s="1240">
        <f t="shared" si="738"/>
        <v>20000</v>
      </c>
      <c r="H2080" s="1242">
        <v>1000</v>
      </c>
      <c r="I2080" s="1228" t="s">
        <v>450</v>
      </c>
      <c r="K2080" s="1242">
        <f t="shared" si="740"/>
        <v>1.1904761904761905</v>
      </c>
      <c r="L2080" s="1243">
        <f t="shared" si="739"/>
        <v>23.80952380952381</v>
      </c>
    </row>
    <row r="2081" spans="1:29" ht="15" customHeight="1" x14ac:dyDescent="0.25">
      <c r="A2081" s="1238"/>
      <c r="B2081" s="1228" t="s">
        <v>382</v>
      </c>
      <c r="C2081" s="1228">
        <v>3785</v>
      </c>
      <c r="D2081" s="1239">
        <f>'Prec Materia Prima y Empaq'!$H$18</f>
        <v>24</v>
      </c>
      <c r="E2081" s="1240">
        <f t="shared" ref="E2081" si="746">D2081*19%</f>
        <v>4.5600000000000005</v>
      </c>
      <c r="F2081" s="1241">
        <f t="shared" si="737"/>
        <v>28.560000000000002</v>
      </c>
      <c r="G2081" s="1240">
        <f>F2081/C2081*H2081</f>
        <v>0.37727873183619554</v>
      </c>
      <c r="H2081" s="1242">
        <v>50</v>
      </c>
      <c r="I2081" s="1228" t="s">
        <v>450</v>
      </c>
      <c r="K2081" s="1242">
        <f t="shared" ref="K2081" si="747">H2081/$C$1966</f>
        <v>0.22727272727272727</v>
      </c>
      <c r="L2081" s="1243">
        <f t="shared" si="739"/>
        <v>1.7149033265281615E-3</v>
      </c>
    </row>
    <row r="2082" spans="1:29" ht="31.5" customHeight="1" x14ac:dyDescent="0.25">
      <c r="B2082" s="1220" t="s">
        <v>247</v>
      </c>
      <c r="C2082" s="1228">
        <v>1000</v>
      </c>
      <c r="D2082" s="1244">
        <f>'Prec Materia Prima y Empaq'!$H$7</f>
        <v>50000</v>
      </c>
      <c r="E2082" s="1240">
        <v>0</v>
      </c>
      <c r="F2082" s="1241">
        <f t="shared" si="737"/>
        <v>50000</v>
      </c>
      <c r="G2082" s="1240">
        <f>F2082/C2082*H2082</f>
        <v>32.022471910112351</v>
      </c>
      <c r="H2082" s="1245">
        <v>0.64044943820224698</v>
      </c>
      <c r="I2082" s="1245" t="s">
        <v>453</v>
      </c>
      <c r="K2082" s="1242">
        <f t="shared" ref="K2082" si="748">H2082/$C$1935</f>
        <v>2.9111338100102136E-3</v>
      </c>
      <c r="L2082" s="1243">
        <f t="shared" si="739"/>
        <v>0.14555669050051068</v>
      </c>
      <c r="N2082" s="1220" t="s">
        <v>247</v>
      </c>
      <c r="O2082" s="1247">
        <v>1</v>
      </c>
      <c r="P2082" s="1240">
        <f>$F$391/$C$391*$O$391</f>
        <v>50</v>
      </c>
      <c r="Q2082" s="1248"/>
      <c r="R2082" s="1249" t="e">
        <f>P2082/O2071</f>
        <v>#DIV/0!</v>
      </c>
      <c r="S2082" s="1248" t="e">
        <f>R2082*1000</f>
        <v>#DIV/0!</v>
      </c>
      <c r="T2082" s="1250">
        <f>O2082/$O$380*1000</f>
        <v>2.5641025641025641E-3</v>
      </c>
      <c r="U2082" s="1238">
        <f>T2082*$M$380</f>
        <v>1</v>
      </c>
      <c r="Y2082" s="1238"/>
      <c r="Z2082" s="1238"/>
      <c r="AA2082" s="1251"/>
      <c r="AC2082" s="1252"/>
    </row>
    <row r="2083" spans="1:29" ht="30.75" customHeight="1" x14ac:dyDescent="0.25">
      <c r="B2083" s="1279" t="s">
        <v>621</v>
      </c>
      <c r="C2083" s="1220">
        <v>1</v>
      </c>
      <c r="D2083" s="1244">
        <f>'Prec Materia Prima y Empaq'!$H$146</f>
        <v>350</v>
      </c>
      <c r="E2083" s="1240">
        <v>0</v>
      </c>
      <c r="F2083" s="1241">
        <f t="shared" si="737"/>
        <v>350</v>
      </c>
      <c r="G2083" s="1253">
        <f t="shared" ref="G2083:G2085" si="749">F2083*H2083</f>
        <v>294000</v>
      </c>
      <c r="H2083" s="1245">
        <f>$C$2067</f>
        <v>840</v>
      </c>
      <c r="I2083" s="1245" t="s">
        <v>453</v>
      </c>
      <c r="K2083" s="1242">
        <f t="shared" si="740"/>
        <v>1</v>
      </c>
      <c r="L2083" s="1243">
        <f t="shared" si="739"/>
        <v>350</v>
      </c>
    </row>
    <row r="2084" spans="1:29" ht="27.75" customHeight="1" x14ac:dyDescent="0.25">
      <c r="B2084" s="1220" t="s">
        <v>683</v>
      </c>
      <c r="C2084" s="1220">
        <v>1</v>
      </c>
      <c r="D2084" s="1244">
        <f>'Prec Materia Prima y Empaq'!$H$148</f>
        <v>70</v>
      </c>
      <c r="E2084" s="1240">
        <v>0</v>
      </c>
      <c r="F2084" s="1241">
        <f t="shared" si="737"/>
        <v>70</v>
      </c>
      <c r="G2084" s="1253">
        <f t="shared" si="749"/>
        <v>58800</v>
      </c>
      <c r="H2084" s="1245">
        <f t="shared" ref="H2084:H2086" si="750">$C$2067</f>
        <v>840</v>
      </c>
      <c r="I2084" s="1245" t="s">
        <v>453</v>
      </c>
      <c r="K2084" s="1242">
        <f t="shared" si="740"/>
        <v>1</v>
      </c>
      <c r="L2084" s="1243">
        <f t="shared" si="739"/>
        <v>70</v>
      </c>
    </row>
    <row r="2085" spans="1:29" ht="23.25" customHeight="1" x14ac:dyDescent="0.25">
      <c r="B2085" s="1245" t="s">
        <v>760</v>
      </c>
      <c r="C2085" s="1245">
        <v>1</v>
      </c>
      <c r="D2085" s="1244">
        <f>'Prec Materia Prima y Empaq'!H153</f>
        <v>100</v>
      </c>
      <c r="E2085" s="1240">
        <v>0</v>
      </c>
      <c r="F2085" s="1241">
        <f t="shared" si="737"/>
        <v>100</v>
      </c>
      <c r="G2085" s="1253">
        <f t="shared" si="749"/>
        <v>84000</v>
      </c>
      <c r="H2085" s="1245">
        <f t="shared" si="750"/>
        <v>840</v>
      </c>
      <c r="I2085" s="1245" t="s">
        <v>453</v>
      </c>
      <c r="K2085" s="1242">
        <f t="shared" si="740"/>
        <v>1</v>
      </c>
      <c r="L2085" s="1243">
        <f t="shared" si="739"/>
        <v>100</v>
      </c>
    </row>
    <row r="2086" spans="1:29" ht="28.5" customHeight="1" x14ac:dyDescent="0.25">
      <c r="A2086" s="1327" t="s">
        <v>738</v>
      </c>
      <c r="B2086" s="1245" t="s">
        <v>737</v>
      </c>
      <c r="C2086" s="1245">
        <v>1</v>
      </c>
      <c r="D2086" s="1244">
        <f>'Prec Materia Prima y Empaq'!H154</f>
        <v>1000</v>
      </c>
      <c r="E2086" s="1240">
        <v>0</v>
      </c>
      <c r="F2086" s="1241">
        <f t="shared" ref="F2086" si="751">+E2086+D2086</f>
        <v>1000</v>
      </c>
      <c r="G2086" s="1253">
        <f t="shared" ref="G2086" si="752">F2086*H2086</f>
        <v>840000</v>
      </c>
      <c r="H2086" s="1245">
        <f t="shared" si="750"/>
        <v>840</v>
      </c>
      <c r="I2086" s="1245" t="s">
        <v>453</v>
      </c>
      <c r="K2086" s="1242">
        <f t="shared" si="740"/>
        <v>1</v>
      </c>
      <c r="L2086" s="1243">
        <f t="shared" si="739"/>
        <v>1000</v>
      </c>
    </row>
    <row r="2087" spans="1:29" ht="19.5" customHeight="1" thickBot="1" x14ac:dyDescent="0.3">
      <c r="B2087" s="1255"/>
      <c r="C2087" s="857"/>
      <c r="D2087" s="1256"/>
      <c r="E2087" s="1248"/>
      <c r="F2087" s="1257"/>
      <c r="G2087" s="1258">
        <f>SUM(G2073:G2086)/C2067</f>
        <v>1611.9901582745738</v>
      </c>
      <c r="H2087" s="1259" t="s">
        <v>454</v>
      </c>
      <c r="I2087" s="857"/>
      <c r="L2087" s="1260">
        <f>SUM(L2073:L2086)</f>
        <v>1612.0988587366842</v>
      </c>
    </row>
    <row r="2088" spans="1:29" ht="15" customHeight="1" thickTop="1" x14ac:dyDescent="0.25">
      <c r="B2088" s="1314" t="s">
        <v>409</v>
      </c>
      <c r="C2088" s="1315"/>
      <c r="D2088" s="1316">
        <f>+'Gtos Varios'!I14</f>
        <v>3672.93</v>
      </c>
      <c r="E2088" s="1315"/>
      <c r="F2088" s="1317">
        <f t="shared" ref="F2088" si="753">+E2088+D2088</f>
        <v>3672.93</v>
      </c>
      <c r="G2088" s="1318">
        <f>F2088</f>
        <v>3672.93</v>
      </c>
      <c r="H2088" s="1315" t="str">
        <f>B2088</f>
        <v xml:space="preserve">GASTOS VARIOS </v>
      </c>
      <c r="I2088" s="857"/>
    </row>
    <row r="2089" spans="1:29" ht="15" customHeight="1" x14ac:dyDescent="0.25">
      <c r="B2089" s="1255"/>
      <c r="C2089" s="857"/>
      <c r="D2089" s="1256"/>
      <c r="E2089" s="1248"/>
      <c r="F2089" s="1257"/>
      <c r="G2089" s="1266"/>
      <c r="H2089" s="857"/>
      <c r="I2089" s="857"/>
    </row>
    <row r="2090" spans="1:29" ht="15" customHeight="1" x14ac:dyDescent="0.25">
      <c r="B2090" s="1255"/>
      <c r="C2090" s="857"/>
      <c r="D2090" s="1256"/>
      <c r="E2090" s="1248"/>
      <c r="F2090" s="1257"/>
      <c r="G2090" s="1266"/>
      <c r="H2090" s="857"/>
      <c r="I2090" s="857"/>
    </row>
    <row r="2091" spans="1:29" ht="15" customHeight="1" thickBot="1" x14ac:dyDescent="0.3">
      <c r="F2091" s="1267">
        <f>SUM(F2074:F2086)</f>
        <v>307323.26</v>
      </c>
      <c r="G2091" s="1268">
        <f>SUM(G2087:G2088)</f>
        <v>5284.9201582745736</v>
      </c>
      <c r="H2091" s="733" t="s">
        <v>412</v>
      </c>
    </row>
    <row r="2092" spans="1:29" ht="15" customHeight="1" thickTop="1" x14ac:dyDescent="0.25">
      <c r="G2092" s="1295">
        <f>G2091*64%</f>
        <v>3382.348901295727</v>
      </c>
      <c r="H2092" s="1274">
        <v>0.69</v>
      </c>
      <c r="I2092" s="733" t="s">
        <v>539</v>
      </c>
    </row>
    <row r="2093" spans="1:29" ht="15" customHeight="1" thickBot="1" x14ac:dyDescent="0.3">
      <c r="G2093" s="1270">
        <f>G2091+G2092</f>
        <v>8667.2690595703007</v>
      </c>
      <c r="H2093" s="733" t="s">
        <v>414</v>
      </c>
    </row>
    <row r="2094" spans="1:29" ht="15" customHeight="1" thickTop="1" x14ac:dyDescent="0.25"/>
    <row r="2097" spans="1:12" ht="15" customHeight="1" x14ac:dyDescent="0.25">
      <c r="B2097" s="1222" t="s">
        <v>61</v>
      </c>
      <c r="C2097" s="1219" t="s">
        <v>218</v>
      </c>
      <c r="D2097" s="733"/>
    </row>
    <row r="2098" spans="1:12" ht="15" customHeight="1" x14ac:dyDescent="0.25">
      <c r="A2098" s="1223" t="s">
        <v>718</v>
      </c>
      <c r="B2098" s="1222" t="s">
        <v>62</v>
      </c>
      <c r="C2098" s="1219" t="str">
        <f>VLOOKUP(C2097,LISTPROD[],2,FALSE)</f>
        <v>ZARZAPARILLA</v>
      </c>
      <c r="D2098" s="1219" t="s">
        <v>486</v>
      </c>
      <c r="E2098" s="1303" t="s">
        <v>724</v>
      </c>
    </row>
    <row r="2099" spans="1:12" ht="15" customHeight="1" x14ac:dyDescent="0.25">
      <c r="B2099" s="1222" t="s">
        <v>234</v>
      </c>
      <c r="C2099" s="1219" t="str">
        <f>VLOOKUP(C2097,LISTPROD[],9,FALSE)</f>
        <v>500 ML</v>
      </c>
      <c r="D2099" s="733"/>
    </row>
    <row r="2100" spans="1:12" ht="15" customHeight="1" x14ac:dyDescent="0.25">
      <c r="B2100" s="1222" t="s">
        <v>239</v>
      </c>
      <c r="C2100" s="1224">
        <v>420</v>
      </c>
      <c r="D2100" s="1218"/>
    </row>
    <row r="2101" spans="1:12" ht="15" customHeight="1" x14ac:dyDescent="0.25">
      <c r="B2101" s="1222" t="s">
        <v>240</v>
      </c>
      <c r="C2101" s="1219"/>
      <c r="D2101" s="733"/>
    </row>
    <row r="2102" spans="1:12" ht="15" customHeight="1" x14ac:dyDescent="0.25">
      <c r="B2102" s="1222" t="s">
        <v>238</v>
      </c>
      <c r="C2102" s="733" t="s">
        <v>56</v>
      </c>
      <c r="D2102" s="1218" t="s">
        <v>449</v>
      </c>
    </row>
    <row r="2103" spans="1:12" ht="15" customHeight="1" x14ac:dyDescent="0.25">
      <c r="B2103" s="1225" t="s">
        <v>410</v>
      </c>
      <c r="C2103" s="753">
        <v>500</v>
      </c>
      <c r="D2103" s="1226"/>
    </row>
    <row r="2104" spans="1:12" ht="15" customHeight="1" x14ac:dyDescent="0.25">
      <c r="A2104" s="1227"/>
      <c r="B2104" s="1436" t="s">
        <v>404</v>
      </c>
      <c r="C2104" s="1436"/>
      <c r="D2104" s="1436"/>
      <c r="E2104" s="1436"/>
      <c r="F2104" s="1436"/>
      <c r="G2104" s="1228"/>
      <c r="H2104" s="1437" t="s">
        <v>416</v>
      </c>
      <c r="I2104" s="1438"/>
    </row>
    <row r="2105" spans="1:12" ht="34.5" customHeight="1" x14ac:dyDescent="0.25">
      <c r="A2105" s="1229"/>
      <c r="B2105" s="1230" t="s">
        <v>398</v>
      </c>
      <c r="C2105" s="1231" t="s">
        <v>441</v>
      </c>
      <c r="D2105" s="1232" t="s">
        <v>399</v>
      </c>
      <c r="E2105" s="1233" t="s">
        <v>402</v>
      </c>
      <c r="F2105" s="1232" t="s">
        <v>399</v>
      </c>
      <c r="G2105" s="1232" t="s">
        <v>411</v>
      </c>
      <c r="H2105" s="1234" t="s">
        <v>408</v>
      </c>
      <c r="I2105" s="1235" t="s">
        <v>415</v>
      </c>
      <c r="K2105" s="1236" t="s">
        <v>603</v>
      </c>
      <c r="L2105" s="1237" t="s">
        <v>604</v>
      </c>
    </row>
    <row r="2106" spans="1:12" ht="15" customHeight="1" x14ac:dyDescent="0.25">
      <c r="A2106" s="1238"/>
      <c r="B2106" s="1228" t="s">
        <v>248</v>
      </c>
      <c r="C2106" s="1228">
        <v>1000</v>
      </c>
      <c r="D2106" s="1239">
        <f>'Prec Materia Prima y Empaq'!$H$21</f>
        <v>15400</v>
      </c>
      <c r="E2106" s="1240">
        <f>D2106*19%</f>
        <v>2926</v>
      </c>
      <c r="F2106" s="1241">
        <f>+E2106+D2106</f>
        <v>18326</v>
      </c>
      <c r="G2106" s="1240">
        <f>F2106/C2106*H2106</f>
        <v>7330.4000000000005</v>
      </c>
      <c r="H2106" s="1242">
        <v>400</v>
      </c>
      <c r="I2106" s="1228" t="s">
        <v>450</v>
      </c>
      <c r="K2106" s="1242">
        <f>H2106/$C$2100</f>
        <v>0.95238095238095233</v>
      </c>
      <c r="L2106" s="1243">
        <f>F2106/C2106*K2106</f>
        <v>17.453333333333333</v>
      </c>
    </row>
    <row r="2107" spans="1:12" ht="15" customHeight="1" x14ac:dyDescent="0.25">
      <c r="A2107" s="1238"/>
      <c r="B2107" s="1228" t="s">
        <v>443</v>
      </c>
      <c r="C2107" s="1228">
        <v>1000</v>
      </c>
      <c r="D2107" s="1239">
        <f>'Prec Materia Prima y Empaq'!$H$11</f>
        <v>8000</v>
      </c>
      <c r="E2107" s="1240">
        <f t="shared" ref="E2107:E2113" si="754">D2107*19%</f>
        <v>1520</v>
      </c>
      <c r="F2107" s="1241">
        <f t="shared" ref="F2107:F2119" si="755">+E2107+D2107</f>
        <v>9520</v>
      </c>
      <c r="G2107" s="1240">
        <f t="shared" ref="G2107:G2111" si="756">F2107/C2107*H2107</f>
        <v>5712</v>
      </c>
      <c r="H2107" s="1242">
        <v>600</v>
      </c>
      <c r="I2107" s="1228" t="s">
        <v>450</v>
      </c>
      <c r="K2107" s="1242">
        <f t="shared" ref="K2107:K2113" si="757">H2107/$C$2100</f>
        <v>1.4285714285714286</v>
      </c>
      <c r="L2107" s="1243">
        <f t="shared" ref="L2107:L2119" si="758">F2107/C2107*K2107</f>
        <v>13.6</v>
      </c>
    </row>
    <row r="2108" spans="1:12" ht="15" customHeight="1" x14ac:dyDescent="0.25">
      <c r="A2108" s="1238"/>
      <c r="B2108" s="1228" t="s">
        <v>253</v>
      </c>
      <c r="C2108" s="1228">
        <v>1000</v>
      </c>
      <c r="D2108" s="1239">
        <f>'Prec Materia Prima y Empaq'!$H$9</f>
        <v>5400</v>
      </c>
      <c r="E2108" s="1240">
        <f t="shared" si="754"/>
        <v>1026</v>
      </c>
      <c r="F2108" s="1241">
        <f t="shared" si="755"/>
        <v>6426</v>
      </c>
      <c r="G2108" s="1240">
        <f t="shared" si="756"/>
        <v>3213</v>
      </c>
      <c r="H2108" s="1242">
        <v>500</v>
      </c>
      <c r="I2108" s="1228" t="s">
        <v>450</v>
      </c>
      <c r="K2108" s="1242">
        <f t="shared" si="757"/>
        <v>1.1904761904761905</v>
      </c>
      <c r="L2108" s="1243">
        <f t="shared" si="758"/>
        <v>7.65</v>
      </c>
    </row>
    <row r="2109" spans="1:12" ht="15" customHeight="1" x14ac:dyDescent="0.25">
      <c r="A2109" s="1238"/>
      <c r="B2109" s="1228" t="s">
        <v>245</v>
      </c>
      <c r="C2109" s="1228">
        <v>1000</v>
      </c>
      <c r="D2109" s="1239">
        <f>'Prec Materia Prima y Empaq'!$H$44</f>
        <v>52325</v>
      </c>
      <c r="E2109" s="1240">
        <f t="shared" si="754"/>
        <v>9941.75</v>
      </c>
      <c r="F2109" s="1241">
        <f t="shared" si="755"/>
        <v>62266.75</v>
      </c>
      <c r="G2109" s="1240">
        <f t="shared" si="756"/>
        <v>6226.6750000000002</v>
      </c>
      <c r="H2109" s="1242">
        <v>100</v>
      </c>
      <c r="I2109" s="1228" t="s">
        <v>450</v>
      </c>
      <c r="K2109" s="1242">
        <f t="shared" si="757"/>
        <v>0.23809523809523808</v>
      </c>
      <c r="L2109" s="1243">
        <f t="shared" si="758"/>
        <v>14.825416666666666</v>
      </c>
    </row>
    <row r="2110" spans="1:12" ht="15" customHeight="1" x14ac:dyDescent="0.25">
      <c r="A2110" s="1238"/>
      <c r="B2110" s="1228" t="s">
        <v>261</v>
      </c>
      <c r="C2110" s="1228">
        <v>1000</v>
      </c>
      <c r="D2110" s="1239">
        <f>'Prec Materia Prima y Empaq'!$H$12</f>
        <v>4700</v>
      </c>
      <c r="E2110" s="1240">
        <f t="shared" si="754"/>
        <v>893</v>
      </c>
      <c r="F2110" s="1241">
        <f t="shared" si="755"/>
        <v>5593</v>
      </c>
      <c r="G2110" s="1240">
        <f t="shared" si="756"/>
        <v>1118.5999999999999</v>
      </c>
      <c r="H2110" s="1242">
        <v>200</v>
      </c>
      <c r="I2110" s="1228" t="s">
        <v>450</v>
      </c>
      <c r="K2110" s="1242">
        <f t="shared" si="757"/>
        <v>0.47619047619047616</v>
      </c>
      <c r="L2110" s="1243">
        <f t="shared" si="758"/>
        <v>2.6633333333333331</v>
      </c>
    </row>
    <row r="2111" spans="1:12" ht="15" customHeight="1" x14ac:dyDescent="0.25">
      <c r="A2111" s="1238"/>
      <c r="B2111" s="1228" t="s">
        <v>246</v>
      </c>
      <c r="C2111" s="1228">
        <v>1000</v>
      </c>
      <c r="D2111" s="1239">
        <f>'Prec Materia Prima y Empaq'!$H$41</f>
        <v>80268</v>
      </c>
      <c r="E2111" s="1240">
        <f t="shared" si="754"/>
        <v>15250.92</v>
      </c>
      <c r="F2111" s="1241">
        <f t="shared" si="755"/>
        <v>95518.92</v>
      </c>
      <c r="G2111" s="1240">
        <f t="shared" si="756"/>
        <v>2865.5675999999999</v>
      </c>
      <c r="H2111" s="1242">
        <v>30</v>
      </c>
      <c r="I2111" s="1228" t="s">
        <v>450</v>
      </c>
      <c r="K2111" s="1242">
        <f t="shared" si="757"/>
        <v>7.1428571428571425E-2</v>
      </c>
      <c r="L2111" s="1243">
        <f t="shared" si="758"/>
        <v>6.822779999999999</v>
      </c>
    </row>
    <row r="2112" spans="1:12" ht="15" customHeight="1" x14ac:dyDescent="0.25">
      <c r="A2112" s="1238"/>
      <c r="B2112" s="1228" t="s">
        <v>607</v>
      </c>
      <c r="C2112" s="1228">
        <v>1000</v>
      </c>
      <c r="D2112" s="1239">
        <f>'Prec Materia Prima y Empaq'!$H$40</f>
        <v>20882</v>
      </c>
      <c r="E2112" s="1240">
        <f t="shared" ref="E2112" si="759">D2112*19%</f>
        <v>3967.58</v>
      </c>
      <c r="F2112" s="1241">
        <f t="shared" ref="F2112" si="760">+E2112+D2112</f>
        <v>24849.58</v>
      </c>
      <c r="G2112" s="1240">
        <f t="shared" ref="G2112" si="761">F2112/C2112*H2112</f>
        <v>745.48740000000009</v>
      </c>
      <c r="H2112" s="1242">
        <v>30</v>
      </c>
      <c r="I2112" s="1228" t="s">
        <v>450</v>
      </c>
      <c r="K2112" s="1242">
        <f t="shared" si="757"/>
        <v>7.1428571428571425E-2</v>
      </c>
      <c r="L2112" s="1243">
        <f t="shared" si="758"/>
        <v>1.7749700000000002</v>
      </c>
    </row>
    <row r="2113" spans="1:29" ht="15" customHeight="1" x14ac:dyDescent="0.25">
      <c r="A2113" s="1238"/>
      <c r="B2113" s="1228" t="s">
        <v>382</v>
      </c>
      <c r="C2113" s="1228">
        <v>3785</v>
      </c>
      <c r="D2113" s="1239">
        <f>'Prec Materia Prima y Empaq'!$H$18</f>
        <v>24</v>
      </c>
      <c r="E2113" s="1240">
        <f t="shared" si="754"/>
        <v>4.5600000000000005</v>
      </c>
      <c r="F2113" s="1241">
        <f t="shared" si="755"/>
        <v>28.560000000000002</v>
      </c>
      <c r="G2113" s="1240">
        <f>F2113/C2113*H2113</f>
        <v>0.37727873183619554</v>
      </c>
      <c r="H2113" s="1242">
        <v>50</v>
      </c>
      <c r="I2113" s="1228" t="s">
        <v>450</v>
      </c>
      <c r="K2113" s="1242">
        <f t="shared" si="757"/>
        <v>0.11904761904761904</v>
      </c>
      <c r="L2113" s="1243">
        <f t="shared" si="758"/>
        <v>8.9828269484808459E-4</v>
      </c>
    </row>
    <row r="2114" spans="1:29" ht="31.5" customHeight="1" x14ac:dyDescent="0.25">
      <c r="B2114" s="1220" t="s">
        <v>247</v>
      </c>
      <c r="C2114" s="1228">
        <v>1000</v>
      </c>
      <c r="D2114" s="1244">
        <f>'Prec Materia Prima y Empaq'!$H$7</f>
        <v>50000</v>
      </c>
      <c r="E2114" s="1240">
        <v>0</v>
      </c>
      <c r="F2114" s="1241">
        <f t="shared" si="755"/>
        <v>50000</v>
      </c>
      <c r="G2114" s="1240">
        <f>F2114/C2114*H2114</f>
        <v>32.022471910112351</v>
      </c>
      <c r="H2114" s="1245">
        <v>0.64044943820224698</v>
      </c>
      <c r="I2114" s="1245" t="s">
        <v>453</v>
      </c>
      <c r="K2114" s="1242">
        <f t="shared" ref="K2114" si="762">H2114/$C$1935</f>
        <v>2.9111338100102136E-3</v>
      </c>
      <c r="L2114" s="1243">
        <f t="shared" si="758"/>
        <v>0.14555669050051068</v>
      </c>
      <c r="N2114" s="1220" t="s">
        <v>247</v>
      </c>
      <c r="O2114" s="1247">
        <v>1</v>
      </c>
      <c r="P2114" s="1240">
        <f>$F$391/$C$391*$O$391</f>
        <v>50</v>
      </c>
      <c r="Q2114" s="1248"/>
      <c r="R2114" s="1249" t="e">
        <f>P2114/O2103</f>
        <v>#DIV/0!</v>
      </c>
      <c r="S2114" s="1248" t="e">
        <f>R2114*1000</f>
        <v>#DIV/0!</v>
      </c>
      <c r="T2114" s="1250">
        <f>O2114/$O$380*1000</f>
        <v>2.5641025641025641E-3</v>
      </c>
      <c r="U2114" s="1238">
        <f>T2114*$M$380</f>
        <v>1</v>
      </c>
      <c r="Y2114" s="1238"/>
      <c r="Z2114" s="1238"/>
      <c r="AA2114" s="1251"/>
      <c r="AC2114" s="1252"/>
    </row>
    <row r="2115" spans="1:29" ht="24" customHeight="1" x14ac:dyDescent="0.25">
      <c r="A2115" s="1238"/>
      <c r="B2115" s="1228" t="s">
        <v>761</v>
      </c>
      <c r="C2115" s="1228">
        <v>1</v>
      </c>
      <c r="D2115" s="1273">
        <f>'Prec Materia Prima y Empaq'!$H$151</f>
        <v>750</v>
      </c>
      <c r="E2115" s="1240">
        <v>0</v>
      </c>
      <c r="F2115" s="1241">
        <f t="shared" si="755"/>
        <v>750</v>
      </c>
      <c r="G2115" s="1253">
        <f t="shared" ref="G2115:G2119" si="763">F2115*H2115</f>
        <v>315000</v>
      </c>
      <c r="H2115" s="1245">
        <f>$C$2100</f>
        <v>420</v>
      </c>
      <c r="I2115" s="1245" t="s">
        <v>453</v>
      </c>
      <c r="K2115" s="1242">
        <f t="shared" ref="K2115:K2119" si="764">H2115/$C$1103</f>
        <v>1</v>
      </c>
      <c r="L2115" s="1243">
        <f t="shared" si="758"/>
        <v>750</v>
      </c>
    </row>
    <row r="2116" spans="1:29" ht="15" customHeight="1" x14ac:dyDescent="0.25">
      <c r="B2116" s="1220" t="s">
        <v>614</v>
      </c>
      <c r="C2116" s="1220">
        <v>1</v>
      </c>
      <c r="D2116" s="1244">
        <f>'Prec Materia Prima y Empaq'!$H$144</f>
        <v>70</v>
      </c>
      <c r="E2116" s="1240">
        <v>0</v>
      </c>
      <c r="F2116" s="1241">
        <f t="shared" si="755"/>
        <v>70</v>
      </c>
      <c r="G2116" s="1253">
        <f t="shared" si="763"/>
        <v>29400</v>
      </c>
      <c r="H2116" s="1245">
        <f t="shared" ref="H2116:H2119" si="765">$C$2100</f>
        <v>420</v>
      </c>
      <c r="I2116" s="1245" t="s">
        <v>453</v>
      </c>
      <c r="K2116" s="1242">
        <f t="shared" si="764"/>
        <v>1</v>
      </c>
      <c r="L2116" s="1243">
        <f t="shared" si="758"/>
        <v>70</v>
      </c>
    </row>
    <row r="2117" spans="1:29" ht="15" customHeight="1" x14ac:dyDescent="0.25">
      <c r="B2117" s="1245" t="s">
        <v>452</v>
      </c>
      <c r="C2117" s="1245">
        <v>1</v>
      </c>
      <c r="D2117" s="1244">
        <f>'Prec Materia Prima y Empaq'!$H$140</f>
        <v>120</v>
      </c>
      <c r="E2117" s="1240">
        <v>0</v>
      </c>
      <c r="F2117" s="1241">
        <f t="shared" si="755"/>
        <v>120</v>
      </c>
      <c r="G2117" s="1253">
        <f t="shared" si="763"/>
        <v>50400</v>
      </c>
      <c r="H2117" s="1245">
        <f t="shared" si="765"/>
        <v>420</v>
      </c>
      <c r="I2117" s="1245" t="s">
        <v>453</v>
      </c>
      <c r="K2117" s="1242">
        <f t="shared" si="764"/>
        <v>1</v>
      </c>
      <c r="L2117" s="1243">
        <f t="shared" si="758"/>
        <v>120</v>
      </c>
    </row>
    <row r="2118" spans="1:29" ht="15" customHeight="1" x14ac:dyDescent="0.25">
      <c r="B2118" s="1220" t="s">
        <v>310</v>
      </c>
      <c r="C2118" s="1245">
        <v>1</v>
      </c>
      <c r="D2118" s="1244">
        <f>'Prec Materia Prima y Empaq'!$H$130</f>
        <v>100</v>
      </c>
      <c r="E2118" s="1240">
        <v>0</v>
      </c>
      <c r="F2118" s="1241">
        <f t="shared" si="755"/>
        <v>100</v>
      </c>
      <c r="G2118" s="1253">
        <f t="shared" si="763"/>
        <v>42000</v>
      </c>
      <c r="H2118" s="1245">
        <f t="shared" si="765"/>
        <v>420</v>
      </c>
      <c r="I2118" s="1245" t="s">
        <v>453</v>
      </c>
      <c r="K2118" s="1242">
        <f t="shared" si="764"/>
        <v>1</v>
      </c>
      <c r="L2118" s="1243">
        <f t="shared" si="758"/>
        <v>100</v>
      </c>
    </row>
    <row r="2119" spans="1:29" ht="52.5" customHeight="1" x14ac:dyDescent="0.25">
      <c r="B2119" s="1220" t="s">
        <v>695</v>
      </c>
      <c r="C2119" s="1245">
        <v>1</v>
      </c>
      <c r="D2119" s="1272">
        <f>'Prec Materia Prima y Empaq'!$H$161</f>
        <v>300</v>
      </c>
      <c r="E2119" s="1240">
        <v>0</v>
      </c>
      <c r="F2119" s="1241">
        <f t="shared" si="755"/>
        <v>300</v>
      </c>
      <c r="G2119" s="1253">
        <f t="shared" si="763"/>
        <v>126000</v>
      </c>
      <c r="H2119" s="1245">
        <f t="shared" si="765"/>
        <v>420</v>
      </c>
      <c r="I2119" s="1245" t="s">
        <v>453</v>
      </c>
      <c r="K2119" s="1242">
        <f t="shared" si="764"/>
        <v>1</v>
      </c>
      <c r="L2119" s="1243">
        <f t="shared" si="758"/>
        <v>300</v>
      </c>
    </row>
    <row r="2120" spans="1:29" ht="19.5" customHeight="1" thickBot="1" x14ac:dyDescent="0.3">
      <c r="B2120" s="1255"/>
      <c r="C2120" s="857"/>
      <c r="D2120" s="1256"/>
      <c r="E2120" s="1248"/>
      <c r="F2120" s="1257"/>
      <c r="G2120" s="1258">
        <f>SUM(G2106:G2119)/C2100</f>
        <v>1404.8669755967667</v>
      </c>
      <c r="H2120" s="1259" t="s">
        <v>454</v>
      </c>
      <c r="I2120" s="857"/>
      <c r="L2120" s="1260">
        <f>SUM(L2106:L2119)</f>
        <v>1404.9362883065287</v>
      </c>
    </row>
    <row r="2121" spans="1:29" ht="15" customHeight="1" thickTop="1" x14ac:dyDescent="0.25">
      <c r="B2121" s="1314" t="s">
        <v>409</v>
      </c>
      <c r="C2121" s="1315"/>
      <c r="D2121" s="1316">
        <f>+'Gtos Varios'!I14</f>
        <v>3672.93</v>
      </c>
      <c r="E2121" s="1315"/>
      <c r="F2121" s="1317">
        <f t="shared" ref="F2121" si="766">+E2121+D2121</f>
        <v>3672.93</v>
      </c>
      <c r="G2121" s="1318">
        <f>F2121</f>
        <v>3672.93</v>
      </c>
      <c r="H2121" s="1315" t="str">
        <f>B2121</f>
        <v xml:space="preserve">GASTOS VARIOS </v>
      </c>
      <c r="I2121" s="1315"/>
    </row>
    <row r="2122" spans="1:29" ht="15" customHeight="1" x14ac:dyDescent="0.25">
      <c r="B2122" s="1255"/>
      <c r="C2122" s="857"/>
      <c r="D2122" s="1256"/>
      <c r="E2122" s="1248"/>
      <c r="F2122" s="1257"/>
      <c r="G2122" s="1266"/>
      <c r="H2122" s="857"/>
      <c r="I2122" s="857"/>
    </row>
    <row r="2123" spans="1:29" ht="15" customHeight="1" x14ac:dyDescent="0.25">
      <c r="B2123" s="1255"/>
      <c r="C2123" s="857"/>
      <c r="D2123" s="1256"/>
      <c r="E2123" s="1248"/>
      <c r="F2123" s="1257"/>
      <c r="G2123" s="1266"/>
      <c r="H2123" s="857"/>
      <c r="I2123" s="857"/>
    </row>
    <row r="2124" spans="1:29" ht="15" customHeight="1" thickBot="1" x14ac:dyDescent="0.3">
      <c r="F2124" s="1267">
        <f>SUM(F2106:F2119)</f>
        <v>273868.81</v>
      </c>
      <c r="G2124" s="1268">
        <f>SUM(G2120:G2121)</f>
        <v>5077.7969755967661</v>
      </c>
      <c r="H2124" s="733" t="s">
        <v>412</v>
      </c>
    </row>
    <row r="2125" spans="1:29" ht="15" customHeight="1" thickTop="1" x14ac:dyDescent="0.25">
      <c r="G2125" s="1295">
        <f>G2124*66%</f>
        <v>3351.3460038938656</v>
      </c>
      <c r="H2125" s="1274">
        <v>0.66</v>
      </c>
      <c r="I2125" s="733" t="s">
        <v>539</v>
      </c>
    </row>
    <row r="2126" spans="1:29" ht="15" customHeight="1" thickBot="1" x14ac:dyDescent="0.3">
      <c r="G2126" s="1270">
        <f>G2124+G2125</f>
        <v>8429.1429794906326</v>
      </c>
      <c r="H2126" s="733" t="s">
        <v>414</v>
      </c>
    </row>
    <row r="2127" spans="1:29" ht="15" customHeight="1" thickTop="1" x14ac:dyDescent="0.25"/>
    <row r="2129" spans="1:12" s="1218" customFormat="1" ht="15" customHeight="1" x14ac:dyDescent="0.25">
      <c r="B2129" s="1327" t="s">
        <v>61</v>
      </c>
      <c r="C2129" s="1328" t="s">
        <v>226</v>
      </c>
      <c r="E2129" s="853"/>
      <c r="F2129" s="853"/>
      <c r="G2129" s="853"/>
      <c r="H2129" s="853"/>
      <c r="L2129" s="1329"/>
    </row>
    <row r="2130" spans="1:12" s="1218" customFormat="1" ht="15" customHeight="1" x14ac:dyDescent="0.25">
      <c r="A2130" s="1330" t="s">
        <v>711</v>
      </c>
      <c r="B2130" s="1327" t="s">
        <v>62</v>
      </c>
      <c r="C2130" s="1328" t="str">
        <f>VLOOKUP(C2129,LISTPROD[],2,FALSE)</f>
        <v>EMPERADOR</v>
      </c>
      <c r="D2130" s="1218" t="s">
        <v>486</v>
      </c>
      <c r="E2130" s="853" t="s">
        <v>714</v>
      </c>
      <c r="F2130" s="853"/>
      <c r="G2130" s="853"/>
      <c r="H2130" s="853"/>
      <c r="L2130" s="1329"/>
    </row>
    <row r="2131" spans="1:12" s="1218" customFormat="1" ht="15" customHeight="1" x14ac:dyDescent="0.25">
      <c r="B2131" s="1327" t="s">
        <v>234</v>
      </c>
      <c r="C2131" s="1328" t="str">
        <f>VLOOKUP(C2129,LISTPROD[],9,FALSE)</f>
        <v>500 ML</v>
      </c>
      <c r="E2131" s="853"/>
      <c r="F2131" s="853"/>
      <c r="G2131" s="853"/>
      <c r="H2131" s="853"/>
      <c r="L2131" s="1329"/>
    </row>
    <row r="2132" spans="1:12" s="1218" customFormat="1" ht="15" customHeight="1" x14ac:dyDescent="0.25">
      <c r="B2132" s="1327" t="s">
        <v>239</v>
      </c>
      <c r="C2132" s="1331">
        <v>420</v>
      </c>
      <c r="E2132" s="853"/>
      <c r="F2132" s="853"/>
      <c r="G2132" s="853"/>
      <c r="H2132" s="853"/>
      <c r="L2132" s="1329"/>
    </row>
    <row r="2133" spans="1:12" s="1218" customFormat="1" ht="15" customHeight="1" x14ac:dyDescent="0.25">
      <c r="B2133" s="1327" t="s">
        <v>240</v>
      </c>
      <c r="C2133" s="1328"/>
      <c r="L2133" s="1329"/>
    </row>
    <row r="2134" spans="1:12" s="1218" customFormat="1" ht="15" customHeight="1" x14ac:dyDescent="0.25">
      <c r="B2134" s="1327" t="s">
        <v>238</v>
      </c>
      <c r="C2134" s="1218" t="s">
        <v>56</v>
      </c>
      <c r="D2134" s="1218" t="s">
        <v>449</v>
      </c>
      <c r="L2134" s="1329"/>
    </row>
    <row r="2135" spans="1:12" s="1218" customFormat="1" ht="15" customHeight="1" x14ac:dyDescent="0.25">
      <c r="B2135" s="1332" t="s">
        <v>410</v>
      </c>
      <c r="C2135" s="1333">
        <v>500</v>
      </c>
      <c r="D2135" s="1334"/>
      <c r="L2135" s="1329"/>
    </row>
    <row r="2136" spans="1:12" s="1218" customFormat="1" ht="15" customHeight="1" x14ac:dyDescent="0.25">
      <c r="A2136" s="1335"/>
      <c r="B2136" s="1450" t="s">
        <v>404</v>
      </c>
      <c r="C2136" s="1450"/>
      <c r="D2136" s="1450"/>
      <c r="E2136" s="1450"/>
      <c r="F2136" s="1450"/>
      <c r="G2136" s="1336"/>
      <c r="H2136" s="1451" t="s">
        <v>416</v>
      </c>
      <c r="I2136" s="1452"/>
      <c r="L2136" s="1329"/>
    </row>
    <row r="2137" spans="1:12" s="1218" customFormat="1" ht="34.5" customHeight="1" x14ac:dyDescent="0.25">
      <c r="A2137" s="1337"/>
      <c r="B2137" s="1338" t="s">
        <v>398</v>
      </c>
      <c r="C2137" s="1339" t="s">
        <v>441</v>
      </c>
      <c r="D2137" s="1340" t="s">
        <v>399</v>
      </c>
      <c r="E2137" s="1341" t="s">
        <v>402</v>
      </c>
      <c r="F2137" s="1340" t="s">
        <v>399</v>
      </c>
      <c r="G2137" s="1340" t="s">
        <v>411</v>
      </c>
      <c r="H2137" s="1342" t="s">
        <v>408</v>
      </c>
      <c r="I2137" s="1343" t="s">
        <v>415</v>
      </c>
      <c r="K2137" s="1344" t="s">
        <v>603</v>
      </c>
      <c r="L2137" s="1345" t="s">
        <v>604</v>
      </c>
    </row>
    <row r="2138" spans="1:12" s="1218" customFormat="1" ht="15" customHeight="1" x14ac:dyDescent="0.25">
      <c r="A2138" s="1252"/>
      <c r="B2138" s="1336" t="s">
        <v>248</v>
      </c>
      <c r="C2138" s="1336">
        <v>1000</v>
      </c>
      <c r="D2138" s="1346">
        <f>'Prec Materia Prima y Empaq'!$H$21</f>
        <v>15400</v>
      </c>
      <c r="E2138" s="1347">
        <f>D2138*19%</f>
        <v>2926</v>
      </c>
      <c r="F2138" s="1348">
        <f>+E2138+D2138</f>
        <v>18326</v>
      </c>
      <c r="G2138" s="1347">
        <f>F2138/C2138*H2138</f>
        <v>12828.2</v>
      </c>
      <c r="H2138" s="1349">
        <v>700</v>
      </c>
      <c r="I2138" s="1336" t="s">
        <v>450</v>
      </c>
      <c r="K2138" s="1349">
        <f t="shared" ref="K2138:K2148" si="767">H2138/$C$2132</f>
        <v>1.6666666666666667</v>
      </c>
      <c r="L2138" s="1350">
        <f>F2138/C2138*K2138</f>
        <v>30.543333333333337</v>
      </c>
    </row>
    <row r="2139" spans="1:12" s="1218" customFormat="1" ht="15" customHeight="1" x14ac:dyDescent="0.25">
      <c r="A2139" s="1252"/>
      <c r="B2139" s="1336" t="s">
        <v>443</v>
      </c>
      <c r="C2139" s="1336">
        <v>1000</v>
      </c>
      <c r="D2139" s="1346">
        <f>'Prec Materia Prima y Empaq'!$H$11</f>
        <v>8000</v>
      </c>
      <c r="E2139" s="1347">
        <f t="shared" ref="E2139:E2146" si="768">D2139*19%</f>
        <v>1520</v>
      </c>
      <c r="F2139" s="1348">
        <f t="shared" ref="F2139:F2152" si="769">+E2139+D2139</f>
        <v>9520</v>
      </c>
      <c r="G2139" s="1347">
        <f t="shared" ref="G2139:G2141" si="770">F2139/C2139*H2139</f>
        <v>5712</v>
      </c>
      <c r="H2139" s="1349">
        <v>600</v>
      </c>
      <c r="I2139" s="1336" t="s">
        <v>450</v>
      </c>
      <c r="K2139" s="1349">
        <f t="shared" si="767"/>
        <v>1.4285714285714286</v>
      </c>
      <c r="L2139" s="1350">
        <f t="shared" ref="L2139:L2148" si="771">F2139/C2139*K2139</f>
        <v>13.6</v>
      </c>
    </row>
    <row r="2140" spans="1:12" s="1218" customFormat="1" ht="15" customHeight="1" x14ac:dyDescent="0.25">
      <c r="A2140" s="1252"/>
      <c r="B2140" s="1336" t="s">
        <v>253</v>
      </c>
      <c r="C2140" s="1336">
        <v>1000</v>
      </c>
      <c r="D2140" s="1346">
        <f>'Prec Materia Prima y Empaq'!$H$9</f>
        <v>5400</v>
      </c>
      <c r="E2140" s="1347">
        <f t="shared" si="768"/>
        <v>1026</v>
      </c>
      <c r="F2140" s="1348">
        <f t="shared" si="769"/>
        <v>6426</v>
      </c>
      <c r="G2140" s="1347">
        <f t="shared" si="770"/>
        <v>6426</v>
      </c>
      <c r="H2140" s="1349">
        <v>1000</v>
      </c>
      <c r="I2140" s="1336" t="s">
        <v>450</v>
      </c>
      <c r="K2140" s="1349">
        <f t="shared" si="767"/>
        <v>2.3809523809523809</v>
      </c>
      <c r="L2140" s="1350">
        <f t="shared" si="771"/>
        <v>15.3</v>
      </c>
    </row>
    <row r="2141" spans="1:12" s="1218" customFormat="1" ht="15" customHeight="1" x14ac:dyDescent="0.25">
      <c r="A2141" s="1252"/>
      <c r="B2141" s="1336" t="s">
        <v>255</v>
      </c>
      <c r="C2141" s="1336">
        <v>1000</v>
      </c>
      <c r="D2141" s="1346">
        <f>'Prec Materia Prima y Empaq'!$H$26</f>
        <v>45404</v>
      </c>
      <c r="E2141" s="1347">
        <f t="shared" si="768"/>
        <v>8626.76</v>
      </c>
      <c r="F2141" s="1348">
        <f t="shared" si="769"/>
        <v>54030.76</v>
      </c>
      <c r="G2141" s="1347">
        <f t="shared" si="770"/>
        <v>13507.69</v>
      </c>
      <c r="H2141" s="1349">
        <v>250</v>
      </c>
      <c r="I2141" s="1336" t="s">
        <v>450</v>
      </c>
      <c r="K2141" s="1349">
        <f t="shared" si="767"/>
        <v>0.59523809523809523</v>
      </c>
      <c r="L2141" s="1350">
        <f t="shared" si="771"/>
        <v>32.161166666666666</v>
      </c>
    </row>
    <row r="2142" spans="1:12" s="1218" customFormat="1" ht="15" customHeight="1" x14ac:dyDescent="0.25">
      <c r="A2142" s="1252"/>
      <c r="B2142" s="1336" t="s">
        <v>382</v>
      </c>
      <c r="C2142" s="1336">
        <v>3785</v>
      </c>
      <c r="D2142" s="1346">
        <f>'Prec Materia Prima y Empaq'!$H$18</f>
        <v>24</v>
      </c>
      <c r="E2142" s="1347">
        <f t="shared" si="768"/>
        <v>4.5600000000000005</v>
      </c>
      <c r="F2142" s="1348">
        <f t="shared" si="769"/>
        <v>28.560000000000002</v>
      </c>
      <c r="G2142" s="1347">
        <f>F2142/C2142*H2142</f>
        <v>0.37727873183619554</v>
      </c>
      <c r="H2142" s="1349">
        <v>50</v>
      </c>
      <c r="I2142" s="1336" t="s">
        <v>450</v>
      </c>
      <c r="K2142" s="1349">
        <f t="shared" si="767"/>
        <v>0.11904761904761904</v>
      </c>
      <c r="L2142" s="1350">
        <f t="shared" si="771"/>
        <v>8.9828269484808459E-4</v>
      </c>
    </row>
    <row r="2143" spans="1:12" s="1218" customFormat="1" ht="15" customHeight="1" x14ac:dyDescent="0.25">
      <c r="A2143" s="1252"/>
      <c r="B2143" s="1336" t="s">
        <v>249</v>
      </c>
      <c r="C2143" s="1336">
        <v>1000</v>
      </c>
      <c r="D2143" s="1346">
        <f>'Prec Materia Prima y Empaq'!$H$59</f>
        <v>65135</v>
      </c>
      <c r="E2143" s="1347">
        <f t="shared" si="768"/>
        <v>12375.65</v>
      </c>
      <c r="F2143" s="1348">
        <f t="shared" si="769"/>
        <v>77510.649999999994</v>
      </c>
      <c r="G2143" s="1347">
        <f t="shared" ref="G2143:G2146" si="772">F2143/C2143*H2143</f>
        <v>38755.324999999997</v>
      </c>
      <c r="H2143" s="1349">
        <v>500</v>
      </c>
      <c r="I2143" s="1336" t="s">
        <v>450</v>
      </c>
      <c r="K2143" s="1349">
        <f t="shared" si="767"/>
        <v>1.1904761904761905</v>
      </c>
      <c r="L2143" s="1350">
        <f t="shared" si="771"/>
        <v>92.274583333333325</v>
      </c>
    </row>
    <row r="2144" spans="1:12" s="1218" customFormat="1" ht="30.75" customHeight="1" x14ac:dyDescent="0.25">
      <c r="B2144" s="1336" t="s">
        <v>300</v>
      </c>
      <c r="C2144" s="1336">
        <v>1000</v>
      </c>
      <c r="D2144" s="1346">
        <f>'Prec Materia Prima y Empaq'!$H$25</f>
        <v>30041</v>
      </c>
      <c r="E2144" s="1347">
        <f t="shared" si="768"/>
        <v>5707.79</v>
      </c>
      <c r="F2144" s="1348">
        <f t="shared" si="769"/>
        <v>35748.79</v>
      </c>
      <c r="G2144" s="1347">
        <f t="shared" si="772"/>
        <v>17874.395</v>
      </c>
      <c r="H2144" s="1349">
        <v>500</v>
      </c>
      <c r="I2144" s="1336" t="s">
        <v>450</v>
      </c>
      <c r="K2144" s="1349">
        <f t="shared" si="767"/>
        <v>1.1904761904761905</v>
      </c>
      <c r="L2144" s="1350">
        <f t="shared" si="771"/>
        <v>42.558083333333336</v>
      </c>
    </row>
    <row r="2145" spans="2:29" s="1218" customFormat="1" ht="15" customHeight="1" x14ac:dyDescent="0.25">
      <c r="B2145" s="1336" t="s">
        <v>713</v>
      </c>
      <c r="C2145" s="1336">
        <v>1000</v>
      </c>
      <c r="D2145" s="1346">
        <f>'Prec Materia Prima y Empaq'!$H$27</f>
        <v>120000</v>
      </c>
      <c r="E2145" s="1347">
        <f t="shared" si="768"/>
        <v>22800</v>
      </c>
      <c r="F2145" s="1348">
        <f t="shared" si="769"/>
        <v>142800</v>
      </c>
      <c r="G2145" s="1347">
        <f t="shared" si="772"/>
        <v>71400</v>
      </c>
      <c r="H2145" s="1349">
        <v>500</v>
      </c>
      <c r="I2145" s="1336" t="s">
        <v>450</v>
      </c>
      <c r="K2145" s="1349">
        <f t="shared" si="767"/>
        <v>1.1904761904761905</v>
      </c>
      <c r="L2145" s="1350">
        <f t="shared" si="771"/>
        <v>170</v>
      </c>
    </row>
    <row r="2146" spans="2:29" s="1218" customFormat="1" ht="39.75" customHeight="1" x14ac:dyDescent="0.25">
      <c r="B2146" s="1336" t="s">
        <v>712</v>
      </c>
      <c r="C2146" s="1336">
        <v>1000</v>
      </c>
      <c r="D2146" s="1346">
        <f>'Prec Materia Prima y Empaq'!$H$23</f>
        <v>2000000</v>
      </c>
      <c r="E2146" s="1347">
        <f t="shared" si="768"/>
        <v>380000</v>
      </c>
      <c r="F2146" s="1348">
        <f t="shared" si="769"/>
        <v>2380000</v>
      </c>
      <c r="G2146" s="1348">
        <f t="shared" si="772"/>
        <v>357000</v>
      </c>
      <c r="H2146" s="1336">
        <v>150</v>
      </c>
      <c r="I2146" s="1336" t="s">
        <v>450</v>
      </c>
      <c r="K2146" s="1349">
        <f t="shared" si="767"/>
        <v>0.35714285714285715</v>
      </c>
      <c r="L2146" s="1350">
        <f t="shared" si="771"/>
        <v>850</v>
      </c>
    </row>
    <row r="2147" spans="2:29" s="1218" customFormat="1" ht="31.5" customHeight="1" x14ac:dyDescent="0.25">
      <c r="B2147" s="1351" t="s">
        <v>247</v>
      </c>
      <c r="C2147" s="1336">
        <v>1000</v>
      </c>
      <c r="D2147" s="1346">
        <f>'Prec Materia Prima y Empaq'!$H$7</f>
        <v>50000</v>
      </c>
      <c r="E2147" s="1347">
        <v>0</v>
      </c>
      <c r="F2147" s="1348">
        <f t="shared" si="769"/>
        <v>50000</v>
      </c>
      <c r="G2147" s="1347">
        <f>F2147/C2147*H2147</f>
        <v>32.022471910112351</v>
      </c>
      <c r="H2147" s="1336">
        <v>0.64044943820224698</v>
      </c>
      <c r="I2147" s="1336" t="s">
        <v>453</v>
      </c>
      <c r="K2147" s="1349">
        <f t="shared" ref="K2147" si="773">H2147/$C$1935</f>
        <v>2.9111338100102136E-3</v>
      </c>
      <c r="L2147" s="1350">
        <f t="shared" si="771"/>
        <v>0.14555669050051068</v>
      </c>
      <c r="N2147" s="1351" t="s">
        <v>247</v>
      </c>
      <c r="O2147" s="1352">
        <v>1</v>
      </c>
      <c r="P2147" s="1347">
        <f>$F$391/$C$391*$O$391</f>
        <v>50</v>
      </c>
      <c r="Q2147" s="1353"/>
      <c r="R2147" s="1354" t="e">
        <f>P2147/O2136</f>
        <v>#DIV/0!</v>
      </c>
      <c r="S2147" s="1353" t="e">
        <f>R2147*1000</f>
        <v>#DIV/0!</v>
      </c>
      <c r="T2147" s="1355">
        <f>O2147/$O$380*1000</f>
        <v>2.5641025641025641E-3</v>
      </c>
      <c r="U2147" s="1252">
        <f>T2147*$M$380</f>
        <v>1</v>
      </c>
      <c r="Y2147" s="1252"/>
      <c r="Z2147" s="1252"/>
      <c r="AA2147" s="1356"/>
      <c r="AC2147" s="1252"/>
    </row>
    <row r="2148" spans="2:29" s="1218" customFormat="1" ht="34.5" customHeight="1" x14ac:dyDescent="0.25">
      <c r="B2148" s="1351" t="s">
        <v>677</v>
      </c>
      <c r="C2148" s="1351">
        <v>1</v>
      </c>
      <c r="D2148" s="1346">
        <f>'Prec Materia Prima y Empaq'!$H$127</f>
        <v>750</v>
      </c>
      <c r="E2148" s="1347">
        <v>0</v>
      </c>
      <c r="F2148" s="1348">
        <f t="shared" si="769"/>
        <v>750</v>
      </c>
      <c r="G2148" s="1347">
        <f t="shared" ref="G2148:G2152" si="774">F2148*H2148</f>
        <v>315000</v>
      </c>
      <c r="H2148" s="1336">
        <f>C2132</f>
        <v>420</v>
      </c>
      <c r="I2148" s="1336" t="s">
        <v>453</v>
      </c>
      <c r="K2148" s="1349">
        <f t="shared" si="767"/>
        <v>1</v>
      </c>
      <c r="L2148" s="1350">
        <f t="shared" si="771"/>
        <v>750</v>
      </c>
    </row>
    <row r="2149" spans="2:29" s="1218" customFormat="1" ht="15" customHeight="1" x14ac:dyDescent="0.25">
      <c r="B2149" s="1351" t="s">
        <v>614</v>
      </c>
      <c r="C2149" s="1351">
        <v>1</v>
      </c>
      <c r="D2149" s="1346">
        <f>'Prec Materia Prima y Empaq'!$H$144</f>
        <v>70</v>
      </c>
      <c r="E2149" s="1347">
        <v>0</v>
      </c>
      <c r="F2149" s="1348">
        <f t="shared" si="769"/>
        <v>70</v>
      </c>
      <c r="G2149" s="1347">
        <f t="shared" si="774"/>
        <v>29400</v>
      </c>
      <c r="H2149" s="1336">
        <f>H2148</f>
        <v>420</v>
      </c>
      <c r="I2149" s="1336" t="s">
        <v>453</v>
      </c>
      <c r="K2149" s="1349">
        <f t="shared" ref="K2149:K2152" si="775">H2149/$C$2132</f>
        <v>1</v>
      </c>
      <c r="L2149" s="1350">
        <f t="shared" ref="L2149:L2152" si="776">F2149/C2149*K2149</f>
        <v>70</v>
      </c>
    </row>
    <row r="2150" spans="2:29" s="1218" customFormat="1" ht="15" customHeight="1" x14ac:dyDescent="0.25">
      <c r="B2150" s="1336" t="s">
        <v>452</v>
      </c>
      <c r="C2150" s="1336">
        <v>1</v>
      </c>
      <c r="D2150" s="1346">
        <f>'Prec Materia Prima y Empaq'!$H$140</f>
        <v>120</v>
      </c>
      <c r="E2150" s="1347">
        <v>0</v>
      </c>
      <c r="F2150" s="1348">
        <f t="shared" si="769"/>
        <v>120</v>
      </c>
      <c r="G2150" s="1347">
        <f t="shared" si="774"/>
        <v>50400</v>
      </c>
      <c r="H2150" s="1336">
        <f>H2148</f>
        <v>420</v>
      </c>
      <c r="I2150" s="1336" t="s">
        <v>453</v>
      </c>
      <c r="K2150" s="1349">
        <f t="shared" si="775"/>
        <v>1</v>
      </c>
      <c r="L2150" s="1350">
        <f t="shared" si="776"/>
        <v>120</v>
      </c>
    </row>
    <row r="2151" spans="2:29" s="1218" customFormat="1" ht="15" customHeight="1" x14ac:dyDescent="0.25">
      <c r="B2151" s="1351" t="s">
        <v>310</v>
      </c>
      <c r="C2151" s="1336">
        <v>1</v>
      </c>
      <c r="D2151" s="1346">
        <f>'Prec Materia Prima y Empaq'!$H$130</f>
        <v>100</v>
      </c>
      <c r="E2151" s="1347">
        <v>0</v>
      </c>
      <c r="F2151" s="1348">
        <f t="shared" si="769"/>
        <v>100</v>
      </c>
      <c r="G2151" s="1347">
        <f t="shared" si="774"/>
        <v>42000</v>
      </c>
      <c r="H2151" s="1336">
        <f>H2148</f>
        <v>420</v>
      </c>
      <c r="I2151" s="1336" t="s">
        <v>453</v>
      </c>
      <c r="K2151" s="1349">
        <f t="shared" si="775"/>
        <v>1</v>
      </c>
      <c r="L2151" s="1350">
        <f t="shared" si="776"/>
        <v>100</v>
      </c>
    </row>
    <row r="2152" spans="2:29" s="1218" customFormat="1" ht="15" customHeight="1" x14ac:dyDescent="0.25">
      <c r="B2152" s="1336" t="s">
        <v>309</v>
      </c>
      <c r="C2152" s="1336">
        <v>1</v>
      </c>
      <c r="D2152" s="1346">
        <f>'Prec Materia Prima y Empaq'!$H$129</f>
        <v>800</v>
      </c>
      <c r="E2152" s="1347">
        <v>0</v>
      </c>
      <c r="F2152" s="1348">
        <f t="shared" si="769"/>
        <v>800</v>
      </c>
      <c r="G2152" s="1347">
        <f t="shared" si="774"/>
        <v>336000</v>
      </c>
      <c r="H2152" s="1336">
        <f>H2148</f>
        <v>420</v>
      </c>
      <c r="I2152" s="1336" t="s">
        <v>453</v>
      </c>
      <c r="K2152" s="1349">
        <f t="shared" si="775"/>
        <v>1</v>
      </c>
      <c r="L2152" s="1350">
        <f t="shared" si="776"/>
        <v>800</v>
      </c>
    </row>
    <row r="2153" spans="2:29" s="1218" customFormat="1" ht="19.5" customHeight="1" thickBot="1" x14ac:dyDescent="0.3">
      <c r="B2153" s="1357"/>
      <c r="D2153" s="1358"/>
      <c r="E2153" s="1353"/>
      <c r="F2153" s="1359"/>
      <c r="G2153" s="1360">
        <f>SUM(G2138:G2152)/C2132</f>
        <v>3086.5143089300996</v>
      </c>
      <c r="H2153" s="1328" t="s">
        <v>454</v>
      </c>
      <c r="K2153" s="1349"/>
      <c r="L2153" s="1361">
        <f>SUM(L2138:L2152)</f>
        <v>3086.583621639862</v>
      </c>
    </row>
    <row r="2154" spans="2:29" s="1218" customFormat="1" ht="15" customHeight="1" thickTop="1" x14ac:dyDescent="0.25">
      <c r="B2154" s="1314" t="s">
        <v>409</v>
      </c>
      <c r="C2154" s="1315"/>
      <c r="D2154" s="1316">
        <f>+'Gtos Varios'!I14</f>
        <v>3672.93</v>
      </c>
      <c r="E2154" s="1315"/>
      <c r="F2154" s="1317">
        <f t="shared" ref="F2154" si="777">+E2154+D2154</f>
        <v>3672.93</v>
      </c>
      <c r="G2154" s="1318">
        <f>F2154</f>
        <v>3672.93</v>
      </c>
      <c r="H2154" s="1315" t="str">
        <f>B2154</f>
        <v xml:space="preserve">GASTOS VARIOS </v>
      </c>
      <c r="I2154" s="1315"/>
      <c r="L2154" s="1329"/>
    </row>
    <row r="2155" spans="2:29" s="1218" customFormat="1" ht="15" customHeight="1" x14ac:dyDescent="0.25">
      <c r="B2155" s="1324"/>
      <c r="C2155" s="1315"/>
      <c r="D2155" s="1316"/>
      <c r="E2155" s="1325"/>
      <c r="F2155" s="1318"/>
      <c r="G2155" s="1325"/>
      <c r="H2155" s="1315"/>
      <c r="I2155" s="1315"/>
      <c r="L2155" s="1329"/>
    </row>
    <row r="2156" spans="2:29" s="1218" customFormat="1" ht="15" customHeight="1" x14ac:dyDescent="0.25">
      <c r="B2156" s="1357"/>
      <c r="D2156" s="1358"/>
      <c r="E2156" s="1353"/>
      <c r="F2156" s="1359"/>
      <c r="G2156" s="1353"/>
      <c r="L2156" s="1329"/>
    </row>
    <row r="2157" spans="2:29" s="1218" customFormat="1" ht="15" customHeight="1" thickBot="1" x14ac:dyDescent="0.3">
      <c r="D2157" s="1362"/>
      <c r="F2157" s="1363">
        <f>SUM(F2138:F2152)</f>
        <v>2776230.76</v>
      </c>
      <c r="G2157" s="1364">
        <f>SUM(G2153:G2154)</f>
        <v>6759.4443089300994</v>
      </c>
      <c r="H2157" s="1218" t="s">
        <v>412</v>
      </c>
      <c r="L2157" s="1329"/>
    </row>
    <row r="2158" spans="2:29" s="1218" customFormat="1" ht="15" customHeight="1" thickTop="1" x14ac:dyDescent="0.25">
      <c r="D2158" s="1362"/>
      <c r="G2158" s="1359">
        <f>G2157*47%</f>
        <v>3176.9388251971463</v>
      </c>
      <c r="H2158" s="1269">
        <v>0.47</v>
      </c>
      <c r="I2158" s="1218" t="s">
        <v>539</v>
      </c>
      <c r="L2158" s="1329"/>
    </row>
    <row r="2159" spans="2:29" s="1218" customFormat="1" ht="15" customHeight="1" thickBot="1" x14ac:dyDescent="0.3">
      <c r="D2159" s="1362"/>
      <c r="G2159" s="1365">
        <f>G2157+G2158</f>
        <v>9936.3831341272453</v>
      </c>
      <c r="H2159" s="1218" t="s">
        <v>414</v>
      </c>
      <c r="L2159" s="1329"/>
    </row>
    <row r="2160" spans="2:29" ht="15" customHeight="1" thickTop="1" x14ac:dyDescent="0.25"/>
    <row r="2163" spans="1:19" ht="15" customHeight="1" x14ac:dyDescent="0.25">
      <c r="A2163" s="1366"/>
      <c r="B2163" s="1367" t="s">
        <v>61</v>
      </c>
      <c r="C2163" s="1259" t="s">
        <v>1082</v>
      </c>
      <c r="D2163" s="857"/>
      <c r="E2163" s="847"/>
      <c r="F2163" s="847"/>
      <c r="G2163" s="847"/>
      <c r="H2163" s="847"/>
      <c r="I2163" s="857"/>
      <c r="J2163" s="857"/>
      <c r="K2163" s="857"/>
      <c r="L2163" s="1368"/>
      <c r="M2163" s="857"/>
      <c r="N2163" s="857"/>
      <c r="O2163" s="857"/>
      <c r="P2163" s="857"/>
      <c r="Q2163" s="857"/>
      <c r="R2163" s="857"/>
      <c r="S2163" s="857"/>
    </row>
    <row r="2164" spans="1:19" ht="45" customHeight="1" x14ac:dyDescent="0.25">
      <c r="A2164" s="1369" t="s">
        <v>1084</v>
      </c>
      <c r="B2164" s="1367" t="s">
        <v>62</v>
      </c>
      <c r="C2164" s="1219" t="str">
        <f>VLOOKUP(C2163,LISTPROD[],2,FALSE)</f>
        <v>EMPERADOR NUEVO</v>
      </c>
      <c r="D2164" s="857" t="s">
        <v>486</v>
      </c>
      <c r="E2164" s="847" t="s">
        <v>714</v>
      </c>
      <c r="F2164" s="847"/>
      <c r="G2164" s="847"/>
      <c r="H2164" s="847"/>
      <c r="I2164" s="857"/>
      <c r="J2164" s="857"/>
      <c r="K2164" s="857"/>
      <c r="L2164" s="1368"/>
      <c r="M2164" s="857"/>
      <c r="N2164" s="857"/>
      <c r="O2164" s="857"/>
      <c r="P2164" s="857"/>
      <c r="Q2164" s="857"/>
      <c r="R2164" s="857"/>
      <c r="S2164" s="857"/>
    </row>
    <row r="2165" spans="1:19" ht="15" customHeight="1" x14ac:dyDescent="0.25">
      <c r="A2165" s="1366"/>
      <c r="B2165" s="1367" t="s">
        <v>234</v>
      </c>
      <c r="C2165" s="1219" t="str">
        <f>VLOOKUP(C2163,LISTPROD[],9,FALSE)</f>
        <v>500 ML</v>
      </c>
      <c r="D2165" s="857"/>
      <c r="E2165" s="847"/>
      <c r="F2165" s="847"/>
      <c r="G2165" s="847"/>
      <c r="H2165" s="847"/>
      <c r="I2165" s="857"/>
      <c r="J2165" s="857"/>
      <c r="K2165" s="857"/>
      <c r="L2165" s="1368"/>
      <c r="M2165" s="857"/>
      <c r="N2165" s="857"/>
      <c r="O2165" s="857"/>
      <c r="P2165" s="857"/>
      <c r="Q2165" s="857"/>
      <c r="R2165" s="857"/>
      <c r="S2165" s="857"/>
    </row>
    <row r="2166" spans="1:19" ht="15" customHeight="1" x14ac:dyDescent="0.25">
      <c r="A2166" s="1366"/>
      <c r="B2166" s="1367" t="s">
        <v>239</v>
      </c>
      <c r="C2166" s="1370">
        <v>420</v>
      </c>
      <c r="D2166" s="857"/>
      <c r="E2166" s="847"/>
      <c r="F2166" s="847"/>
      <c r="G2166" s="847"/>
      <c r="H2166" s="847"/>
      <c r="I2166" s="857"/>
      <c r="J2166" s="857"/>
      <c r="K2166" s="857"/>
      <c r="L2166" s="1368"/>
      <c r="M2166" s="857"/>
      <c r="N2166" s="857"/>
      <c r="O2166" s="857"/>
      <c r="P2166" s="857"/>
      <c r="Q2166" s="857"/>
      <c r="R2166" s="857"/>
      <c r="S2166" s="857"/>
    </row>
    <row r="2167" spans="1:19" ht="15" customHeight="1" x14ac:dyDescent="0.25">
      <c r="A2167" s="1366"/>
      <c r="B2167" s="1367" t="s">
        <v>240</v>
      </c>
      <c r="C2167" s="1259"/>
      <c r="D2167" s="857"/>
      <c r="E2167" s="857"/>
      <c r="F2167" s="857"/>
      <c r="G2167" s="857"/>
      <c r="H2167" s="857"/>
      <c r="I2167" s="857"/>
      <c r="J2167" s="857"/>
      <c r="K2167" s="857"/>
      <c r="L2167" s="1368"/>
      <c r="M2167" s="857"/>
      <c r="N2167" s="857"/>
      <c r="O2167" s="857"/>
      <c r="P2167" s="857"/>
      <c r="Q2167" s="857"/>
      <c r="R2167" s="857"/>
      <c r="S2167" s="857"/>
    </row>
    <row r="2168" spans="1:19" ht="15" customHeight="1" x14ac:dyDescent="0.25">
      <c r="A2168" s="1366"/>
      <c r="B2168" s="1367" t="s">
        <v>238</v>
      </c>
      <c r="C2168" s="857" t="s">
        <v>56</v>
      </c>
      <c r="D2168" s="857" t="s">
        <v>449</v>
      </c>
      <c r="E2168" s="857"/>
      <c r="F2168" s="857"/>
      <c r="G2168" s="857"/>
      <c r="H2168" s="857"/>
      <c r="I2168" s="857"/>
      <c r="J2168" s="857"/>
      <c r="K2168" s="857"/>
      <c r="L2168" s="1368"/>
      <c r="M2168" s="857"/>
      <c r="N2168" s="857"/>
      <c r="O2168" s="857"/>
      <c r="P2168" s="857"/>
      <c r="Q2168" s="857"/>
      <c r="R2168" s="857"/>
      <c r="S2168" s="857"/>
    </row>
    <row r="2169" spans="1:19" ht="15" customHeight="1" x14ac:dyDescent="0.25">
      <c r="A2169" s="1366"/>
      <c r="B2169" s="1371" t="s">
        <v>410</v>
      </c>
      <c r="C2169" s="1299">
        <v>500</v>
      </c>
      <c r="D2169" s="1226"/>
      <c r="E2169" s="857"/>
      <c r="F2169" s="857"/>
      <c r="G2169" s="857"/>
      <c r="H2169" s="857"/>
      <c r="I2169" s="857"/>
      <c r="J2169" s="857"/>
      <c r="K2169" s="857"/>
      <c r="L2169" s="1368"/>
      <c r="M2169" s="857"/>
      <c r="N2169" s="857"/>
      <c r="O2169" s="857"/>
      <c r="P2169" s="857"/>
      <c r="Q2169" s="857"/>
      <c r="R2169" s="857"/>
      <c r="S2169" s="857"/>
    </row>
    <row r="2170" spans="1:19" ht="15" customHeight="1" x14ac:dyDescent="0.25">
      <c r="A2170" s="1372"/>
      <c r="B2170" s="1453" t="s">
        <v>404</v>
      </c>
      <c r="C2170" s="1453"/>
      <c r="D2170" s="1453"/>
      <c r="E2170" s="1453"/>
      <c r="F2170" s="1453"/>
      <c r="G2170" s="1245"/>
      <c r="H2170" s="1454" t="s">
        <v>416</v>
      </c>
      <c r="I2170" s="1455"/>
      <c r="J2170" s="857"/>
      <c r="K2170" s="857"/>
      <c r="L2170" s="1368"/>
      <c r="M2170" s="857"/>
      <c r="N2170" s="857"/>
      <c r="O2170" s="857"/>
      <c r="P2170" s="857"/>
      <c r="Q2170" s="857"/>
      <c r="R2170" s="857"/>
      <c r="S2170" s="857"/>
    </row>
    <row r="2171" spans="1:19" ht="56.25" customHeight="1" x14ac:dyDescent="0.25">
      <c r="A2171" s="1373"/>
      <c r="B2171" s="1374" t="s">
        <v>398</v>
      </c>
      <c r="C2171" s="1375" t="s">
        <v>441</v>
      </c>
      <c r="D2171" s="1376" t="s">
        <v>399</v>
      </c>
      <c r="E2171" s="1377" t="s">
        <v>402</v>
      </c>
      <c r="F2171" s="1376" t="s">
        <v>399</v>
      </c>
      <c r="G2171" s="1376" t="s">
        <v>411</v>
      </c>
      <c r="H2171" s="1378" t="s">
        <v>408</v>
      </c>
      <c r="I2171" s="1379" t="s">
        <v>415</v>
      </c>
      <c r="J2171" s="857"/>
      <c r="K2171" s="1380" t="s">
        <v>603</v>
      </c>
      <c r="L2171" s="1381" t="s">
        <v>604</v>
      </c>
      <c r="M2171" s="857"/>
      <c r="N2171" s="857"/>
      <c r="O2171" s="857"/>
      <c r="P2171" s="857"/>
      <c r="Q2171" s="857"/>
      <c r="R2171" s="857"/>
      <c r="S2171" s="857"/>
    </row>
    <row r="2172" spans="1:19" ht="15" customHeight="1" x14ac:dyDescent="0.25">
      <c r="A2172" s="1382"/>
      <c r="B2172" s="1245" t="s">
        <v>248</v>
      </c>
      <c r="C2172" s="1228">
        <v>1000</v>
      </c>
      <c r="D2172" s="1239">
        <f>'Prec Materia Prima y Empaq'!$H$21</f>
        <v>15400</v>
      </c>
      <c r="E2172" s="1253">
        <f>D2172*19%</f>
        <v>2926</v>
      </c>
      <c r="F2172" s="1284">
        <f>+E2172+D2172</f>
        <v>18326</v>
      </c>
      <c r="G2172" s="1253">
        <f>F2172/C2172*H2172</f>
        <v>12828.2</v>
      </c>
      <c r="H2172" s="1285">
        <v>700</v>
      </c>
      <c r="I2172" s="1245" t="s">
        <v>450</v>
      </c>
      <c r="J2172" s="857"/>
      <c r="K2172" s="1285">
        <f t="shared" ref="K2172:K2180" si="778">H2172/$C$2132</f>
        <v>1.6666666666666667</v>
      </c>
      <c r="L2172" s="1286">
        <f>F2172/C2172*K2172</f>
        <v>30.543333333333337</v>
      </c>
      <c r="M2172" s="857"/>
      <c r="N2172" s="857"/>
      <c r="O2172" s="857"/>
      <c r="P2172" s="857"/>
      <c r="Q2172" s="857"/>
      <c r="R2172" s="857"/>
      <c r="S2172" s="857"/>
    </row>
    <row r="2173" spans="1:19" ht="15" customHeight="1" x14ac:dyDescent="0.25">
      <c r="A2173" s="1382"/>
      <c r="B2173" s="1245" t="s">
        <v>443</v>
      </c>
      <c r="C2173" s="1228">
        <v>1000</v>
      </c>
      <c r="D2173" s="1239">
        <f>'Prec Materia Prima y Empaq'!$H$11</f>
        <v>8000</v>
      </c>
      <c r="E2173" s="1253">
        <f t="shared" ref="E2173:E2180" si="779">D2173*19%</f>
        <v>1520</v>
      </c>
      <c r="F2173" s="1284">
        <f t="shared" ref="F2173:F2187" si="780">+E2173+D2173</f>
        <v>9520</v>
      </c>
      <c r="G2173" s="1253">
        <f t="shared" ref="G2173:G2175" si="781">F2173/C2173*H2173</f>
        <v>5712</v>
      </c>
      <c r="H2173" s="1285">
        <v>600</v>
      </c>
      <c r="I2173" s="1245" t="s">
        <v>450</v>
      </c>
      <c r="J2173" s="857"/>
      <c r="K2173" s="1285">
        <f t="shared" si="778"/>
        <v>1.4285714285714286</v>
      </c>
      <c r="L2173" s="1286">
        <f t="shared" ref="L2173:L2187" si="782">F2173/C2173*K2173</f>
        <v>13.6</v>
      </c>
      <c r="M2173" s="857"/>
      <c r="N2173" s="857"/>
      <c r="O2173" s="857"/>
      <c r="P2173" s="857"/>
      <c r="Q2173" s="857"/>
      <c r="R2173" s="857"/>
      <c r="S2173" s="857"/>
    </row>
    <row r="2174" spans="1:19" ht="15" customHeight="1" x14ac:dyDescent="0.25">
      <c r="A2174" s="1382"/>
      <c r="B2174" s="1245" t="s">
        <v>253</v>
      </c>
      <c r="C2174" s="1228">
        <v>1000</v>
      </c>
      <c r="D2174" s="1239">
        <f>'Prec Materia Prima y Empaq'!$H$9</f>
        <v>5400</v>
      </c>
      <c r="E2174" s="1253">
        <f t="shared" si="779"/>
        <v>1026</v>
      </c>
      <c r="F2174" s="1284">
        <f t="shared" si="780"/>
        <v>6426</v>
      </c>
      <c r="G2174" s="1253">
        <f t="shared" si="781"/>
        <v>6426</v>
      </c>
      <c r="H2174" s="1285">
        <v>1000</v>
      </c>
      <c r="I2174" s="1245" t="s">
        <v>450</v>
      </c>
      <c r="J2174" s="857"/>
      <c r="K2174" s="1285">
        <f t="shared" si="778"/>
        <v>2.3809523809523809</v>
      </c>
      <c r="L2174" s="1286">
        <f t="shared" si="782"/>
        <v>15.3</v>
      </c>
      <c r="M2174" s="857"/>
      <c r="N2174" s="857"/>
      <c r="O2174" s="857"/>
      <c r="P2174" s="857"/>
      <c r="Q2174" s="857"/>
      <c r="R2174" s="857"/>
      <c r="S2174" s="857"/>
    </row>
    <row r="2175" spans="1:19" ht="15" customHeight="1" x14ac:dyDescent="0.25">
      <c r="A2175" s="1382"/>
      <c r="B2175" s="1245" t="s">
        <v>255</v>
      </c>
      <c r="C2175" s="1228">
        <v>1000</v>
      </c>
      <c r="D2175" s="1239">
        <f>'Prec Materia Prima y Empaq'!$H$26</f>
        <v>45404</v>
      </c>
      <c r="E2175" s="1253">
        <f t="shared" si="779"/>
        <v>8626.76</v>
      </c>
      <c r="F2175" s="1284">
        <f t="shared" si="780"/>
        <v>54030.76</v>
      </c>
      <c r="G2175" s="1253">
        <f t="shared" si="781"/>
        <v>13507.69</v>
      </c>
      <c r="H2175" s="1285">
        <v>250</v>
      </c>
      <c r="I2175" s="1245" t="s">
        <v>450</v>
      </c>
      <c r="J2175" s="857"/>
      <c r="K2175" s="1285">
        <f t="shared" si="778"/>
        <v>0.59523809523809523</v>
      </c>
      <c r="L2175" s="1286">
        <f t="shared" si="782"/>
        <v>32.161166666666666</v>
      </c>
      <c r="M2175" s="857"/>
      <c r="N2175" s="857"/>
      <c r="O2175" s="857"/>
      <c r="P2175" s="857"/>
      <c r="Q2175" s="857"/>
      <c r="R2175" s="857"/>
      <c r="S2175" s="857"/>
    </row>
    <row r="2176" spans="1:19" ht="15" customHeight="1" x14ac:dyDescent="0.25">
      <c r="A2176" s="1382"/>
      <c r="B2176" s="1245" t="s">
        <v>382</v>
      </c>
      <c r="C2176" s="1228">
        <v>3785</v>
      </c>
      <c r="D2176" s="1239">
        <f>'Prec Materia Prima y Empaq'!$H$18</f>
        <v>24</v>
      </c>
      <c r="E2176" s="1253">
        <f t="shared" si="779"/>
        <v>4.5600000000000005</v>
      </c>
      <c r="F2176" s="1284">
        <f t="shared" si="780"/>
        <v>28.560000000000002</v>
      </c>
      <c r="G2176" s="1253">
        <f>F2176/C2176*H2176</f>
        <v>0.37727873183619554</v>
      </c>
      <c r="H2176" s="1285">
        <v>50</v>
      </c>
      <c r="I2176" s="1245" t="s">
        <v>450</v>
      </c>
      <c r="J2176" s="857"/>
      <c r="K2176" s="1285">
        <f t="shared" si="778"/>
        <v>0.11904761904761904</v>
      </c>
      <c r="L2176" s="1286">
        <f t="shared" si="782"/>
        <v>8.9828269484808459E-4</v>
      </c>
      <c r="M2176" s="857"/>
      <c r="N2176" s="857"/>
      <c r="O2176" s="857"/>
      <c r="P2176" s="857"/>
      <c r="Q2176" s="857"/>
      <c r="R2176" s="857"/>
      <c r="S2176" s="857"/>
    </row>
    <row r="2177" spans="1:29" ht="15" customHeight="1" x14ac:dyDescent="0.25">
      <c r="A2177" s="1382"/>
      <c r="B2177" s="1245" t="s">
        <v>249</v>
      </c>
      <c r="C2177" s="1228">
        <v>1000</v>
      </c>
      <c r="D2177" s="1239">
        <f>'Prec Materia Prima y Empaq'!$H$59</f>
        <v>65135</v>
      </c>
      <c r="E2177" s="1253">
        <f t="shared" si="779"/>
        <v>12375.65</v>
      </c>
      <c r="F2177" s="1284">
        <f t="shared" si="780"/>
        <v>77510.649999999994</v>
      </c>
      <c r="G2177" s="1253">
        <f t="shared" ref="G2177:G2180" si="783">F2177/C2177*H2177</f>
        <v>38755.324999999997</v>
      </c>
      <c r="H2177" s="1285">
        <v>500</v>
      </c>
      <c r="I2177" s="1245" t="s">
        <v>450</v>
      </c>
      <c r="J2177" s="857"/>
      <c r="K2177" s="1285">
        <f t="shared" si="778"/>
        <v>1.1904761904761905</v>
      </c>
      <c r="L2177" s="1286">
        <f t="shared" si="782"/>
        <v>92.274583333333325</v>
      </c>
      <c r="M2177" s="857"/>
      <c r="N2177" s="857"/>
      <c r="O2177" s="857"/>
      <c r="P2177" s="857"/>
      <c r="Q2177" s="857"/>
      <c r="R2177" s="857"/>
      <c r="S2177" s="857"/>
    </row>
    <row r="2178" spans="1:29" ht="30.75" customHeight="1" x14ac:dyDescent="0.25">
      <c r="A2178" s="1366"/>
      <c r="B2178" s="1245" t="s">
        <v>300</v>
      </c>
      <c r="C2178" s="1228">
        <v>1000</v>
      </c>
      <c r="D2178" s="1239">
        <f>'Prec Materia Prima y Empaq'!$H$25</f>
        <v>30041</v>
      </c>
      <c r="E2178" s="1253">
        <f t="shared" si="779"/>
        <v>5707.79</v>
      </c>
      <c r="F2178" s="1284">
        <f t="shared" si="780"/>
        <v>35748.79</v>
      </c>
      <c r="G2178" s="1253">
        <f t="shared" si="783"/>
        <v>17874.395</v>
      </c>
      <c r="H2178" s="1285">
        <v>500</v>
      </c>
      <c r="I2178" s="1245" t="s">
        <v>450</v>
      </c>
      <c r="J2178" s="857"/>
      <c r="K2178" s="1285">
        <f t="shared" si="778"/>
        <v>1.1904761904761905</v>
      </c>
      <c r="L2178" s="1286">
        <f t="shared" si="782"/>
        <v>42.558083333333336</v>
      </c>
      <c r="M2178" s="857"/>
      <c r="N2178" s="857"/>
      <c r="O2178" s="857"/>
      <c r="P2178" s="857"/>
      <c r="Q2178" s="857"/>
      <c r="R2178" s="857"/>
      <c r="S2178" s="857"/>
    </row>
    <row r="2179" spans="1:29" ht="15" customHeight="1" x14ac:dyDescent="0.25">
      <c r="A2179" s="1366"/>
      <c r="B2179" s="1245" t="s">
        <v>713</v>
      </c>
      <c r="C2179" s="1228">
        <v>1000</v>
      </c>
      <c r="D2179" s="1239">
        <f>'Prec Materia Prima y Empaq'!$H$27</f>
        <v>120000</v>
      </c>
      <c r="E2179" s="1253">
        <f t="shared" si="779"/>
        <v>22800</v>
      </c>
      <c r="F2179" s="1284">
        <f t="shared" si="780"/>
        <v>142800</v>
      </c>
      <c r="G2179" s="1253">
        <f t="shared" si="783"/>
        <v>71400</v>
      </c>
      <c r="H2179" s="1285">
        <v>500</v>
      </c>
      <c r="I2179" s="1245" t="s">
        <v>450</v>
      </c>
      <c r="J2179" s="857"/>
      <c r="K2179" s="1285">
        <f t="shared" si="778"/>
        <v>1.1904761904761905</v>
      </c>
      <c r="L2179" s="1286">
        <f t="shared" si="782"/>
        <v>170</v>
      </c>
      <c r="M2179" s="857"/>
      <c r="N2179" s="857"/>
      <c r="O2179" s="857"/>
      <c r="P2179" s="857"/>
      <c r="Q2179" s="857"/>
      <c r="R2179" s="857"/>
      <c r="S2179" s="857"/>
    </row>
    <row r="2180" spans="1:29" ht="39.75" customHeight="1" x14ac:dyDescent="0.25">
      <c r="A2180" s="1366"/>
      <c r="B2180" s="1245" t="s">
        <v>712</v>
      </c>
      <c r="C2180" s="1228">
        <v>1000</v>
      </c>
      <c r="D2180" s="1239">
        <f>'Prec Materia Prima y Empaq'!$H$23</f>
        <v>2000000</v>
      </c>
      <c r="E2180" s="1253">
        <f t="shared" si="779"/>
        <v>380000</v>
      </c>
      <c r="F2180" s="1284">
        <f t="shared" si="780"/>
        <v>2380000</v>
      </c>
      <c r="G2180" s="1284">
        <f t="shared" si="783"/>
        <v>357000</v>
      </c>
      <c r="H2180" s="1245">
        <v>150</v>
      </c>
      <c r="I2180" s="1245" t="s">
        <v>450</v>
      </c>
      <c r="J2180" s="857"/>
      <c r="K2180" s="1285">
        <f t="shared" si="778"/>
        <v>0.35714285714285715</v>
      </c>
      <c r="L2180" s="1286">
        <f t="shared" si="782"/>
        <v>850</v>
      </c>
      <c r="M2180" s="857"/>
      <c r="N2180" s="857"/>
      <c r="O2180" s="857"/>
      <c r="P2180" s="857"/>
      <c r="Q2180" s="857"/>
      <c r="R2180" s="857"/>
      <c r="S2180" s="857"/>
    </row>
    <row r="2181" spans="1:29" ht="31.5" customHeight="1" x14ac:dyDescent="0.25">
      <c r="A2181" s="1366"/>
      <c r="B2181" s="1220" t="s">
        <v>247</v>
      </c>
      <c r="C2181" s="1228">
        <v>1000</v>
      </c>
      <c r="D2181" s="1244">
        <f>'Prec Materia Prima y Empaq'!$H$7</f>
        <v>50000</v>
      </c>
      <c r="E2181" s="1253">
        <v>0</v>
      </c>
      <c r="F2181" s="1284">
        <f t="shared" si="780"/>
        <v>50000</v>
      </c>
      <c r="G2181" s="1253">
        <f>F2181/C2181*H2181</f>
        <v>32.022471910112351</v>
      </c>
      <c r="H2181" s="1245">
        <v>0.64044943820224698</v>
      </c>
      <c r="I2181" s="1245" t="s">
        <v>453</v>
      </c>
      <c r="J2181" s="857"/>
      <c r="K2181" s="1285">
        <f t="shared" ref="K2181" si="784">H2181/$C$1935</f>
        <v>2.9111338100102136E-3</v>
      </c>
      <c r="L2181" s="1286">
        <f t="shared" si="782"/>
        <v>0.14555669050051068</v>
      </c>
      <c r="M2181" s="857"/>
      <c r="N2181" s="1220" t="s">
        <v>247</v>
      </c>
      <c r="O2181" s="1383">
        <v>1</v>
      </c>
      <c r="P2181" s="1253">
        <f>$F$391/$C$391*$O$391</f>
        <v>50</v>
      </c>
      <c r="Q2181" s="1266"/>
      <c r="R2181" s="1384" t="e">
        <f>P2181/O2170</f>
        <v>#DIV/0!</v>
      </c>
      <c r="S2181" s="1266" t="e">
        <f>R2181*1000</f>
        <v>#DIV/0!</v>
      </c>
      <c r="T2181" s="1250">
        <f>O2181/$O$380*1000</f>
        <v>2.5641025641025641E-3</v>
      </c>
      <c r="U2181" s="1238">
        <f>T2181*$M$380</f>
        <v>1</v>
      </c>
      <c r="Y2181" s="1238"/>
      <c r="Z2181" s="1238"/>
      <c r="AA2181" s="1251"/>
      <c r="AC2181" s="1252"/>
    </row>
    <row r="2182" spans="1:29" ht="34.5" customHeight="1" x14ac:dyDescent="0.25">
      <c r="A2182" s="1366"/>
      <c r="B2182" s="1220" t="s">
        <v>677</v>
      </c>
      <c r="C2182" s="1220">
        <v>1</v>
      </c>
      <c r="D2182" s="1244">
        <f>'Prec Materia Prima y Empaq'!$H$127</f>
        <v>750</v>
      </c>
      <c r="E2182" s="1253">
        <v>0</v>
      </c>
      <c r="F2182" s="1284">
        <f t="shared" si="780"/>
        <v>750</v>
      </c>
      <c r="G2182" s="1253">
        <f t="shared" ref="G2182:G2187" si="785">F2182*H2182</f>
        <v>315000</v>
      </c>
      <c r="H2182" s="1245">
        <f>C2166</f>
        <v>420</v>
      </c>
      <c r="I2182" s="1245" t="s">
        <v>453</v>
      </c>
      <c r="J2182" s="857"/>
      <c r="K2182" s="1285">
        <f t="shared" ref="K2182:K2187" si="786">H2182/$C$2132</f>
        <v>1</v>
      </c>
      <c r="L2182" s="1286">
        <f t="shared" si="782"/>
        <v>750</v>
      </c>
      <c r="M2182" s="857"/>
      <c r="N2182" s="857"/>
      <c r="O2182" s="857"/>
      <c r="P2182" s="857"/>
      <c r="Q2182" s="857"/>
      <c r="R2182" s="857"/>
      <c r="S2182" s="857"/>
    </row>
    <row r="2183" spans="1:29" ht="15" customHeight="1" x14ac:dyDescent="0.25">
      <c r="A2183" s="1366"/>
      <c r="B2183" s="1220" t="s">
        <v>614</v>
      </c>
      <c r="C2183" s="1220">
        <v>1</v>
      </c>
      <c r="D2183" s="1244">
        <f>'Prec Materia Prima y Empaq'!$H$144</f>
        <v>70</v>
      </c>
      <c r="E2183" s="1253">
        <v>0</v>
      </c>
      <c r="F2183" s="1284">
        <f t="shared" si="780"/>
        <v>70</v>
      </c>
      <c r="G2183" s="1253">
        <f t="shared" si="785"/>
        <v>29400</v>
      </c>
      <c r="H2183" s="1245">
        <f>H2182</f>
        <v>420</v>
      </c>
      <c r="I2183" s="1245" t="s">
        <v>453</v>
      </c>
      <c r="J2183" s="857"/>
      <c r="K2183" s="1285">
        <f t="shared" si="786"/>
        <v>1</v>
      </c>
      <c r="L2183" s="1286">
        <f t="shared" si="782"/>
        <v>70</v>
      </c>
      <c r="M2183" s="857"/>
      <c r="N2183" s="857"/>
      <c r="O2183" s="857"/>
      <c r="P2183" s="857"/>
      <c r="Q2183" s="857"/>
      <c r="R2183" s="857"/>
      <c r="S2183" s="857"/>
    </row>
    <row r="2184" spans="1:29" ht="15" customHeight="1" x14ac:dyDescent="0.25">
      <c r="A2184" s="1366"/>
      <c r="B2184" s="1245" t="s">
        <v>452</v>
      </c>
      <c r="C2184" s="1245">
        <v>1</v>
      </c>
      <c r="D2184" s="1244">
        <f>'Prec Materia Prima y Empaq'!$H$140</f>
        <v>120</v>
      </c>
      <c r="E2184" s="1253">
        <v>0</v>
      </c>
      <c r="F2184" s="1284">
        <f t="shared" si="780"/>
        <v>120</v>
      </c>
      <c r="G2184" s="1253">
        <f t="shared" si="785"/>
        <v>50400</v>
      </c>
      <c r="H2184" s="1245">
        <f>H2182</f>
        <v>420</v>
      </c>
      <c r="I2184" s="1245" t="s">
        <v>453</v>
      </c>
      <c r="J2184" s="857"/>
      <c r="K2184" s="1285">
        <f t="shared" si="786"/>
        <v>1</v>
      </c>
      <c r="L2184" s="1286">
        <f t="shared" si="782"/>
        <v>120</v>
      </c>
      <c r="M2184" s="857"/>
      <c r="N2184" s="857"/>
      <c r="O2184" s="857"/>
      <c r="P2184" s="857"/>
      <c r="Q2184" s="857"/>
      <c r="R2184" s="857"/>
      <c r="S2184" s="857"/>
    </row>
    <row r="2185" spans="1:29" ht="45" customHeight="1" x14ac:dyDescent="0.25">
      <c r="A2185" s="1366"/>
      <c r="B2185" s="1110" t="str">
        <f>'Prec Materia Prima y Empaq'!F187</f>
        <v>TERMOENCOGIBLE (ETIQUETA) EMPERADOR</v>
      </c>
      <c r="C2185" s="1245">
        <v>1</v>
      </c>
      <c r="D2185" s="1244">
        <f>'Prec Materia Prima y Empaq'!$H$130</f>
        <v>100</v>
      </c>
      <c r="E2185" s="1385">
        <v>0</v>
      </c>
      <c r="F2185" s="1386">
        <f t="shared" si="780"/>
        <v>100</v>
      </c>
      <c r="G2185" s="1253">
        <f t="shared" si="785"/>
        <v>42000</v>
      </c>
      <c r="H2185" s="1245">
        <v>420</v>
      </c>
      <c r="I2185" s="1245" t="s">
        <v>453</v>
      </c>
      <c r="J2185" s="857"/>
      <c r="K2185" s="1285">
        <v>1</v>
      </c>
      <c r="L2185" s="1387">
        <f>F2185/C2185*K2185</f>
        <v>100</v>
      </c>
      <c r="M2185" s="857"/>
      <c r="N2185" s="857"/>
      <c r="O2185" s="857"/>
      <c r="P2185" s="857"/>
      <c r="Q2185" s="857"/>
      <c r="R2185" s="857"/>
      <c r="S2185" s="857"/>
    </row>
    <row r="2186" spans="1:29" ht="15" customHeight="1" x14ac:dyDescent="0.25">
      <c r="A2186" s="1366" t="s">
        <v>1083</v>
      </c>
      <c r="B2186" s="1388" t="s">
        <v>310</v>
      </c>
      <c r="C2186" s="1245">
        <v>1</v>
      </c>
      <c r="D2186" s="1244"/>
      <c r="E2186" s="1389">
        <v>0</v>
      </c>
      <c r="F2186" s="1390">
        <f t="shared" si="780"/>
        <v>0</v>
      </c>
      <c r="G2186" s="1389">
        <f t="shared" si="785"/>
        <v>0</v>
      </c>
      <c r="H2186" s="1391">
        <f>H2182</f>
        <v>420</v>
      </c>
      <c r="I2186" s="1391" t="s">
        <v>453</v>
      </c>
      <c r="J2186" s="1366"/>
      <c r="K2186" s="1392">
        <f t="shared" si="786"/>
        <v>1</v>
      </c>
      <c r="L2186" s="1393">
        <f t="shared" si="782"/>
        <v>0</v>
      </c>
      <c r="M2186" s="857"/>
      <c r="N2186" s="857"/>
      <c r="O2186" s="857"/>
      <c r="P2186" s="857"/>
      <c r="Q2186" s="857"/>
      <c r="R2186" s="857"/>
      <c r="S2186" s="857"/>
    </row>
    <row r="2187" spans="1:29" ht="15" customHeight="1" x14ac:dyDescent="0.25">
      <c r="A2187" s="1366" t="s">
        <v>1083</v>
      </c>
      <c r="B2187" s="1391" t="s">
        <v>309</v>
      </c>
      <c r="C2187" s="1391">
        <v>1</v>
      </c>
      <c r="D2187" s="1394"/>
      <c r="E2187" s="1389">
        <v>0</v>
      </c>
      <c r="F2187" s="1390">
        <f t="shared" si="780"/>
        <v>0</v>
      </c>
      <c r="G2187" s="1389">
        <f t="shared" si="785"/>
        <v>0</v>
      </c>
      <c r="H2187" s="1391">
        <f>H2182</f>
        <v>420</v>
      </c>
      <c r="I2187" s="1391" t="s">
        <v>453</v>
      </c>
      <c r="J2187" s="1366"/>
      <c r="K2187" s="1392">
        <f t="shared" si="786"/>
        <v>1</v>
      </c>
      <c r="L2187" s="1393">
        <f t="shared" si="782"/>
        <v>0</v>
      </c>
      <c r="M2187" s="857"/>
      <c r="N2187" s="857"/>
      <c r="O2187" s="857"/>
      <c r="P2187" s="857"/>
      <c r="Q2187" s="857"/>
      <c r="R2187" s="857"/>
      <c r="S2187" s="857"/>
    </row>
    <row r="2188" spans="1:29" ht="19.5" customHeight="1" thickBot="1" x14ac:dyDescent="0.3">
      <c r="A2188" s="1366"/>
      <c r="B2188" s="1255"/>
      <c r="C2188" s="857"/>
      <c r="D2188" s="1256"/>
      <c r="E2188" s="1266"/>
      <c r="F2188" s="1295"/>
      <c r="G2188" s="1395">
        <f>SUM(G2172:G2187)/C2166</f>
        <v>2286.5143089300996</v>
      </c>
      <c r="H2188" s="1259" t="s">
        <v>454</v>
      </c>
      <c r="I2188" s="857"/>
      <c r="J2188" s="857"/>
      <c r="K2188" s="1285"/>
      <c r="L2188" s="1396">
        <f>SUM(L2172:L2187)</f>
        <v>2286.583621639862</v>
      </c>
      <c r="M2188" s="857"/>
      <c r="N2188" s="857"/>
      <c r="O2188" s="857"/>
      <c r="P2188" s="857"/>
      <c r="Q2188" s="857"/>
      <c r="R2188" s="857"/>
      <c r="S2188" s="857"/>
    </row>
    <row r="2189" spans="1:29" ht="15" customHeight="1" thickTop="1" x14ac:dyDescent="0.25">
      <c r="A2189" s="1366"/>
      <c r="B2189" s="1314" t="s">
        <v>409</v>
      </c>
      <c r="C2189" s="1315"/>
      <c r="D2189" s="1316">
        <f>+'Gtos Varios'!I14</f>
        <v>3672.93</v>
      </c>
      <c r="E2189" s="1315"/>
      <c r="F2189" s="1317">
        <f t="shared" ref="F2189" si="787">+E2189+D2189</f>
        <v>3672.93</v>
      </c>
      <c r="G2189" s="1318">
        <f>F2189</f>
        <v>3672.93</v>
      </c>
      <c r="H2189" s="1315" t="str">
        <f>B2189</f>
        <v xml:space="preserve">GASTOS VARIOS </v>
      </c>
      <c r="I2189" s="1315"/>
      <c r="J2189" s="857"/>
      <c r="K2189" s="857"/>
      <c r="L2189" s="1368"/>
      <c r="M2189" s="857"/>
      <c r="N2189" s="857"/>
      <c r="O2189" s="857"/>
      <c r="P2189" s="857"/>
      <c r="Q2189" s="857"/>
      <c r="R2189" s="857"/>
      <c r="S2189" s="857"/>
    </row>
    <row r="2190" spans="1:29" ht="15" customHeight="1" x14ac:dyDescent="0.25">
      <c r="A2190" s="1366"/>
      <c r="B2190" s="1255"/>
      <c r="C2190" s="857"/>
      <c r="D2190" s="1256"/>
      <c r="E2190" s="1266"/>
      <c r="F2190" s="1295"/>
      <c r="G2190" s="1266"/>
      <c r="H2190" s="857"/>
      <c r="I2190" s="857"/>
      <c r="J2190" s="857"/>
      <c r="K2190" s="857"/>
      <c r="L2190" s="1368"/>
      <c r="M2190" s="857"/>
      <c r="N2190" s="857"/>
      <c r="O2190" s="857"/>
      <c r="P2190" s="857"/>
      <c r="Q2190" s="857"/>
      <c r="R2190" s="857"/>
      <c r="S2190" s="857"/>
    </row>
    <row r="2191" spans="1:29" ht="15" customHeight="1" x14ac:dyDescent="0.25">
      <c r="A2191" s="1366"/>
      <c r="B2191" s="1255"/>
      <c r="C2191" s="857"/>
      <c r="D2191" s="1256"/>
      <c r="E2191" s="1266"/>
      <c r="F2191" s="1295"/>
      <c r="G2191" s="1266"/>
      <c r="H2191" s="857"/>
      <c r="I2191" s="857"/>
      <c r="J2191" s="857"/>
      <c r="K2191" s="857"/>
      <c r="L2191" s="1368"/>
      <c r="M2191" s="857"/>
      <c r="N2191" s="857"/>
      <c r="O2191" s="857"/>
      <c r="P2191" s="857"/>
      <c r="Q2191" s="857"/>
      <c r="R2191" s="857"/>
      <c r="S2191" s="857"/>
    </row>
    <row r="2192" spans="1:29" ht="15" customHeight="1" thickBot="1" x14ac:dyDescent="0.3">
      <c r="A2192" s="1366"/>
      <c r="B2192" s="857"/>
      <c r="C2192" s="857"/>
      <c r="D2192" s="1397"/>
      <c r="E2192" s="857"/>
      <c r="F2192" s="1398">
        <f>SUM(F2172:F2187)</f>
        <v>2775430.76</v>
      </c>
      <c r="G2192" s="1399">
        <f>SUM(G2188:G2189)</f>
        <v>5959.4443089300994</v>
      </c>
      <c r="H2192" s="857" t="s">
        <v>412</v>
      </c>
      <c r="I2192" s="857"/>
      <c r="J2192" s="857"/>
      <c r="K2192" s="857"/>
      <c r="L2192" s="1368"/>
      <c r="M2192" s="857"/>
      <c r="N2192" s="857"/>
      <c r="O2192" s="857"/>
      <c r="P2192" s="857"/>
      <c r="Q2192" s="857"/>
      <c r="R2192" s="857"/>
      <c r="S2192" s="857"/>
    </row>
    <row r="2193" spans="1:19" ht="15" customHeight="1" thickTop="1" x14ac:dyDescent="0.25">
      <c r="A2193" s="1366"/>
      <c r="B2193" s="857"/>
      <c r="C2193" s="857"/>
      <c r="D2193" s="1397"/>
      <c r="E2193" s="857"/>
      <c r="F2193" s="857"/>
      <c r="G2193" s="1295">
        <f>G2192*47%</f>
        <v>2800.9388251971463</v>
      </c>
      <c r="H2193" s="1274">
        <v>0.47</v>
      </c>
      <c r="I2193" s="857" t="s">
        <v>539</v>
      </c>
      <c r="J2193" s="857"/>
      <c r="K2193" s="857"/>
      <c r="L2193" s="1368"/>
      <c r="M2193" s="857"/>
      <c r="N2193" s="857"/>
      <c r="O2193" s="857"/>
      <c r="P2193" s="857"/>
      <c r="Q2193" s="857"/>
      <c r="R2193" s="857"/>
      <c r="S2193" s="857"/>
    </row>
    <row r="2194" spans="1:19" ht="15" customHeight="1" thickBot="1" x14ac:dyDescent="0.3">
      <c r="A2194" s="1366"/>
      <c r="B2194" s="857"/>
      <c r="C2194" s="857"/>
      <c r="D2194" s="1397"/>
      <c r="E2194" s="857"/>
      <c r="F2194" s="857"/>
      <c r="G2194" s="1321">
        <f>G2192+G2193</f>
        <v>8760.3831341272453</v>
      </c>
      <c r="H2194" s="857" t="s">
        <v>414</v>
      </c>
      <c r="I2194" s="857"/>
      <c r="J2194" s="857"/>
      <c r="K2194" s="857"/>
      <c r="L2194" s="1368"/>
      <c r="M2194" s="857"/>
      <c r="N2194" s="857"/>
      <c r="O2194" s="857"/>
      <c r="P2194" s="857"/>
      <c r="Q2194" s="857"/>
      <c r="R2194" s="857"/>
      <c r="S2194" s="857"/>
    </row>
    <row r="2195" spans="1:19" ht="15" customHeight="1" thickTop="1" x14ac:dyDescent="0.25">
      <c r="A2195" s="1366"/>
      <c r="B2195" s="1366"/>
      <c r="C2195" s="1366"/>
      <c r="D2195" s="1400"/>
      <c r="E2195" s="1366"/>
      <c r="F2195" s="1366"/>
      <c r="G2195" s="1366"/>
      <c r="H2195" s="1366"/>
      <c r="I2195" s="1366"/>
      <c r="J2195" s="1366"/>
      <c r="K2195" s="1366"/>
      <c r="L2195" s="1401"/>
      <c r="M2195" s="1366"/>
      <c r="N2195" s="1366"/>
      <c r="O2195" s="1366"/>
      <c r="P2195" s="1366"/>
      <c r="Q2195" s="1366"/>
      <c r="R2195" s="1366"/>
      <c r="S2195" s="1366"/>
    </row>
    <row r="2207" spans="1:19" ht="15" customHeight="1" x14ac:dyDescent="0.25">
      <c r="B2207" s="1222" t="s">
        <v>61</v>
      </c>
      <c r="C2207" s="1219" t="s">
        <v>228</v>
      </c>
      <c r="D2207" s="733"/>
      <c r="E2207" s="853"/>
      <c r="F2207" s="853"/>
      <c r="G2207" s="853"/>
      <c r="H2207" s="853"/>
    </row>
    <row r="2208" spans="1:19" ht="15" customHeight="1" x14ac:dyDescent="0.25">
      <c r="A2208" s="1223" t="s">
        <v>718</v>
      </c>
      <c r="B2208" s="1222" t="s">
        <v>62</v>
      </c>
      <c r="C2208" s="1219" t="str">
        <f>VLOOKUP(C2207,LISTPROD[],2,FALSE)</f>
        <v>FACTOR D7</v>
      </c>
      <c r="D2208" s="1219" t="s">
        <v>486</v>
      </c>
      <c r="E2208" s="853" t="s">
        <v>714</v>
      </c>
      <c r="F2208" s="853"/>
      <c r="G2208" s="853"/>
      <c r="H2208" s="853"/>
    </row>
    <row r="2209" spans="1:12" ht="15" customHeight="1" x14ac:dyDescent="0.25">
      <c r="B2209" s="1222" t="s">
        <v>234</v>
      </c>
      <c r="C2209" s="1219" t="str">
        <f>VLOOKUP(C2207,LISTPROD[],9,FALSE)</f>
        <v>500 ML</v>
      </c>
      <c r="D2209" s="733"/>
      <c r="E2209" s="853"/>
      <c r="F2209" s="853"/>
      <c r="G2209" s="853"/>
      <c r="H2209" s="853"/>
    </row>
    <row r="2210" spans="1:12" ht="15" customHeight="1" x14ac:dyDescent="0.25">
      <c r="B2210" s="1222" t="s">
        <v>239</v>
      </c>
      <c r="C2210" s="1224">
        <v>420</v>
      </c>
      <c r="D2210" s="1218"/>
      <c r="E2210" s="853"/>
      <c r="F2210" s="853"/>
      <c r="G2210" s="853"/>
      <c r="H2210" s="853"/>
    </row>
    <row r="2211" spans="1:12" ht="15" customHeight="1" x14ac:dyDescent="0.25">
      <c r="B2211" s="1222" t="s">
        <v>240</v>
      </c>
      <c r="C2211" s="1219"/>
      <c r="D2211" s="733"/>
    </row>
    <row r="2212" spans="1:12" ht="15" customHeight="1" x14ac:dyDescent="0.25">
      <c r="B2212" s="1222" t="s">
        <v>238</v>
      </c>
      <c r="C2212" s="733" t="s">
        <v>56</v>
      </c>
      <c r="D2212" s="1218" t="s">
        <v>449</v>
      </c>
    </row>
    <row r="2213" spans="1:12" ht="15" customHeight="1" x14ac:dyDescent="0.25">
      <c r="B2213" s="1225" t="s">
        <v>410</v>
      </c>
      <c r="C2213" s="753">
        <v>500</v>
      </c>
      <c r="D2213" s="1226"/>
    </row>
    <row r="2214" spans="1:12" ht="15" customHeight="1" x14ac:dyDescent="0.25">
      <c r="A2214" s="1227"/>
      <c r="B2214" s="1436" t="s">
        <v>404</v>
      </c>
      <c r="C2214" s="1436"/>
      <c r="D2214" s="1436"/>
      <c r="E2214" s="1436"/>
      <c r="F2214" s="1436"/>
      <c r="G2214" s="1228"/>
      <c r="H2214" s="1437" t="s">
        <v>416</v>
      </c>
      <c r="I2214" s="1438"/>
    </row>
    <row r="2215" spans="1:12" ht="43.5" customHeight="1" x14ac:dyDescent="0.25">
      <c r="A2215" s="1229"/>
      <c r="B2215" s="1230" t="s">
        <v>398</v>
      </c>
      <c r="C2215" s="1231" t="s">
        <v>441</v>
      </c>
      <c r="D2215" s="1232" t="s">
        <v>399</v>
      </c>
      <c r="E2215" s="1233" t="s">
        <v>402</v>
      </c>
      <c r="F2215" s="1232" t="s">
        <v>399</v>
      </c>
      <c r="G2215" s="1232" t="s">
        <v>411</v>
      </c>
      <c r="H2215" s="1234" t="s">
        <v>408</v>
      </c>
      <c r="I2215" s="1235" t="s">
        <v>415</v>
      </c>
      <c r="K2215" s="1236" t="s">
        <v>603</v>
      </c>
      <c r="L2215" s="1237" t="s">
        <v>604</v>
      </c>
    </row>
    <row r="2216" spans="1:12" ht="15" customHeight="1" x14ac:dyDescent="0.25">
      <c r="A2216" s="1238"/>
      <c r="B2216" s="1228" t="s">
        <v>248</v>
      </c>
      <c r="C2216" s="1228">
        <v>1000</v>
      </c>
      <c r="D2216" s="1239">
        <f>'Prec Materia Prima y Empaq'!$H$21</f>
        <v>15400</v>
      </c>
      <c r="E2216" s="1240">
        <f>D2216*19%</f>
        <v>2926</v>
      </c>
      <c r="F2216" s="1241">
        <f>+E2216+D2216</f>
        <v>18326</v>
      </c>
      <c r="G2216" s="1240">
        <f>F2216/C2216*H2216</f>
        <v>14660.800000000001</v>
      </c>
      <c r="H2216" s="1242">
        <v>800</v>
      </c>
      <c r="I2216" s="1228" t="s">
        <v>450</v>
      </c>
      <c r="K2216" s="1242">
        <f>H2216/$C$2210</f>
        <v>1.9047619047619047</v>
      </c>
      <c r="L2216" s="1243">
        <f>F2216/C2216*K2216</f>
        <v>34.906666666666666</v>
      </c>
    </row>
    <row r="2217" spans="1:12" ht="15" customHeight="1" x14ac:dyDescent="0.25">
      <c r="A2217" s="1238"/>
      <c r="B2217" s="1228" t="s">
        <v>443</v>
      </c>
      <c r="C2217" s="1228">
        <v>1000</v>
      </c>
      <c r="D2217" s="1239">
        <f>'Prec Materia Prima y Empaq'!$H$11</f>
        <v>8000</v>
      </c>
      <c r="E2217" s="1240">
        <f t="shared" ref="E2217:E2222" si="788">D2217*19%</f>
        <v>1520</v>
      </c>
      <c r="F2217" s="1241">
        <f t="shared" ref="F2217:F2230" si="789">+E2217+D2217</f>
        <v>9520</v>
      </c>
      <c r="G2217" s="1240">
        <f t="shared" ref="G2217:G2223" si="790">F2217/C2217*H2217</f>
        <v>5712</v>
      </c>
      <c r="H2217" s="1242">
        <v>600</v>
      </c>
      <c r="I2217" s="1228" t="s">
        <v>450</v>
      </c>
      <c r="K2217" s="1242">
        <f t="shared" ref="K2217:K2230" si="791">H2217/$C$2210</f>
        <v>1.4285714285714286</v>
      </c>
      <c r="L2217" s="1243">
        <f t="shared" ref="L2217:L2230" si="792">F2217/C2217*K2217</f>
        <v>13.6</v>
      </c>
    </row>
    <row r="2218" spans="1:12" ht="15" customHeight="1" x14ac:dyDescent="0.25">
      <c r="A2218" s="1238"/>
      <c r="B2218" s="1228" t="s">
        <v>253</v>
      </c>
      <c r="C2218" s="1228">
        <v>1000</v>
      </c>
      <c r="D2218" s="1239">
        <f>'Prec Materia Prima y Empaq'!$H$9</f>
        <v>5400</v>
      </c>
      <c r="E2218" s="1240">
        <f t="shared" si="788"/>
        <v>1026</v>
      </c>
      <c r="F2218" s="1241">
        <f t="shared" si="789"/>
        <v>6426</v>
      </c>
      <c r="G2218" s="1240">
        <f t="shared" si="790"/>
        <v>1927.8</v>
      </c>
      <c r="H2218" s="1242">
        <v>300</v>
      </c>
      <c r="I2218" s="1228" t="s">
        <v>450</v>
      </c>
      <c r="K2218" s="1242">
        <f t="shared" si="791"/>
        <v>0.7142857142857143</v>
      </c>
      <c r="L2218" s="1243">
        <f t="shared" si="792"/>
        <v>4.59</v>
      </c>
    </row>
    <row r="2219" spans="1:12" ht="15" customHeight="1" x14ac:dyDescent="0.25">
      <c r="A2219" s="1238"/>
      <c r="B2219" s="1228" t="s">
        <v>262</v>
      </c>
      <c r="C2219" s="1228">
        <v>1000</v>
      </c>
      <c r="D2219" s="1239">
        <f>'Prec Materia Prima y Empaq'!$H$55</f>
        <v>50522</v>
      </c>
      <c r="E2219" s="1240">
        <f t="shared" si="788"/>
        <v>9599.18</v>
      </c>
      <c r="F2219" s="1241">
        <f t="shared" si="789"/>
        <v>60121.18</v>
      </c>
      <c r="G2219" s="1240">
        <f t="shared" si="790"/>
        <v>6012.1180000000004</v>
      </c>
      <c r="H2219" s="1242">
        <v>100</v>
      </c>
      <c r="I2219" s="1228" t="s">
        <v>450</v>
      </c>
      <c r="K2219" s="1242">
        <f t="shared" si="791"/>
        <v>0.23809523809523808</v>
      </c>
      <c r="L2219" s="1243">
        <f t="shared" si="792"/>
        <v>14.314566666666666</v>
      </c>
    </row>
    <row r="2220" spans="1:12" ht="15" customHeight="1" x14ac:dyDescent="0.25">
      <c r="A2220" s="1238"/>
      <c r="B2220" s="1228" t="s">
        <v>261</v>
      </c>
      <c r="C2220" s="1228">
        <v>1000</v>
      </c>
      <c r="D2220" s="1239">
        <f>'Prec Materia Prima y Empaq'!$H$12</f>
        <v>4700</v>
      </c>
      <c r="E2220" s="1240">
        <f t="shared" si="788"/>
        <v>893</v>
      </c>
      <c r="F2220" s="1241">
        <f t="shared" si="789"/>
        <v>5593</v>
      </c>
      <c r="G2220" s="1240">
        <f t="shared" si="790"/>
        <v>1118.5999999999999</v>
      </c>
      <c r="H2220" s="1242">
        <v>200</v>
      </c>
      <c r="I2220" s="1228" t="s">
        <v>450</v>
      </c>
      <c r="K2220" s="1242">
        <f t="shared" si="791"/>
        <v>0.47619047619047616</v>
      </c>
      <c r="L2220" s="1243">
        <f t="shared" si="792"/>
        <v>2.6633333333333331</v>
      </c>
    </row>
    <row r="2221" spans="1:12" ht="15" customHeight="1" x14ac:dyDescent="0.25">
      <c r="A2221" s="1238"/>
      <c r="B2221" s="1228" t="s">
        <v>268</v>
      </c>
      <c r="C2221" s="1228">
        <v>1000</v>
      </c>
      <c r="D2221" s="1239">
        <f>'Prec Materia Prima y Empaq'!$H$31</f>
        <v>20000</v>
      </c>
      <c r="E2221" s="1240">
        <v>0</v>
      </c>
      <c r="F2221" s="1241">
        <f t="shared" si="789"/>
        <v>20000</v>
      </c>
      <c r="G2221" s="1240">
        <f t="shared" si="790"/>
        <v>20000</v>
      </c>
      <c r="H2221" s="1242">
        <v>1000</v>
      </c>
      <c r="I2221" s="1228" t="s">
        <v>450</v>
      </c>
      <c r="K2221" s="1242">
        <f t="shared" si="791"/>
        <v>2.3809523809523809</v>
      </c>
      <c r="L2221" s="1243">
        <f t="shared" si="792"/>
        <v>47.61904761904762</v>
      </c>
    </row>
    <row r="2222" spans="1:12" ht="15" customHeight="1" x14ac:dyDescent="0.25">
      <c r="A2222" s="1238"/>
      <c r="B2222" s="1228" t="s">
        <v>246</v>
      </c>
      <c r="C2222" s="1228">
        <v>1000</v>
      </c>
      <c r="D2222" s="1239">
        <f>'Prec Materia Prima y Empaq'!$H$41</f>
        <v>80268</v>
      </c>
      <c r="E2222" s="1240">
        <f t="shared" si="788"/>
        <v>15250.92</v>
      </c>
      <c r="F2222" s="1241">
        <f t="shared" si="789"/>
        <v>95518.92</v>
      </c>
      <c r="G2222" s="1240">
        <f t="shared" si="790"/>
        <v>5731.1351999999997</v>
      </c>
      <c r="H2222" s="1242">
        <v>60</v>
      </c>
      <c r="I2222" s="1228" t="s">
        <v>450</v>
      </c>
      <c r="K2222" s="1242">
        <f t="shared" si="791"/>
        <v>0.14285714285714285</v>
      </c>
      <c r="L2222" s="1243">
        <f t="shared" si="792"/>
        <v>13.645559999999998</v>
      </c>
    </row>
    <row r="2223" spans="1:12" ht="30.75" customHeight="1" x14ac:dyDescent="0.25">
      <c r="B2223" s="1228" t="s">
        <v>255</v>
      </c>
      <c r="C2223" s="1228">
        <v>1000</v>
      </c>
      <c r="D2223" s="1239">
        <f>'Prec Materia Prima y Empaq'!$H$26</f>
        <v>45404</v>
      </c>
      <c r="E2223" s="1240">
        <f t="shared" ref="E2223:E2224" si="793">D2223*19%</f>
        <v>8626.76</v>
      </c>
      <c r="F2223" s="1241">
        <f t="shared" si="789"/>
        <v>54030.76</v>
      </c>
      <c r="G2223" s="1240">
        <f t="shared" si="790"/>
        <v>5403.076</v>
      </c>
      <c r="H2223" s="1242">
        <v>100</v>
      </c>
      <c r="I2223" s="1228" t="s">
        <v>450</v>
      </c>
      <c r="K2223" s="1242">
        <f t="shared" si="791"/>
        <v>0.23809523809523808</v>
      </c>
      <c r="L2223" s="1243">
        <f t="shared" si="792"/>
        <v>12.864466666666667</v>
      </c>
    </row>
    <row r="2224" spans="1:12" ht="15" customHeight="1" x14ac:dyDescent="0.25">
      <c r="B2224" s="1228" t="s">
        <v>382</v>
      </c>
      <c r="C2224" s="1228">
        <v>3785</v>
      </c>
      <c r="D2224" s="1273">
        <f>'Prec Materia Prima y Empaq'!$H$18</f>
        <v>24</v>
      </c>
      <c r="E2224" s="1240">
        <f t="shared" si="793"/>
        <v>4.5600000000000005</v>
      </c>
      <c r="F2224" s="1241">
        <f t="shared" si="789"/>
        <v>28.560000000000002</v>
      </c>
      <c r="G2224" s="1240">
        <f>F2224/C2224*H2224</f>
        <v>0.37727873183619554</v>
      </c>
      <c r="H2224" s="1242">
        <v>50</v>
      </c>
      <c r="I2224" s="1228" t="s">
        <v>450</v>
      </c>
      <c r="K2224" s="1242">
        <f t="shared" si="791"/>
        <v>0.11904761904761904</v>
      </c>
      <c r="L2224" s="1243">
        <f t="shared" si="792"/>
        <v>8.9828269484808459E-4</v>
      </c>
    </row>
    <row r="2225" spans="2:29" ht="31.5" customHeight="1" x14ac:dyDescent="0.25">
      <c r="B2225" s="1220" t="s">
        <v>247</v>
      </c>
      <c r="C2225" s="1228">
        <v>1000</v>
      </c>
      <c r="D2225" s="1244">
        <f>'Prec Materia Prima y Empaq'!$H$7</f>
        <v>50000</v>
      </c>
      <c r="E2225" s="1240">
        <v>0</v>
      </c>
      <c r="F2225" s="1241">
        <f t="shared" si="789"/>
        <v>50000</v>
      </c>
      <c r="G2225" s="1240">
        <f>F2225/C2225*H2225</f>
        <v>32.022471910112351</v>
      </c>
      <c r="H2225" s="1245">
        <v>0.64044943820224698</v>
      </c>
      <c r="I2225" s="1245" t="s">
        <v>453</v>
      </c>
      <c r="K2225" s="1242">
        <f t="shared" si="791"/>
        <v>1.5248796147672547E-3</v>
      </c>
      <c r="L2225" s="1243">
        <f t="shared" si="792"/>
        <v>7.6243980738362735E-2</v>
      </c>
      <c r="N2225" s="1220" t="s">
        <v>247</v>
      </c>
      <c r="O2225" s="1247">
        <v>1</v>
      </c>
      <c r="P2225" s="1240">
        <f>$F$391/$C$391*$O$391</f>
        <v>50</v>
      </c>
      <c r="Q2225" s="1248"/>
      <c r="R2225" s="1249" t="e">
        <f>P2225/O2214</f>
        <v>#DIV/0!</v>
      </c>
      <c r="S2225" s="1248" t="e">
        <f>R2225*1000</f>
        <v>#DIV/0!</v>
      </c>
      <c r="T2225" s="1250">
        <f>O2225/$O$380*1000</f>
        <v>2.5641025641025641E-3</v>
      </c>
      <c r="U2225" s="1238">
        <f>T2225*$M$380</f>
        <v>1</v>
      </c>
      <c r="Y2225" s="1238"/>
      <c r="Z2225" s="1238"/>
      <c r="AA2225" s="1251"/>
      <c r="AC2225" s="1252"/>
    </row>
    <row r="2226" spans="2:29" ht="35.25" customHeight="1" x14ac:dyDescent="0.25">
      <c r="B2226" s="1220" t="s">
        <v>677</v>
      </c>
      <c r="C2226" s="1220">
        <v>1</v>
      </c>
      <c r="D2226" s="1272">
        <f>'Prec Materia Prima y Empaq'!$H$127</f>
        <v>750</v>
      </c>
      <c r="E2226" s="1240">
        <v>0</v>
      </c>
      <c r="F2226" s="1241">
        <f t="shared" si="789"/>
        <v>750</v>
      </c>
      <c r="G2226" s="1253">
        <f>F2226*H2226</f>
        <v>292500</v>
      </c>
      <c r="H2226" s="1245">
        <f>$C$944</f>
        <v>390</v>
      </c>
      <c r="I2226" s="1245" t="s">
        <v>453</v>
      </c>
      <c r="K2226" s="1242">
        <f t="shared" si="791"/>
        <v>0.9285714285714286</v>
      </c>
      <c r="L2226" s="1243">
        <f t="shared" si="792"/>
        <v>696.42857142857144</v>
      </c>
    </row>
    <row r="2227" spans="2:29" ht="15" customHeight="1" x14ac:dyDescent="0.25">
      <c r="B2227" s="1220" t="s">
        <v>614</v>
      </c>
      <c r="C2227" s="1220">
        <v>1</v>
      </c>
      <c r="D2227" s="1244">
        <f>'Prec Materia Prima y Empaq'!$H$144</f>
        <v>70</v>
      </c>
      <c r="E2227" s="1240">
        <v>0</v>
      </c>
      <c r="F2227" s="1241">
        <f t="shared" si="789"/>
        <v>70</v>
      </c>
      <c r="G2227" s="1253">
        <f t="shared" ref="G2227:G2230" si="794">F2227*H2227</f>
        <v>27300</v>
      </c>
      <c r="H2227" s="1245">
        <f t="shared" ref="H2227:H2230" si="795">$C$944</f>
        <v>390</v>
      </c>
      <c r="I2227" s="1245" t="s">
        <v>453</v>
      </c>
      <c r="K2227" s="1242">
        <f t="shared" si="791"/>
        <v>0.9285714285714286</v>
      </c>
      <c r="L2227" s="1243">
        <f t="shared" si="792"/>
        <v>65</v>
      </c>
    </row>
    <row r="2228" spans="2:29" ht="15" customHeight="1" x14ac:dyDescent="0.25">
      <c r="B2228" s="1245" t="s">
        <v>452</v>
      </c>
      <c r="C2228" s="1245">
        <v>1</v>
      </c>
      <c r="D2228" s="1244">
        <f>'Prec Materia Prima y Empaq'!$H$140</f>
        <v>120</v>
      </c>
      <c r="E2228" s="1240">
        <v>0</v>
      </c>
      <c r="F2228" s="1241">
        <f t="shared" si="789"/>
        <v>120</v>
      </c>
      <c r="G2228" s="1253">
        <f t="shared" si="794"/>
        <v>46800</v>
      </c>
      <c r="H2228" s="1245">
        <f t="shared" si="795"/>
        <v>390</v>
      </c>
      <c r="I2228" s="1245" t="s">
        <v>453</v>
      </c>
      <c r="K2228" s="1242">
        <f t="shared" si="791"/>
        <v>0.9285714285714286</v>
      </c>
      <c r="L2228" s="1243">
        <f t="shared" si="792"/>
        <v>111.42857142857143</v>
      </c>
    </row>
    <row r="2229" spans="2:29" ht="15" customHeight="1" x14ac:dyDescent="0.25">
      <c r="B2229" s="1220" t="s">
        <v>310</v>
      </c>
      <c r="C2229" s="1245">
        <v>1</v>
      </c>
      <c r="D2229" s="1244">
        <f>'Prec Materia Prima y Empaq'!$H$130</f>
        <v>100</v>
      </c>
      <c r="E2229" s="1240">
        <v>0</v>
      </c>
      <c r="F2229" s="1241">
        <f t="shared" si="789"/>
        <v>100</v>
      </c>
      <c r="G2229" s="1253">
        <f t="shared" si="794"/>
        <v>39000</v>
      </c>
      <c r="H2229" s="1245">
        <f t="shared" si="795"/>
        <v>390</v>
      </c>
      <c r="I2229" s="1245" t="s">
        <v>453</v>
      </c>
      <c r="K2229" s="1242">
        <f t="shared" si="791"/>
        <v>0.9285714285714286</v>
      </c>
      <c r="L2229" s="1243">
        <f t="shared" si="792"/>
        <v>92.857142857142861</v>
      </c>
    </row>
    <row r="2230" spans="2:29" ht="25.5" customHeight="1" x14ac:dyDescent="0.25">
      <c r="B2230" s="1245" t="s">
        <v>458</v>
      </c>
      <c r="C2230" s="1245">
        <v>1</v>
      </c>
      <c r="D2230" s="1244">
        <f>'Prec Materia Prima y Empaq'!$H$129</f>
        <v>800</v>
      </c>
      <c r="E2230" s="1240">
        <v>0</v>
      </c>
      <c r="F2230" s="1241">
        <f t="shared" si="789"/>
        <v>800</v>
      </c>
      <c r="G2230" s="1253">
        <f t="shared" si="794"/>
        <v>312000</v>
      </c>
      <c r="H2230" s="1245">
        <f t="shared" si="795"/>
        <v>390</v>
      </c>
      <c r="I2230" s="1245" t="s">
        <v>453</v>
      </c>
      <c r="K2230" s="1242">
        <f t="shared" si="791"/>
        <v>0.9285714285714286</v>
      </c>
      <c r="L2230" s="1243">
        <f t="shared" si="792"/>
        <v>742.85714285714289</v>
      </c>
    </row>
    <row r="2231" spans="2:29" ht="19.5" customHeight="1" thickBot="1" x14ac:dyDescent="0.3">
      <c r="B2231" s="1255"/>
      <c r="C2231" s="857"/>
      <c r="D2231" s="1256"/>
      <c r="E2231" s="1248"/>
      <c r="F2231" s="1257"/>
      <c r="G2231" s="1258">
        <f>SUM(G2216:G2230)/C2210</f>
        <v>1852.8522117872428</v>
      </c>
      <c r="H2231" s="1259" t="s">
        <v>454</v>
      </c>
      <c r="I2231" s="857"/>
      <c r="K2231" s="1242"/>
      <c r="L2231" s="1260">
        <f>SUM(L2216:L2230)</f>
        <v>1852.8522117872428</v>
      </c>
    </row>
    <row r="2232" spans="2:29" ht="15" customHeight="1" thickTop="1" x14ac:dyDescent="0.25">
      <c r="B2232" s="1314" t="s">
        <v>409</v>
      </c>
      <c r="C2232" s="1315"/>
      <c r="D2232" s="1316">
        <f>+'Gtos Varios'!I14</f>
        <v>3672.93</v>
      </c>
      <c r="E2232" s="1315"/>
      <c r="F2232" s="1317">
        <f t="shared" ref="F2232" si="796">+E2232+D2232</f>
        <v>3672.93</v>
      </c>
      <c r="G2232" s="1318">
        <f>F2232</f>
        <v>3672.93</v>
      </c>
      <c r="H2232" s="1315" t="str">
        <f>B2232</f>
        <v xml:space="preserve">GASTOS VARIOS </v>
      </c>
      <c r="I2232" s="1315"/>
    </row>
    <row r="2233" spans="2:29" ht="15" customHeight="1" x14ac:dyDescent="0.25">
      <c r="B2233" s="1255"/>
      <c r="C2233" s="857"/>
      <c r="D2233" s="1256"/>
      <c r="E2233" s="1248"/>
      <c r="F2233" s="1257"/>
      <c r="G2233" s="1266"/>
      <c r="H2233" s="857"/>
      <c r="I2233" s="857"/>
    </row>
    <row r="2234" spans="2:29" ht="15" customHeight="1" x14ac:dyDescent="0.25">
      <c r="B2234" s="1255"/>
      <c r="C2234" s="857"/>
      <c r="D2234" s="1256"/>
      <c r="E2234" s="1248"/>
      <c r="F2234" s="1257"/>
      <c r="G2234" s="1266"/>
      <c r="H2234" s="857"/>
      <c r="I2234" s="857"/>
    </row>
    <row r="2235" spans="2:29" ht="15" customHeight="1" thickBot="1" x14ac:dyDescent="0.3">
      <c r="F2235" s="1267">
        <f>SUM(F2216:F2230)</f>
        <v>321404.42</v>
      </c>
      <c r="G2235" s="1268">
        <f>SUM(G2231:G2232)</f>
        <v>5525.7822117872429</v>
      </c>
      <c r="H2235" s="733" t="s">
        <v>412</v>
      </c>
    </row>
    <row r="2236" spans="2:29" ht="15" customHeight="1" thickTop="1" x14ac:dyDescent="0.25">
      <c r="G2236" s="1295">
        <f>G2235*60%</f>
        <v>3315.4693270723455</v>
      </c>
      <c r="H2236" s="1274">
        <v>0.6</v>
      </c>
      <c r="I2236" s="733" t="s">
        <v>539</v>
      </c>
    </row>
    <row r="2237" spans="2:29" ht="15" customHeight="1" thickBot="1" x14ac:dyDescent="0.3">
      <c r="G2237" s="1270">
        <f>G2235+G2236</f>
        <v>8841.2515388595893</v>
      </c>
      <c r="H2237" s="733" t="s">
        <v>414</v>
      </c>
    </row>
    <row r="2238" spans="2:29" ht="15" customHeight="1" thickTop="1" x14ac:dyDescent="0.25"/>
    <row r="2241" spans="1:12" ht="15" customHeight="1" x14ac:dyDescent="0.25">
      <c r="B2241" s="1222" t="s">
        <v>61</v>
      </c>
      <c r="C2241" s="1219" t="s">
        <v>230</v>
      </c>
      <c r="D2241" s="733"/>
      <c r="E2241" s="870"/>
      <c r="F2241" s="870"/>
      <c r="G2241" s="870"/>
      <c r="H2241" s="870"/>
    </row>
    <row r="2242" spans="1:12" ht="15" customHeight="1" x14ac:dyDescent="0.25">
      <c r="A2242" s="1223" t="s">
        <v>718</v>
      </c>
      <c r="B2242" s="1222" t="s">
        <v>62</v>
      </c>
      <c r="C2242" s="1219" t="str">
        <f>VLOOKUP(C2241,LISTPROD[],2,FALSE)</f>
        <v xml:space="preserve">ORTIGA PHARMA </v>
      </c>
      <c r="D2242" s="733" t="s">
        <v>486</v>
      </c>
      <c r="E2242" s="857" t="s">
        <v>487</v>
      </c>
      <c r="F2242" s="870"/>
      <c r="G2242" s="870"/>
      <c r="H2242" s="870"/>
    </row>
    <row r="2243" spans="1:12" ht="15" customHeight="1" x14ac:dyDescent="0.25">
      <c r="B2243" s="1222" t="s">
        <v>234</v>
      </c>
      <c r="C2243" s="1219" t="str">
        <f>VLOOKUP(C2241,LISTPROD[],9,FALSE)</f>
        <v>500 ML</v>
      </c>
      <c r="D2243" s="733"/>
      <c r="E2243" s="870"/>
      <c r="F2243" s="870"/>
      <c r="G2243" s="870"/>
      <c r="H2243" s="870"/>
    </row>
    <row r="2244" spans="1:12" ht="15" customHeight="1" x14ac:dyDescent="0.25">
      <c r="B2244" s="1222" t="s">
        <v>239</v>
      </c>
      <c r="C2244" s="1224">
        <v>420</v>
      </c>
      <c r="D2244" s="1218"/>
      <c r="E2244" s="870"/>
      <c r="F2244" s="870"/>
      <c r="G2244" s="870"/>
      <c r="H2244" s="870"/>
    </row>
    <row r="2245" spans="1:12" ht="15" customHeight="1" x14ac:dyDescent="0.25">
      <c r="B2245" s="1222" t="s">
        <v>240</v>
      </c>
      <c r="C2245" s="1219"/>
      <c r="D2245" s="733"/>
    </row>
    <row r="2246" spans="1:12" ht="15" customHeight="1" x14ac:dyDescent="0.25">
      <c r="B2246" s="1222" t="s">
        <v>238</v>
      </c>
      <c r="C2246" s="733" t="s">
        <v>56</v>
      </c>
      <c r="D2246" s="1218" t="s">
        <v>449</v>
      </c>
    </row>
    <row r="2247" spans="1:12" ht="15" customHeight="1" x14ac:dyDescent="0.25">
      <c r="B2247" s="1225" t="s">
        <v>410</v>
      </c>
      <c r="C2247" s="753">
        <v>500</v>
      </c>
      <c r="D2247" s="1226"/>
    </row>
    <row r="2248" spans="1:12" ht="15" customHeight="1" x14ac:dyDescent="0.25">
      <c r="A2248" s="1227"/>
      <c r="B2248" s="1436" t="s">
        <v>404</v>
      </c>
      <c r="C2248" s="1436"/>
      <c r="D2248" s="1436"/>
      <c r="E2248" s="1436"/>
      <c r="F2248" s="1436"/>
      <c r="G2248" s="1228"/>
      <c r="H2248" s="1437" t="s">
        <v>416</v>
      </c>
      <c r="I2248" s="1438"/>
    </row>
    <row r="2249" spans="1:12" ht="34.5" customHeight="1" x14ac:dyDescent="0.25">
      <c r="A2249" s="1229"/>
      <c r="B2249" s="1230" t="s">
        <v>398</v>
      </c>
      <c r="C2249" s="1231" t="s">
        <v>441</v>
      </c>
      <c r="D2249" s="1232" t="s">
        <v>399</v>
      </c>
      <c r="E2249" s="1233" t="s">
        <v>402</v>
      </c>
      <c r="F2249" s="1232" t="s">
        <v>399</v>
      </c>
      <c r="G2249" s="1232" t="s">
        <v>411</v>
      </c>
      <c r="H2249" s="1234" t="s">
        <v>408</v>
      </c>
      <c r="I2249" s="1235" t="s">
        <v>415</v>
      </c>
      <c r="K2249" s="1236" t="s">
        <v>603</v>
      </c>
      <c r="L2249" s="1237" t="s">
        <v>604</v>
      </c>
    </row>
    <row r="2250" spans="1:12" ht="15" customHeight="1" x14ac:dyDescent="0.25">
      <c r="A2250" s="1238"/>
      <c r="B2250" s="1228" t="s">
        <v>248</v>
      </c>
      <c r="C2250" s="1228">
        <v>1000</v>
      </c>
      <c r="D2250" s="1239">
        <f>'Prec Materia Prima y Empaq'!$H$21</f>
        <v>15400</v>
      </c>
      <c r="E2250" s="1240">
        <f>D2250*19%</f>
        <v>2926</v>
      </c>
      <c r="F2250" s="1241">
        <f>+E2250+D2250</f>
        <v>18326</v>
      </c>
      <c r="G2250" s="1240">
        <f>F2250/C2250*H2250</f>
        <v>16493.400000000001</v>
      </c>
      <c r="H2250" s="1242">
        <v>900</v>
      </c>
      <c r="I2250" s="1228" t="s">
        <v>450</v>
      </c>
      <c r="K2250" s="1242">
        <f>H2250/$C$2244</f>
        <v>2.1428571428571428</v>
      </c>
      <c r="L2250" s="1243">
        <f>F2250/C2250*K2250</f>
        <v>39.270000000000003</v>
      </c>
    </row>
    <row r="2251" spans="1:12" ht="15" customHeight="1" x14ac:dyDescent="0.25">
      <c r="A2251" s="1238"/>
      <c r="B2251" s="1228" t="s">
        <v>443</v>
      </c>
      <c r="C2251" s="1228">
        <v>1000</v>
      </c>
      <c r="D2251" s="1239">
        <f>'Prec Materia Prima y Empaq'!$H$11</f>
        <v>8000</v>
      </c>
      <c r="E2251" s="1240">
        <f t="shared" ref="E2251:E2256" si="797">D2251*19%</f>
        <v>1520</v>
      </c>
      <c r="F2251" s="1241">
        <f t="shared" ref="F2251:F2261" si="798">+E2251+D2251</f>
        <v>9520</v>
      </c>
      <c r="G2251" s="1240">
        <f t="shared" ref="G2251:G2255" si="799">F2251/C2251*H2251</f>
        <v>5712</v>
      </c>
      <c r="H2251" s="1242">
        <v>600</v>
      </c>
      <c r="I2251" s="1228" t="s">
        <v>450</v>
      </c>
      <c r="K2251" s="1242">
        <f t="shared" ref="K2251:K2263" si="800">H2251/$C$2244</f>
        <v>1.4285714285714286</v>
      </c>
      <c r="L2251" s="1243">
        <f t="shared" ref="L2251:L2263" si="801">F2251/C2251*K2251</f>
        <v>13.6</v>
      </c>
    </row>
    <row r="2252" spans="1:12" ht="15" customHeight="1" x14ac:dyDescent="0.25">
      <c r="A2252" s="1238"/>
      <c r="B2252" s="1228" t="s">
        <v>253</v>
      </c>
      <c r="C2252" s="1228">
        <v>1000</v>
      </c>
      <c r="D2252" s="1239">
        <f>'Prec Materia Prima y Empaq'!$H$9</f>
        <v>5400</v>
      </c>
      <c r="E2252" s="1240">
        <f t="shared" si="797"/>
        <v>1026</v>
      </c>
      <c r="F2252" s="1241">
        <f t="shared" si="798"/>
        <v>6426</v>
      </c>
      <c r="G2252" s="1240">
        <f t="shared" si="799"/>
        <v>3213</v>
      </c>
      <c r="H2252" s="1242">
        <v>500</v>
      </c>
      <c r="I2252" s="1228" t="s">
        <v>450</v>
      </c>
      <c r="K2252" s="1242">
        <f t="shared" si="800"/>
        <v>1.1904761904761905</v>
      </c>
      <c r="L2252" s="1243">
        <f t="shared" si="801"/>
        <v>7.65</v>
      </c>
    </row>
    <row r="2253" spans="1:12" ht="15" customHeight="1" x14ac:dyDescent="0.25">
      <c r="A2253" s="1238"/>
      <c r="B2253" s="1228" t="s">
        <v>245</v>
      </c>
      <c r="C2253" s="1228">
        <v>1000</v>
      </c>
      <c r="D2253" s="1239">
        <f>'Prec Materia Prima y Empaq'!$H$44</f>
        <v>52325</v>
      </c>
      <c r="E2253" s="1240">
        <f t="shared" si="797"/>
        <v>9941.75</v>
      </c>
      <c r="F2253" s="1241">
        <f t="shared" si="798"/>
        <v>62266.75</v>
      </c>
      <c r="G2253" s="1240">
        <f t="shared" si="799"/>
        <v>6226.6750000000002</v>
      </c>
      <c r="H2253" s="1242">
        <v>100</v>
      </c>
      <c r="I2253" s="1228" t="s">
        <v>450</v>
      </c>
      <c r="K2253" s="1242">
        <f t="shared" si="800"/>
        <v>0.23809523809523808</v>
      </c>
      <c r="L2253" s="1243">
        <f t="shared" si="801"/>
        <v>14.825416666666666</v>
      </c>
    </row>
    <row r="2254" spans="1:12" ht="15" customHeight="1" x14ac:dyDescent="0.25">
      <c r="A2254" s="1238"/>
      <c r="B2254" s="1228" t="s">
        <v>261</v>
      </c>
      <c r="C2254" s="1228">
        <v>1000</v>
      </c>
      <c r="D2254" s="1239">
        <f>'Prec Materia Prima y Empaq'!$H$12</f>
        <v>4700</v>
      </c>
      <c r="E2254" s="1240">
        <f t="shared" si="797"/>
        <v>893</v>
      </c>
      <c r="F2254" s="1241">
        <f t="shared" si="798"/>
        <v>5593</v>
      </c>
      <c r="G2254" s="1240">
        <f t="shared" si="799"/>
        <v>1118.5999999999999</v>
      </c>
      <c r="H2254" s="1242">
        <v>200</v>
      </c>
      <c r="I2254" s="1228" t="s">
        <v>450</v>
      </c>
      <c r="K2254" s="1242">
        <f t="shared" si="800"/>
        <v>0.47619047619047616</v>
      </c>
      <c r="L2254" s="1243">
        <f t="shared" si="801"/>
        <v>2.6633333333333331</v>
      </c>
    </row>
    <row r="2255" spans="1:12" ht="15" customHeight="1" x14ac:dyDescent="0.25">
      <c r="A2255" s="1238"/>
      <c r="B2255" s="1228" t="s">
        <v>246</v>
      </c>
      <c r="C2255" s="1228">
        <v>1000</v>
      </c>
      <c r="D2255" s="1239">
        <f>'Prec Materia Prima y Empaq'!$H$41</f>
        <v>80268</v>
      </c>
      <c r="E2255" s="1240">
        <f t="shared" si="797"/>
        <v>15250.92</v>
      </c>
      <c r="F2255" s="1241">
        <f t="shared" si="798"/>
        <v>95518.92</v>
      </c>
      <c r="G2255" s="1240">
        <f t="shared" si="799"/>
        <v>1910.3783999999998</v>
      </c>
      <c r="H2255" s="1242">
        <v>20</v>
      </c>
      <c r="I2255" s="1228" t="s">
        <v>450</v>
      </c>
      <c r="K2255" s="1242">
        <f t="shared" si="800"/>
        <v>4.7619047619047616E-2</v>
      </c>
      <c r="L2255" s="1243">
        <f t="shared" si="801"/>
        <v>4.5485199999999999</v>
      </c>
    </row>
    <row r="2256" spans="1:12" ht="15" customHeight="1" x14ac:dyDescent="0.25">
      <c r="A2256" s="1238"/>
      <c r="B2256" s="1228" t="s">
        <v>382</v>
      </c>
      <c r="C2256" s="1228">
        <v>3785</v>
      </c>
      <c r="D2256" s="1239">
        <f>'Prec Materia Prima y Empaq'!$H$18</f>
        <v>24</v>
      </c>
      <c r="E2256" s="1240">
        <f t="shared" si="797"/>
        <v>4.5600000000000005</v>
      </c>
      <c r="F2256" s="1241">
        <f t="shared" si="798"/>
        <v>28.560000000000002</v>
      </c>
      <c r="G2256" s="1240">
        <f>F2256/C2256*H2256</f>
        <v>0.37727873183619554</v>
      </c>
      <c r="H2256" s="1242">
        <v>50</v>
      </c>
      <c r="I2256" s="1228" t="s">
        <v>450</v>
      </c>
      <c r="K2256" s="1242">
        <f t="shared" si="800"/>
        <v>0.11904761904761904</v>
      </c>
      <c r="L2256" s="1243">
        <f t="shared" si="801"/>
        <v>8.9828269484808459E-4</v>
      </c>
    </row>
    <row r="2257" spans="2:29" ht="31.5" customHeight="1" x14ac:dyDescent="0.25">
      <c r="B2257" s="1220" t="s">
        <v>247</v>
      </c>
      <c r="C2257" s="1228">
        <v>1000</v>
      </c>
      <c r="D2257" s="1244">
        <f>'Prec Materia Prima y Empaq'!$H$7</f>
        <v>50000</v>
      </c>
      <c r="E2257" s="1240">
        <v>0</v>
      </c>
      <c r="F2257" s="1241">
        <f t="shared" si="798"/>
        <v>50000</v>
      </c>
      <c r="G2257" s="1240">
        <f>F2257/C2257*H2257</f>
        <v>32.022471910112351</v>
      </c>
      <c r="H2257" s="1245">
        <v>0.64044943820224698</v>
      </c>
      <c r="I2257" s="1245" t="s">
        <v>453</v>
      </c>
      <c r="K2257" s="1242">
        <f t="shared" ref="K2257" si="802">H2257/$C$2210</f>
        <v>1.5248796147672547E-3</v>
      </c>
      <c r="L2257" s="1243">
        <f t="shared" si="801"/>
        <v>7.6243980738362735E-2</v>
      </c>
      <c r="N2257" s="1220" t="s">
        <v>247</v>
      </c>
      <c r="O2257" s="1247">
        <v>1</v>
      </c>
      <c r="P2257" s="1240">
        <f>$F$391/$C$391*$O$391</f>
        <v>50</v>
      </c>
      <c r="Q2257" s="1248"/>
      <c r="R2257" s="1249" t="e">
        <f>P2257/O2246</f>
        <v>#DIV/0!</v>
      </c>
      <c r="S2257" s="1248" t="e">
        <f>R2257*1000</f>
        <v>#DIV/0!</v>
      </c>
      <c r="T2257" s="1250">
        <f>O2257/$O$380*1000</f>
        <v>2.5641025641025641E-3</v>
      </c>
      <c r="U2257" s="1238">
        <f>T2257*$M$380</f>
        <v>1</v>
      </c>
      <c r="Y2257" s="1238"/>
      <c r="Z2257" s="1238"/>
      <c r="AA2257" s="1251"/>
      <c r="AC2257" s="1252"/>
    </row>
    <row r="2258" spans="2:29" ht="30.75" customHeight="1" x14ac:dyDescent="0.25">
      <c r="B2258" s="1220" t="s">
        <v>485</v>
      </c>
      <c r="C2258" s="1220">
        <v>1</v>
      </c>
      <c r="D2258" s="1244">
        <f>'Prec Materia Prima y Empaq'!$H$138</f>
        <v>650</v>
      </c>
      <c r="E2258" s="1240">
        <v>0</v>
      </c>
      <c r="F2258" s="1241">
        <f t="shared" si="798"/>
        <v>650</v>
      </c>
      <c r="G2258" s="1253">
        <f t="shared" ref="G2258:G2263" si="803">F2258*H2258</f>
        <v>273000</v>
      </c>
      <c r="H2258" s="1245">
        <f>$C$2244</f>
        <v>420</v>
      </c>
      <c r="I2258" s="1245" t="s">
        <v>453</v>
      </c>
      <c r="K2258" s="1242">
        <f t="shared" si="800"/>
        <v>1</v>
      </c>
      <c r="L2258" s="1243">
        <f t="shared" si="801"/>
        <v>650</v>
      </c>
    </row>
    <row r="2259" spans="2:29" ht="15" customHeight="1" x14ac:dyDescent="0.25">
      <c r="B2259" s="1220" t="s">
        <v>614</v>
      </c>
      <c r="C2259" s="1220">
        <v>1</v>
      </c>
      <c r="D2259" s="1244">
        <f>'Prec Materia Prima y Empaq'!$H$144</f>
        <v>70</v>
      </c>
      <c r="E2259" s="1240">
        <v>0</v>
      </c>
      <c r="F2259" s="1241">
        <f t="shared" si="798"/>
        <v>70</v>
      </c>
      <c r="G2259" s="1253">
        <f t="shared" si="803"/>
        <v>29400</v>
      </c>
      <c r="H2259" s="1245">
        <f t="shared" ref="H2259:H2263" si="804">$C$2244</f>
        <v>420</v>
      </c>
      <c r="I2259" s="1245" t="s">
        <v>453</v>
      </c>
      <c r="K2259" s="1242">
        <f t="shared" si="800"/>
        <v>1</v>
      </c>
      <c r="L2259" s="1243">
        <f t="shared" si="801"/>
        <v>70</v>
      </c>
    </row>
    <row r="2260" spans="2:29" ht="64.5" customHeight="1" x14ac:dyDescent="0.25">
      <c r="B2260" s="1220" t="s">
        <v>695</v>
      </c>
      <c r="C2260" s="1245">
        <v>1</v>
      </c>
      <c r="D2260" s="1272">
        <f>'Prec Materia Prima y Empaq'!$H$161</f>
        <v>300</v>
      </c>
      <c r="E2260" s="1240">
        <v>0</v>
      </c>
      <c r="F2260" s="1241">
        <f t="shared" si="798"/>
        <v>300</v>
      </c>
      <c r="G2260" s="1253">
        <f t="shared" si="803"/>
        <v>126000</v>
      </c>
      <c r="H2260" s="1245">
        <f t="shared" si="804"/>
        <v>420</v>
      </c>
      <c r="I2260" s="1245" t="s">
        <v>453</v>
      </c>
      <c r="K2260" s="1242">
        <f t="shared" si="800"/>
        <v>1</v>
      </c>
      <c r="L2260" s="1243">
        <f t="shared" si="801"/>
        <v>300</v>
      </c>
    </row>
    <row r="2261" spans="2:29" ht="15" customHeight="1" x14ac:dyDescent="0.25">
      <c r="B2261" s="1279" t="s">
        <v>675</v>
      </c>
      <c r="C2261" s="1245">
        <v>1</v>
      </c>
      <c r="D2261" s="1272">
        <f>'Prec Materia Prima y Empaq'!$H$162</f>
        <v>100</v>
      </c>
      <c r="E2261" s="1240"/>
      <c r="F2261" s="1241">
        <f t="shared" si="798"/>
        <v>100</v>
      </c>
      <c r="G2261" s="1253">
        <f t="shared" si="803"/>
        <v>42000</v>
      </c>
      <c r="H2261" s="1245">
        <f t="shared" si="804"/>
        <v>420</v>
      </c>
      <c r="I2261" s="1245" t="s">
        <v>453</v>
      </c>
      <c r="K2261" s="1242">
        <f t="shared" si="800"/>
        <v>1</v>
      </c>
      <c r="L2261" s="1243">
        <f t="shared" si="801"/>
        <v>100</v>
      </c>
    </row>
    <row r="2262" spans="2:29" ht="15" customHeight="1" x14ac:dyDescent="0.25">
      <c r="B2262" s="1220" t="s">
        <v>310</v>
      </c>
      <c r="C2262" s="1245">
        <v>1</v>
      </c>
      <c r="D2262" s="1272">
        <f>'Prec Materia Prima y Empaq'!$H$130</f>
        <v>100</v>
      </c>
      <c r="E2262" s="1240">
        <v>0</v>
      </c>
      <c r="F2262" s="1241">
        <f t="shared" ref="F2262:F2263" si="805">+E2262+D2262</f>
        <v>100</v>
      </c>
      <c r="G2262" s="1253">
        <f t="shared" si="803"/>
        <v>42000</v>
      </c>
      <c r="H2262" s="1245">
        <f t="shared" si="804"/>
        <v>420</v>
      </c>
      <c r="I2262" s="1245" t="s">
        <v>453</v>
      </c>
      <c r="K2262" s="1242">
        <f t="shared" si="800"/>
        <v>1</v>
      </c>
      <c r="L2262" s="1243">
        <f t="shared" si="801"/>
        <v>100</v>
      </c>
    </row>
    <row r="2263" spans="2:29" ht="15" customHeight="1" x14ac:dyDescent="0.25">
      <c r="B2263" s="1245" t="s">
        <v>309</v>
      </c>
      <c r="C2263" s="1245">
        <v>1</v>
      </c>
      <c r="D2263" s="1272">
        <f>'Prec Materia Prima y Empaq'!$H$129</f>
        <v>800</v>
      </c>
      <c r="E2263" s="1240">
        <v>0</v>
      </c>
      <c r="F2263" s="1241">
        <f t="shared" si="805"/>
        <v>800</v>
      </c>
      <c r="G2263" s="1253">
        <f t="shared" si="803"/>
        <v>336000</v>
      </c>
      <c r="H2263" s="1245">
        <f t="shared" si="804"/>
        <v>420</v>
      </c>
      <c r="I2263" s="1245" t="s">
        <v>453</v>
      </c>
      <c r="K2263" s="1242">
        <f t="shared" si="800"/>
        <v>1</v>
      </c>
      <c r="L2263" s="1243">
        <f t="shared" si="801"/>
        <v>800</v>
      </c>
    </row>
    <row r="2264" spans="2:29" ht="19.5" customHeight="1" thickBot="1" x14ac:dyDescent="0.3">
      <c r="B2264" s="1255"/>
      <c r="C2264" s="857"/>
      <c r="D2264" s="1256"/>
      <c r="E2264" s="1248"/>
      <c r="F2264" s="1257"/>
      <c r="G2264" s="1258">
        <f>SUM(G2250:G2263)/C2244</f>
        <v>2102.6344122634332</v>
      </c>
      <c r="H2264" s="1259" t="s">
        <v>454</v>
      </c>
      <c r="I2264" s="857"/>
      <c r="K2264" s="1242"/>
      <c r="L2264" s="1260">
        <f>SUM(L2250:L2263)</f>
        <v>2102.6344122634332</v>
      </c>
    </row>
    <row r="2265" spans="2:29" ht="15" customHeight="1" thickTop="1" x14ac:dyDescent="0.25">
      <c r="B2265" s="1314" t="s">
        <v>409</v>
      </c>
      <c r="C2265" s="1315"/>
      <c r="D2265" s="1316">
        <f>+'Gtos Varios'!I14</f>
        <v>3672.93</v>
      </c>
      <c r="E2265" s="1315"/>
      <c r="F2265" s="1317">
        <f t="shared" ref="F2265" si="806">+E2265+D2265</f>
        <v>3672.93</v>
      </c>
      <c r="G2265" s="1318">
        <f>F2265</f>
        <v>3672.93</v>
      </c>
      <c r="H2265" s="1315" t="str">
        <f>B2265</f>
        <v xml:space="preserve">GASTOS VARIOS </v>
      </c>
      <c r="I2265" s="1315"/>
    </row>
    <row r="2266" spans="2:29" ht="15" customHeight="1" x14ac:dyDescent="0.25">
      <c r="B2266" s="1255"/>
      <c r="C2266" s="857"/>
      <c r="D2266" s="1256"/>
      <c r="E2266" s="1248"/>
      <c r="F2266" s="1257"/>
      <c r="G2266" s="1266"/>
      <c r="H2266" s="857"/>
      <c r="I2266" s="857"/>
    </row>
    <row r="2267" spans="2:29" ht="15" customHeight="1" x14ac:dyDescent="0.25">
      <c r="B2267" s="1255"/>
      <c r="C2267" s="857"/>
      <c r="D2267" s="1256"/>
      <c r="E2267" s="1248"/>
      <c r="F2267" s="1257"/>
      <c r="G2267" s="1266"/>
      <c r="H2267" s="857"/>
      <c r="I2267" s="857"/>
    </row>
    <row r="2268" spans="2:29" ht="15" customHeight="1" thickBot="1" x14ac:dyDescent="0.3">
      <c r="F2268" s="1267">
        <f>SUM(F2250:F2263)</f>
        <v>249699.22999999998</v>
      </c>
      <c r="G2268" s="1268">
        <f>SUM(G2264:G2265)</f>
        <v>5775.564412263433</v>
      </c>
      <c r="H2268" s="733" t="s">
        <v>412</v>
      </c>
    </row>
    <row r="2269" spans="2:29" ht="15" customHeight="1" thickTop="1" x14ac:dyDescent="0.25">
      <c r="G2269" s="1295">
        <f>G2268*58%</f>
        <v>3349.8273591127909</v>
      </c>
      <c r="H2269" s="1274">
        <v>0.57999999999999996</v>
      </c>
      <c r="I2269" s="733" t="s">
        <v>539</v>
      </c>
    </row>
    <row r="2270" spans="2:29" ht="15" customHeight="1" thickBot="1" x14ac:dyDescent="0.3">
      <c r="G2270" s="1270">
        <f>G2268+G2269</f>
        <v>9125.3917713762239</v>
      </c>
      <c r="H2270" s="733" t="s">
        <v>414</v>
      </c>
    </row>
    <row r="2271" spans="2:29" ht="15" customHeight="1" thickTop="1" x14ac:dyDescent="0.25"/>
    <row r="2274" spans="1:12" ht="15" customHeight="1" x14ac:dyDescent="0.25">
      <c r="B2274" s="1222" t="s">
        <v>61</v>
      </c>
      <c r="C2274" s="1219" t="s">
        <v>236</v>
      </c>
      <c r="D2274" s="733"/>
      <c r="E2274" s="870"/>
      <c r="F2274" s="870"/>
      <c r="G2274" s="870"/>
      <c r="H2274" s="870"/>
    </row>
    <row r="2275" spans="1:12" ht="15" customHeight="1" x14ac:dyDescent="0.25">
      <c r="A2275" s="1223" t="s">
        <v>718</v>
      </c>
      <c r="B2275" s="1222" t="s">
        <v>62</v>
      </c>
      <c r="C2275" s="1219" t="str">
        <f>VLOOKUP(C2274,LISTPROD[],2,FALSE)</f>
        <v>MEMOTRON</v>
      </c>
      <c r="D2275" s="733" t="s">
        <v>486</v>
      </c>
      <c r="E2275" s="857" t="s">
        <v>721</v>
      </c>
      <c r="F2275" s="870"/>
      <c r="G2275" s="870"/>
      <c r="H2275" s="870"/>
    </row>
    <row r="2276" spans="1:12" ht="15" customHeight="1" x14ac:dyDescent="0.25">
      <c r="B2276" s="1222" t="s">
        <v>234</v>
      </c>
      <c r="C2276" s="1219" t="str">
        <f>VLOOKUP(C2274,LISTPROD[],9,FALSE)</f>
        <v>500 ML</v>
      </c>
      <c r="D2276" s="733"/>
      <c r="E2276" s="870"/>
      <c r="F2276" s="870"/>
      <c r="G2276" s="870"/>
      <c r="H2276" s="870"/>
    </row>
    <row r="2277" spans="1:12" ht="15" customHeight="1" x14ac:dyDescent="0.25">
      <c r="B2277" s="1222" t="s">
        <v>239</v>
      </c>
      <c r="C2277" s="1224">
        <v>420</v>
      </c>
      <c r="D2277" s="1218"/>
      <c r="E2277" s="870"/>
      <c r="F2277" s="870"/>
      <c r="G2277" s="870"/>
      <c r="H2277" s="870"/>
    </row>
    <row r="2278" spans="1:12" ht="15" customHeight="1" x14ac:dyDescent="0.25">
      <c r="B2278" s="1222" t="s">
        <v>240</v>
      </c>
      <c r="C2278" s="1219"/>
      <c r="D2278" s="733"/>
    </row>
    <row r="2279" spans="1:12" ht="15" customHeight="1" x14ac:dyDescent="0.25">
      <c r="B2279" s="1222" t="s">
        <v>238</v>
      </c>
      <c r="C2279" s="733" t="s">
        <v>56</v>
      </c>
      <c r="D2279" s="1218" t="s">
        <v>449</v>
      </c>
    </row>
    <row r="2280" spans="1:12" ht="15" customHeight="1" x14ac:dyDescent="0.25">
      <c r="B2280" s="1225" t="s">
        <v>410</v>
      </c>
      <c r="C2280" s="753">
        <v>500</v>
      </c>
      <c r="D2280" s="1226"/>
    </row>
    <row r="2281" spans="1:12" ht="15" customHeight="1" x14ac:dyDescent="0.25">
      <c r="A2281" s="1227"/>
      <c r="B2281" s="1436" t="s">
        <v>404</v>
      </c>
      <c r="C2281" s="1436"/>
      <c r="D2281" s="1436"/>
      <c r="E2281" s="1436"/>
      <c r="F2281" s="1436"/>
      <c r="G2281" s="1228"/>
      <c r="H2281" s="1437" t="s">
        <v>416</v>
      </c>
      <c r="I2281" s="1438"/>
    </row>
    <row r="2282" spans="1:12" ht="56.25" customHeight="1" x14ac:dyDescent="0.25">
      <c r="A2282" s="1229"/>
      <c r="B2282" s="1230" t="s">
        <v>398</v>
      </c>
      <c r="C2282" s="1231" t="s">
        <v>441</v>
      </c>
      <c r="D2282" s="1232" t="s">
        <v>399</v>
      </c>
      <c r="E2282" s="1233" t="s">
        <v>402</v>
      </c>
      <c r="F2282" s="1232" t="s">
        <v>399</v>
      </c>
      <c r="G2282" s="1232" t="s">
        <v>411</v>
      </c>
      <c r="H2282" s="1234" t="s">
        <v>408</v>
      </c>
      <c r="I2282" s="1235" t="s">
        <v>415</v>
      </c>
      <c r="K2282" s="1236" t="s">
        <v>603</v>
      </c>
      <c r="L2282" s="1237" t="s">
        <v>604</v>
      </c>
    </row>
    <row r="2283" spans="1:12" ht="15" customHeight="1" x14ac:dyDescent="0.25">
      <c r="A2283" s="1238"/>
      <c r="B2283" s="1228" t="s">
        <v>248</v>
      </c>
      <c r="C2283" s="1228">
        <v>1000</v>
      </c>
      <c r="D2283" s="1239">
        <f>'Prec Materia Prima y Empaq'!$H$21</f>
        <v>15400</v>
      </c>
      <c r="E2283" s="1240">
        <f>D2283*19%</f>
        <v>2926</v>
      </c>
      <c r="F2283" s="1241">
        <f>+E2283+D2283</f>
        <v>18326</v>
      </c>
      <c r="G2283" s="1240">
        <f>F2283/C2283*H2283</f>
        <v>12828.2</v>
      </c>
      <c r="H2283" s="1242">
        <v>700</v>
      </c>
      <c r="I2283" s="1228" t="s">
        <v>450</v>
      </c>
      <c r="K2283" s="1242">
        <f>H2283/$C$2277</f>
        <v>1.6666666666666667</v>
      </c>
      <c r="L2283" s="1243">
        <f>F2283/C2283*K2283</f>
        <v>30.543333333333337</v>
      </c>
    </row>
    <row r="2284" spans="1:12" ht="15" customHeight="1" x14ac:dyDescent="0.25">
      <c r="A2284" s="1238"/>
      <c r="B2284" s="1228" t="s">
        <v>443</v>
      </c>
      <c r="C2284" s="1228">
        <v>1000</v>
      </c>
      <c r="D2284" s="1239">
        <f>'Prec Materia Prima y Empaq'!$H$11</f>
        <v>8000</v>
      </c>
      <c r="E2284" s="1240">
        <f t="shared" ref="E2284:E2288" si="807">D2284*19%</f>
        <v>1520</v>
      </c>
      <c r="F2284" s="1241">
        <f t="shared" ref="F2284:F2297" si="808">+E2284+D2284</f>
        <v>9520</v>
      </c>
      <c r="G2284" s="1240">
        <f t="shared" ref="G2284:G2290" si="809">F2284/C2284*H2284</f>
        <v>5712</v>
      </c>
      <c r="H2284" s="1242">
        <v>600</v>
      </c>
      <c r="I2284" s="1228" t="s">
        <v>450</v>
      </c>
      <c r="K2284" s="1242">
        <f t="shared" ref="K2284" si="810">H2284/$C$2277</f>
        <v>1.4285714285714286</v>
      </c>
      <c r="L2284" s="1243">
        <f t="shared" ref="L2284" si="811">F2284/C2284*K2284</f>
        <v>13.6</v>
      </c>
    </row>
    <row r="2285" spans="1:12" ht="15" customHeight="1" x14ac:dyDescent="0.25">
      <c r="A2285" s="1238"/>
      <c r="B2285" s="1228" t="s">
        <v>253</v>
      </c>
      <c r="C2285" s="1228">
        <v>1000</v>
      </c>
      <c r="D2285" s="1239">
        <f>'Prec Materia Prima y Empaq'!$H$9</f>
        <v>5400</v>
      </c>
      <c r="E2285" s="1240">
        <f t="shared" si="807"/>
        <v>1026</v>
      </c>
      <c r="F2285" s="1241">
        <f t="shared" si="808"/>
        <v>6426</v>
      </c>
      <c r="G2285" s="1240">
        <f t="shared" si="809"/>
        <v>6426</v>
      </c>
      <c r="H2285" s="1242">
        <v>1000</v>
      </c>
      <c r="I2285" s="1228" t="s">
        <v>450</v>
      </c>
      <c r="K2285" s="1242">
        <f>H2285/$C$2277</f>
        <v>2.3809523809523809</v>
      </c>
      <c r="L2285" s="1243">
        <f t="shared" ref="L2285:L2294" si="812">F2285/C2285*K2285</f>
        <v>15.3</v>
      </c>
    </row>
    <row r="2286" spans="1:12" ht="15" customHeight="1" x14ac:dyDescent="0.25">
      <c r="A2286" s="1238"/>
      <c r="B2286" s="1228" t="s">
        <v>282</v>
      </c>
      <c r="C2286" s="1228">
        <v>1000</v>
      </c>
      <c r="D2286" s="1273">
        <f>'Prec Materia Prima y Empaq'!$H$61</f>
        <v>49061</v>
      </c>
      <c r="E2286" s="1240">
        <f t="shared" si="807"/>
        <v>9321.59</v>
      </c>
      <c r="F2286" s="1241">
        <f t="shared" si="808"/>
        <v>58382.59</v>
      </c>
      <c r="G2286" s="1240">
        <f t="shared" si="809"/>
        <v>5838.2589999999991</v>
      </c>
      <c r="H2286" s="1242">
        <v>100</v>
      </c>
      <c r="I2286" s="1228" t="s">
        <v>450</v>
      </c>
      <c r="K2286" s="1242">
        <f>H2286/$C$2277</f>
        <v>0.23809523809523808</v>
      </c>
      <c r="L2286" s="1243">
        <f t="shared" si="812"/>
        <v>13.900616666666664</v>
      </c>
    </row>
    <row r="2287" spans="1:12" ht="15" customHeight="1" x14ac:dyDescent="0.25">
      <c r="A2287" s="1238"/>
      <c r="B2287" s="1228" t="s">
        <v>261</v>
      </c>
      <c r="C2287" s="1228">
        <v>1000</v>
      </c>
      <c r="D2287" s="1239">
        <f>'Prec Materia Prima y Empaq'!$H$12</f>
        <v>4700</v>
      </c>
      <c r="E2287" s="1240">
        <f t="shared" si="807"/>
        <v>893</v>
      </c>
      <c r="F2287" s="1241">
        <f t="shared" si="808"/>
        <v>5593</v>
      </c>
      <c r="G2287" s="1240">
        <f t="shared" si="809"/>
        <v>1118.5999999999999</v>
      </c>
      <c r="H2287" s="1242">
        <v>200</v>
      </c>
      <c r="I2287" s="1228" t="s">
        <v>450</v>
      </c>
      <c r="K2287" s="1242">
        <f>H2287/$C$2277</f>
        <v>0.47619047619047616</v>
      </c>
      <c r="L2287" s="1243">
        <f t="shared" si="812"/>
        <v>2.6633333333333331</v>
      </c>
    </row>
    <row r="2288" spans="1:12" ht="15" customHeight="1" x14ac:dyDescent="0.25">
      <c r="A2288" s="1238"/>
      <c r="B2288" s="1228" t="s">
        <v>246</v>
      </c>
      <c r="C2288" s="1228">
        <v>1000</v>
      </c>
      <c r="D2288" s="1239">
        <f>'Prec Materia Prima y Empaq'!$H$41</f>
        <v>80268</v>
      </c>
      <c r="E2288" s="1240">
        <f t="shared" si="807"/>
        <v>15250.92</v>
      </c>
      <c r="F2288" s="1241">
        <f t="shared" si="808"/>
        <v>95518.92</v>
      </c>
      <c r="G2288" s="1240">
        <f t="shared" si="809"/>
        <v>955.18919999999991</v>
      </c>
      <c r="H2288" s="1242">
        <v>10</v>
      </c>
      <c r="I2288" s="1228" t="s">
        <v>450</v>
      </c>
      <c r="K2288" s="1242">
        <f>H2288/$C$2277</f>
        <v>2.3809523809523808E-2</v>
      </c>
      <c r="L2288" s="1243">
        <f t="shared" si="812"/>
        <v>2.2742599999999999</v>
      </c>
    </row>
    <row r="2289" spans="1:29" ht="15" customHeight="1" x14ac:dyDescent="0.25">
      <c r="A2289" s="1238"/>
      <c r="B2289" s="1228" t="s">
        <v>259</v>
      </c>
      <c r="C2289" s="1228">
        <v>1000</v>
      </c>
      <c r="D2289" s="1273">
        <f>'Prec Materia Prima y Empaq'!$H$42</f>
        <v>63103</v>
      </c>
      <c r="E2289" s="1240">
        <f t="shared" ref="E2289" si="813">D2289*19%</f>
        <v>11989.57</v>
      </c>
      <c r="F2289" s="1241">
        <f t="shared" ref="F2289" si="814">+E2289+D2289</f>
        <v>75092.570000000007</v>
      </c>
      <c r="G2289" s="1240">
        <f t="shared" si="809"/>
        <v>75.092570000000009</v>
      </c>
      <c r="H2289" s="1242">
        <v>1</v>
      </c>
      <c r="I2289" s="1228" t="s">
        <v>450</v>
      </c>
      <c r="K2289" s="1242">
        <f t="shared" ref="K2289" si="815">H2289/$C$2277</f>
        <v>2.3809523809523812E-3</v>
      </c>
      <c r="L2289" s="1243">
        <f t="shared" ref="L2289" si="816">F2289/C2289*K2289</f>
        <v>0.17879183333333337</v>
      </c>
    </row>
    <row r="2290" spans="1:29" ht="15" customHeight="1" x14ac:dyDescent="0.25">
      <c r="A2290" s="1238"/>
      <c r="B2290" s="1228" t="s">
        <v>268</v>
      </c>
      <c r="C2290" s="1228">
        <v>1000</v>
      </c>
      <c r="D2290" s="1239">
        <f>'Prec Materia Prima y Empaq'!H31</f>
        <v>20000</v>
      </c>
      <c r="E2290" s="1240"/>
      <c r="F2290" s="1241">
        <f t="shared" si="808"/>
        <v>20000</v>
      </c>
      <c r="G2290" s="1240">
        <f t="shared" si="809"/>
        <v>12000</v>
      </c>
      <c r="H2290" s="1242">
        <v>600</v>
      </c>
      <c r="I2290" s="1228" t="s">
        <v>450</v>
      </c>
      <c r="K2290" s="1242">
        <f>H2290/$C$2277</f>
        <v>1.4285714285714286</v>
      </c>
      <c r="L2290" s="1243">
        <f t="shared" si="812"/>
        <v>28.571428571428573</v>
      </c>
    </row>
    <row r="2291" spans="1:29" ht="15" customHeight="1" x14ac:dyDescent="0.25">
      <c r="A2291" s="1238"/>
      <c r="B2291" s="1228" t="s">
        <v>382</v>
      </c>
      <c r="C2291" s="1228">
        <v>3785</v>
      </c>
      <c r="D2291" s="1239">
        <f>'Prec Materia Prima y Empaq'!$H$18</f>
        <v>24</v>
      </c>
      <c r="E2291" s="1240">
        <f t="shared" ref="E2291:E2292" si="817">D2291*19%</f>
        <v>4.5600000000000005</v>
      </c>
      <c r="F2291" s="1241">
        <f t="shared" si="808"/>
        <v>28.560000000000002</v>
      </c>
      <c r="G2291" s="1240">
        <f>F2291/C2291*H2291</f>
        <v>0.37727873183619554</v>
      </c>
      <c r="H2291" s="1242">
        <v>50</v>
      </c>
      <c r="I2291" s="1228" t="s">
        <v>450</v>
      </c>
      <c r="K2291" s="1242">
        <f>H2291/$C$2277</f>
        <v>0.11904761904761904</v>
      </c>
      <c r="L2291" s="1243">
        <f t="shared" si="812"/>
        <v>8.9828269484808459E-4</v>
      </c>
    </row>
    <row r="2292" spans="1:29" ht="15" customHeight="1" x14ac:dyDescent="0.25">
      <c r="A2292" s="1238"/>
      <c r="B2292" s="1228" t="s">
        <v>251</v>
      </c>
      <c r="C2292" s="1228">
        <v>1000</v>
      </c>
      <c r="D2292" s="1239">
        <f>'Prec Materia Prima y Empaq'!$H$26</f>
        <v>45404</v>
      </c>
      <c r="E2292" s="1240">
        <f t="shared" si="817"/>
        <v>8626.76</v>
      </c>
      <c r="F2292" s="1241">
        <f t="shared" si="808"/>
        <v>54030.76</v>
      </c>
      <c r="G2292" s="1240">
        <f>F2292/C2292*H2292</f>
        <v>5403.076</v>
      </c>
      <c r="H2292" s="1242">
        <v>100</v>
      </c>
      <c r="I2292" s="1228" t="s">
        <v>450</v>
      </c>
      <c r="K2292" s="1242">
        <f t="shared" ref="K2292" si="818">H2292/$C$2132</f>
        <v>0.23809523809523808</v>
      </c>
      <c r="L2292" s="1243">
        <f t="shared" si="812"/>
        <v>12.864466666666667</v>
      </c>
    </row>
    <row r="2293" spans="1:29" ht="31.5" customHeight="1" x14ac:dyDescent="0.25">
      <c r="B2293" s="1220" t="s">
        <v>247</v>
      </c>
      <c r="C2293" s="1228">
        <v>1000</v>
      </c>
      <c r="D2293" s="1244">
        <f>'Prec Materia Prima y Empaq'!$H$7</f>
        <v>50000</v>
      </c>
      <c r="E2293" s="1240">
        <v>0</v>
      </c>
      <c r="F2293" s="1241">
        <f t="shared" si="808"/>
        <v>50000</v>
      </c>
      <c r="G2293" s="1240">
        <f>F2293/C2293*H2293</f>
        <v>32.022471910112351</v>
      </c>
      <c r="H2293" s="1245">
        <v>0.64044943820224698</v>
      </c>
      <c r="I2293" s="1245" t="s">
        <v>453</v>
      </c>
      <c r="K2293" s="1242">
        <f t="shared" ref="K2293" si="819">H2293/$C$2210</f>
        <v>1.5248796147672547E-3</v>
      </c>
      <c r="L2293" s="1243">
        <f t="shared" si="812"/>
        <v>7.6243980738362735E-2</v>
      </c>
      <c r="N2293" s="1220" t="s">
        <v>247</v>
      </c>
      <c r="O2293" s="1247">
        <v>1</v>
      </c>
      <c r="P2293" s="1240">
        <f>$F$391/$C$391*$O$391</f>
        <v>50</v>
      </c>
      <c r="Q2293" s="1248"/>
      <c r="R2293" s="1249" t="e">
        <f>P2293/O2282</f>
        <v>#DIV/0!</v>
      </c>
      <c r="S2293" s="1248" t="e">
        <f>R2293*1000</f>
        <v>#DIV/0!</v>
      </c>
      <c r="T2293" s="1250">
        <f>O2293/$O$380*1000</f>
        <v>2.5641025641025641E-3</v>
      </c>
      <c r="U2293" s="1238">
        <f>T2293*$M$380</f>
        <v>1</v>
      </c>
      <c r="Y2293" s="1238"/>
      <c r="Z2293" s="1238"/>
      <c r="AA2293" s="1251"/>
      <c r="AC2293" s="1252"/>
    </row>
    <row r="2294" spans="1:29" ht="30.75" customHeight="1" x14ac:dyDescent="0.25">
      <c r="B2294" s="1220" t="s">
        <v>493</v>
      </c>
      <c r="C2294" s="1220">
        <v>1</v>
      </c>
      <c r="D2294" s="1244">
        <f>'Prec Materia Prima y Empaq'!$H$142</f>
        <v>650</v>
      </c>
      <c r="E2294" s="1240">
        <v>0</v>
      </c>
      <c r="F2294" s="1241">
        <f t="shared" si="808"/>
        <v>650</v>
      </c>
      <c r="G2294" s="1253">
        <f t="shared" ref="G2294:G2297" si="820">F2294*H2294</f>
        <v>273000</v>
      </c>
      <c r="H2294" s="1245">
        <f>$C$2277</f>
        <v>420</v>
      </c>
      <c r="I2294" s="1245" t="s">
        <v>453</v>
      </c>
      <c r="K2294" s="1242">
        <f>H2294/$C$2277</f>
        <v>1</v>
      </c>
      <c r="L2294" s="1243">
        <f t="shared" si="812"/>
        <v>650</v>
      </c>
    </row>
    <row r="2295" spans="1:29" ht="30.75" customHeight="1" x14ac:dyDescent="0.25">
      <c r="B2295" s="1220" t="s">
        <v>614</v>
      </c>
      <c r="C2295" s="1220">
        <v>1</v>
      </c>
      <c r="D2295" s="1244">
        <f>'Prec Materia Prima y Empaq'!$H$144</f>
        <v>70</v>
      </c>
      <c r="E2295" s="1240">
        <v>0</v>
      </c>
      <c r="F2295" s="1241">
        <f t="shared" si="808"/>
        <v>70</v>
      </c>
      <c r="G2295" s="1253">
        <f t="shared" si="820"/>
        <v>29400</v>
      </c>
      <c r="H2295" s="1245">
        <f t="shared" ref="H2295:H2297" si="821">$C$2277</f>
        <v>420</v>
      </c>
      <c r="I2295" s="1245" t="s">
        <v>453</v>
      </c>
      <c r="K2295" s="1242">
        <f t="shared" ref="K2295:K2297" si="822">H2295/$C$2277</f>
        <v>1</v>
      </c>
      <c r="L2295" s="1243">
        <f t="shared" ref="L2295:L2297" si="823">F2295/C2295*K2295</f>
        <v>70</v>
      </c>
    </row>
    <row r="2296" spans="1:29" ht="30.75" customHeight="1" x14ac:dyDescent="0.25">
      <c r="B2296" s="1220" t="s">
        <v>503</v>
      </c>
      <c r="C2296" s="1245">
        <v>1</v>
      </c>
      <c r="D2296" s="1244">
        <f>'Prec Materia Prima y Empaq'!$H$143</f>
        <v>250</v>
      </c>
      <c r="E2296" s="1240">
        <v>0</v>
      </c>
      <c r="F2296" s="1241">
        <f t="shared" si="808"/>
        <v>250</v>
      </c>
      <c r="G2296" s="1253">
        <f t="shared" si="820"/>
        <v>105000</v>
      </c>
      <c r="H2296" s="1245">
        <f t="shared" si="821"/>
        <v>420</v>
      </c>
      <c r="I2296" s="1245" t="s">
        <v>453</v>
      </c>
      <c r="K2296" s="1242">
        <f t="shared" si="822"/>
        <v>1</v>
      </c>
      <c r="L2296" s="1243">
        <f t="shared" si="823"/>
        <v>250</v>
      </c>
    </row>
    <row r="2297" spans="1:29" ht="50.25" customHeight="1" x14ac:dyDescent="0.25">
      <c r="A2297" s="1275" t="s">
        <v>754</v>
      </c>
      <c r="B2297" s="1292" t="s">
        <v>722</v>
      </c>
      <c r="C2297" s="1282">
        <v>1</v>
      </c>
      <c r="D2297" s="1283">
        <f>'Prec Materia Prima y Empaq'!$H$197</f>
        <v>0</v>
      </c>
      <c r="E2297" s="1240">
        <v>0</v>
      </c>
      <c r="F2297" s="1241">
        <f t="shared" si="808"/>
        <v>0</v>
      </c>
      <c r="G2297" s="1253">
        <f t="shared" si="820"/>
        <v>0</v>
      </c>
      <c r="H2297" s="1245">
        <f t="shared" si="821"/>
        <v>420</v>
      </c>
      <c r="I2297" s="1245" t="s">
        <v>453</v>
      </c>
      <c r="K2297" s="1242">
        <f t="shared" si="822"/>
        <v>1</v>
      </c>
      <c r="L2297" s="1243">
        <f t="shared" si="823"/>
        <v>0</v>
      </c>
    </row>
    <row r="2298" spans="1:29" ht="19.5" customHeight="1" thickBot="1" x14ac:dyDescent="0.3">
      <c r="B2298" s="1255"/>
      <c r="C2298" s="857"/>
      <c r="D2298" s="1256"/>
      <c r="E2298" s="1248"/>
      <c r="F2298" s="1257"/>
      <c r="G2298" s="1258">
        <f>SUM(G2283:G2297)/C2277</f>
        <v>1089.9733726681952</v>
      </c>
      <c r="H2298" s="1259" t="s">
        <v>454</v>
      </c>
      <c r="I2298" s="857"/>
      <c r="K2298" s="1242"/>
      <c r="L2298" s="1260">
        <f>SUM(L2283:L2297)</f>
        <v>1089.9733726681952</v>
      </c>
    </row>
    <row r="2299" spans="1:29" ht="15" customHeight="1" thickTop="1" x14ac:dyDescent="0.25">
      <c r="B2299" s="1314" t="s">
        <v>409</v>
      </c>
      <c r="C2299" s="1315"/>
      <c r="D2299" s="1316">
        <f>+'Gtos Varios'!I14</f>
        <v>3672.93</v>
      </c>
      <c r="E2299" s="1315"/>
      <c r="F2299" s="1317">
        <f t="shared" ref="F2299" si="824">+E2299+D2299</f>
        <v>3672.93</v>
      </c>
      <c r="G2299" s="1318">
        <f>F2299</f>
        <v>3672.93</v>
      </c>
      <c r="H2299" s="1315" t="str">
        <f>B2299</f>
        <v xml:space="preserve">GASTOS VARIOS </v>
      </c>
      <c r="I2299" s="857"/>
    </row>
    <row r="2300" spans="1:29" ht="15" customHeight="1" x14ac:dyDescent="0.25">
      <c r="B2300" s="1255"/>
      <c r="C2300" s="857"/>
      <c r="D2300" s="1256"/>
      <c r="E2300" s="1248"/>
      <c r="F2300" s="1257"/>
      <c r="G2300" s="1266"/>
      <c r="H2300" s="857"/>
      <c r="I2300" s="857"/>
    </row>
    <row r="2301" spans="1:29" ht="15" customHeight="1" x14ac:dyDescent="0.25">
      <c r="B2301" s="1255"/>
      <c r="C2301" s="857"/>
      <c r="D2301" s="1256"/>
      <c r="E2301" s="1248"/>
      <c r="F2301" s="1257"/>
      <c r="G2301" s="1266"/>
      <c r="H2301" s="857"/>
      <c r="I2301" s="857"/>
    </row>
    <row r="2302" spans="1:29" ht="15" customHeight="1" thickBot="1" x14ac:dyDescent="0.3">
      <c r="F2302" s="1267">
        <f>SUM(F2283:F2297)</f>
        <v>393888.4</v>
      </c>
      <c r="G2302" s="1268">
        <f>SUM(G2298:G2299)</f>
        <v>4762.9033726681955</v>
      </c>
      <c r="H2302" s="733" t="s">
        <v>412</v>
      </c>
    </row>
    <row r="2303" spans="1:29" ht="15" customHeight="1" thickTop="1" x14ac:dyDescent="0.25">
      <c r="G2303" s="1295">
        <f>G2302*72%</f>
        <v>3429.2904283211005</v>
      </c>
      <c r="H2303" s="1274">
        <v>0.72</v>
      </c>
      <c r="I2303" s="733" t="s">
        <v>539</v>
      </c>
    </row>
    <row r="2304" spans="1:29" ht="15" customHeight="1" thickBot="1" x14ac:dyDescent="0.3">
      <c r="G2304" s="1270">
        <f>G2302+G2303</f>
        <v>8192.1938009892965</v>
      </c>
      <c r="H2304" s="733" t="s">
        <v>414</v>
      </c>
    </row>
    <row r="2305" ht="15" customHeight="1" thickTop="1" x14ac:dyDescent="0.25"/>
  </sheetData>
  <mergeCells count="139">
    <mergeCell ref="B2071:F2071"/>
    <mergeCell ref="H2071:I2071"/>
    <mergeCell ref="B2281:F2281"/>
    <mergeCell ref="H2281:I2281"/>
    <mergeCell ref="B2214:F2214"/>
    <mergeCell ref="H2214:I2214"/>
    <mergeCell ref="B2248:F2248"/>
    <mergeCell ref="H2248:I2248"/>
    <mergeCell ref="B2104:F2104"/>
    <mergeCell ref="H2104:I2104"/>
    <mergeCell ref="B2136:F2136"/>
    <mergeCell ref="H2136:I2136"/>
    <mergeCell ref="B2170:F2170"/>
    <mergeCell ref="H2170:I2170"/>
    <mergeCell ref="B1733:F1733"/>
    <mergeCell ref="H1733:I1733"/>
    <mergeCell ref="B1768:F1768"/>
    <mergeCell ref="H1768:I1768"/>
    <mergeCell ref="B1663:F1663"/>
    <mergeCell ref="H1663:I1663"/>
    <mergeCell ref="B1698:F1698"/>
    <mergeCell ref="H1698:I1698"/>
    <mergeCell ref="B1869:F1869"/>
    <mergeCell ref="H1869:I1869"/>
    <mergeCell ref="B1969:F1969"/>
    <mergeCell ref="H1969:I1969"/>
    <mergeCell ref="F2064:H2068"/>
    <mergeCell ref="B1904:F1904"/>
    <mergeCell ref="H1904:I1904"/>
    <mergeCell ref="B1799:F1799"/>
    <mergeCell ref="H1799:I1799"/>
    <mergeCell ref="B1833:F1833"/>
    <mergeCell ref="H1833:I1833"/>
    <mergeCell ref="B1998:F1998"/>
    <mergeCell ref="B1939:F1939"/>
    <mergeCell ref="H1939:I1939"/>
    <mergeCell ref="H1998:I1998"/>
    <mergeCell ref="B2034:F2034"/>
    <mergeCell ref="H2034:I2034"/>
    <mergeCell ref="B1596:F1596"/>
    <mergeCell ref="H1596:I1596"/>
    <mergeCell ref="B1631:F1631"/>
    <mergeCell ref="H1631:I1631"/>
    <mergeCell ref="B1496:F1496"/>
    <mergeCell ref="H1496:I1496"/>
    <mergeCell ref="B1565:F1565"/>
    <mergeCell ref="H1565:I1565"/>
    <mergeCell ref="B1530:F1530"/>
    <mergeCell ref="H1530:I1530"/>
    <mergeCell ref="B1375:F1375"/>
    <mergeCell ref="H1375:I1375"/>
    <mergeCell ref="B1470:F1470"/>
    <mergeCell ref="H1470:I1470"/>
    <mergeCell ref="B1280:F1280"/>
    <mergeCell ref="H1280:I1280"/>
    <mergeCell ref="B1312:F1312"/>
    <mergeCell ref="H1312:I1312"/>
    <mergeCell ref="B1345:F1345"/>
    <mergeCell ref="H1345:I1345"/>
    <mergeCell ref="B1407:F1407"/>
    <mergeCell ref="H1407:I1407"/>
    <mergeCell ref="B1041:F1041"/>
    <mergeCell ref="H1041:I1041"/>
    <mergeCell ref="B1072:F1072"/>
    <mergeCell ref="H1072:I1072"/>
    <mergeCell ref="B981:F981"/>
    <mergeCell ref="H981:I981"/>
    <mergeCell ref="B1010:F1010"/>
    <mergeCell ref="H1010:I1010"/>
    <mergeCell ref="B913:F913"/>
    <mergeCell ref="H913:I913"/>
    <mergeCell ref="B948:F948"/>
    <mergeCell ref="H948:I948"/>
    <mergeCell ref="B1212:F1212"/>
    <mergeCell ref="H1212:I1212"/>
    <mergeCell ref="B1247:F1247"/>
    <mergeCell ref="H1247:I1247"/>
    <mergeCell ref="B1107:F1107"/>
    <mergeCell ref="H1107:I1107"/>
    <mergeCell ref="B1139:F1139"/>
    <mergeCell ref="H1139:I1139"/>
    <mergeCell ref="B1175:F1175"/>
    <mergeCell ref="H1175:I1175"/>
    <mergeCell ref="B382:F382"/>
    <mergeCell ref="H382:I382"/>
    <mergeCell ref="B778:F778"/>
    <mergeCell ref="H778:I778"/>
    <mergeCell ref="B612:F612"/>
    <mergeCell ref="H612:I612"/>
    <mergeCell ref="B647:F647"/>
    <mergeCell ref="H647:I647"/>
    <mergeCell ref="B746:F746"/>
    <mergeCell ref="H746:I746"/>
    <mergeCell ref="B682:F682"/>
    <mergeCell ref="H682:I682"/>
    <mergeCell ref="B715:F715"/>
    <mergeCell ref="H715:I715"/>
    <mergeCell ref="B811:F811"/>
    <mergeCell ref="H811:I811"/>
    <mergeCell ref="B843:F843"/>
    <mergeCell ref="H843:I843"/>
    <mergeCell ref="B879:F879"/>
    <mergeCell ref="N383:P383"/>
    <mergeCell ref="B443:F443"/>
    <mergeCell ref="H443:I443"/>
    <mergeCell ref="B546:F546"/>
    <mergeCell ref="H546:I546"/>
    <mergeCell ref="B413:F413"/>
    <mergeCell ref="H413:I413"/>
    <mergeCell ref="B579:F579"/>
    <mergeCell ref="H579:I579"/>
    <mergeCell ref="B478:F478"/>
    <mergeCell ref="H478:I478"/>
    <mergeCell ref="B511:F511"/>
    <mergeCell ref="H511:I511"/>
    <mergeCell ref="H879:I879"/>
    <mergeCell ref="H1:L2"/>
    <mergeCell ref="B51:F51"/>
    <mergeCell ref="H51:I51"/>
    <mergeCell ref="B116:F116"/>
    <mergeCell ref="H116:I116"/>
    <mergeCell ref="B150:F150"/>
    <mergeCell ref="H150:I150"/>
    <mergeCell ref="B186:F186"/>
    <mergeCell ref="H186:I186"/>
    <mergeCell ref="B85:F85"/>
    <mergeCell ref="H85:I85"/>
    <mergeCell ref="B16:F16"/>
    <mergeCell ref="H16:I16"/>
    <mergeCell ref="B311:F311"/>
    <mergeCell ref="H311:I311"/>
    <mergeCell ref="B217:F217"/>
    <mergeCell ref="H217:I217"/>
    <mergeCell ref="B250:F250"/>
    <mergeCell ref="H250:I250"/>
    <mergeCell ref="B282:F282"/>
    <mergeCell ref="H282:I282"/>
    <mergeCell ref="B348:F348"/>
    <mergeCell ref="H348:I348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0B26-38DE-4537-B5E4-FC0C7CFEDC70}">
  <sheetPr>
    <tabColor rgb="FF00B0F0"/>
  </sheetPr>
  <dimension ref="A1:AE103"/>
  <sheetViews>
    <sheetView topLeftCell="A7" zoomScale="62" zoomScaleNormal="62" workbookViewId="0">
      <selection activeCell="S32" sqref="S32"/>
    </sheetView>
  </sheetViews>
  <sheetFormatPr baseColWidth="10" defaultRowHeight="15" customHeight="1" x14ac:dyDescent="0.3"/>
  <cols>
    <col min="1" max="1" width="11.42578125" style="712"/>
    <col min="2" max="2" width="21.7109375" style="712" customWidth="1"/>
    <col min="3" max="3" width="14.5703125" style="712" customWidth="1"/>
    <col min="4" max="4" width="17.5703125" style="724" customWidth="1"/>
    <col min="5" max="5" width="17.42578125" style="712" customWidth="1"/>
    <col min="6" max="6" width="22.140625" style="712" customWidth="1"/>
    <col min="7" max="7" width="19.7109375" style="712" customWidth="1"/>
    <col min="8" max="8" width="11.85546875" style="712" customWidth="1"/>
    <col min="9" max="9" width="15.140625" style="712" customWidth="1"/>
    <col min="10" max="10" width="11.42578125" style="712"/>
    <col min="11" max="11" width="11.42578125" style="876"/>
    <col min="12" max="12" width="11.42578125" style="712"/>
    <col min="13" max="13" width="21.7109375" style="712" customWidth="1"/>
    <col min="14" max="14" width="14.5703125" style="712" customWidth="1"/>
    <col min="15" max="15" width="17.5703125" style="724" customWidth="1"/>
    <col min="16" max="16" width="17.42578125" style="712" customWidth="1"/>
    <col min="17" max="17" width="22.140625" style="712" customWidth="1"/>
    <col min="18" max="18" width="19.7109375" style="712" customWidth="1"/>
    <col min="19" max="19" width="11.85546875" style="712" customWidth="1"/>
    <col min="20" max="21" width="11.42578125" style="712"/>
    <col min="22" max="22" width="11.42578125" style="876"/>
    <col min="23" max="25" width="11.42578125" style="712"/>
    <col min="26" max="26" width="16.42578125" style="712" customWidth="1"/>
    <col min="27" max="27" width="11.42578125" style="712"/>
    <col min="28" max="28" width="17.140625" style="712" customWidth="1"/>
    <col min="29" max="29" width="17" style="712" customWidth="1"/>
    <col min="30" max="16384" width="11.42578125" style="712"/>
  </cols>
  <sheetData>
    <row r="1" spans="1:31" ht="15" customHeight="1" x14ac:dyDescent="0.3">
      <c r="D1" s="724" t="s">
        <v>406</v>
      </c>
      <c r="E1" s="712" t="s">
        <v>407</v>
      </c>
      <c r="F1" s="712" t="s">
        <v>439</v>
      </c>
      <c r="G1" s="712">
        <v>1000</v>
      </c>
      <c r="O1" s="724" t="s">
        <v>406</v>
      </c>
      <c r="P1" s="712" t="s">
        <v>407</v>
      </c>
      <c r="Q1" s="712" t="s">
        <v>439</v>
      </c>
      <c r="R1" s="712">
        <v>1000</v>
      </c>
    </row>
    <row r="4" spans="1:31" ht="15" customHeight="1" x14ac:dyDescent="0.3">
      <c r="B4" s="802" t="s">
        <v>61</v>
      </c>
      <c r="C4" s="802"/>
      <c r="D4" s="801" t="s">
        <v>82</v>
      </c>
      <c r="M4" s="802" t="s">
        <v>61</v>
      </c>
      <c r="N4" s="802"/>
      <c r="O4" s="801" t="s">
        <v>223</v>
      </c>
      <c r="X4" s="802" t="s">
        <v>61</v>
      </c>
      <c r="Y4" s="802"/>
      <c r="Z4" s="801" t="s">
        <v>203</v>
      </c>
    </row>
    <row r="5" spans="1:31" ht="15" customHeight="1" x14ac:dyDescent="0.3">
      <c r="B5" s="802" t="s">
        <v>62</v>
      </c>
      <c r="C5" s="802"/>
      <c r="D5" s="801" t="str">
        <f>VLOOKUP(D4,LISTPROD[],2,FALSE)</f>
        <v>ARTRIN</v>
      </c>
      <c r="M5" s="802" t="s">
        <v>62</v>
      </c>
      <c r="N5" s="802"/>
      <c r="O5" s="801" t="str">
        <f>VLOOKUP(O4,LISTPROD[],2,FALSE)</f>
        <v>ULTRA DOLOR</v>
      </c>
      <c r="X5" s="802" t="s">
        <v>62</v>
      </c>
      <c r="Y5" s="802"/>
      <c r="Z5" s="801" t="str">
        <f>VLOOKUP(Z4,LISTPROD[],2,FALSE)</f>
        <v>ULTRADOLL</v>
      </c>
    </row>
    <row r="6" spans="1:31" ht="15" customHeight="1" x14ac:dyDescent="0.3">
      <c r="B6" s="802" t="s">
        <v>234</v>
      </c>
      <c r="C6" s="802"/>
      <c r="D6" s="801" t="str">
        <f>VLOOKUP(D4,LISTPROD[],9,FALSE)</f>
        <v>PASTILLAS DE 30 UND</v>
      </c>
      <c r="M6" s="802" t="s">
        <v>234</v>
      </c>
      <c r="N6" s="802"/>
      <c r="O6" s="801" t="str">
        <f>VLOOKUP(O4,LISTPROD[],9,FALSE)</f>
        <v>PASTILLAS DE 60 UND</v>
      </c>
      <c r="X6" s="802" t="s">
        <v>234</v>
      </c>
      <c r="Y6" s="802"/>
      <c r="Z6" s="801" t="str">
        <f>VLOOKUP(Z4,LISTPROD[],9,FALSE)</f>
        <v>PASTILLAS DE 60 UND</v>
      </c>
    </row>
    <row r="7" spans="1:31" ht="15" customHeight="1" x14ac:dyDescent="0.3">
      <c r="B7" s="802" t="s">
        <v>239</v>
      </c>
      <c r="C7" s="802"/>
      <c r="D7" s="801">
        <v>1</v>
      </c>
      <c r="E7" s="800" t="s">
        <v>458</v>
      </c>
      <c r="M7" s="802" t="s">
        <v>239</v>
      </c>
      <c r="N7" s="802"/>
      <c r="O7" s="801">
        <v>1</v>
      </c>
      <c r="P7" s="800" t="s">
        <v>458</v>
      </c>
      <c r="X7" s="802" t="s">
        <v>239</v>
      </c>
      <c r="Y7" s="802"/>
      <c r="Z7" s="801">
        <v>1</v>
      </c>
      <c r="AA7" s="800" t="s">
        <v>458</v>
      </c>
    </row>
    <row r="8" spans="1:31" ht="15" customHeight="1" x14ac:dyDescent="0.3">
      <c r="B8" s="802" t="s">
        <v>240</v>
      </c>
      <c r="C8" s="802"/>
      <c r="D8" s="801"/>
      <c r="M8" s="802" t="s">
        <v>240</v>
      </c>
      <c r="N8" s="802"/>
      <c r="O8" s="801"/>
      <c r="X8" s="802" t="s">
        <v>240</v>
      </c>
      <c r="Y8" s="802"/>
      <c r="Z8" s="801"/>
    </row>
    <row r="9" spans="1:31" ht="15" customHeight="1" x14ac:dyDescent="0.3">
      <c r="B9" s="802" t="s">
        <v>238</v>
      </c>
      <c r="C9" s="802"/>
      <c r="D9" s="712" t="s">
        <v>459</v>
      </c>
      <c r="E9" s="800"/>
      <c r="M9" s="802" t="s">
        <v>238</v>
      </c>
      <c r="N9" s="802"/>
      <c r="O9" s="712" t="s">
        <v>456</v>
      </c>
      <c r="P9" s="800"/>
      <c r="X9" s="802" t="s">
        <v>238</v>
      </c>
      <c r="Y9" s="802"/>
      <c r="Z9" s="712" t="s">
        <v>456</v>
      </c>
      <c r="AA9" s="800"/>
    </row>
    <row r="10" spans="1:31" ht="15" customHeight="1" x14ac:dyDescent="0.3">
      <c r="B10" s="806" t="s">
        <v>410</v>
      </c>
      <c r="C10" s="806"/>
      <c r="D10" s="807"/>
      <c r="E10" s="808"/>
      <c r="M10" s="806" t="s">
        <v>410</v>
      </c>
      <c r="N10" s="806"/>
      <c r="O10" s="807"/>
      <c r="P10" s="808"/>
      <c r="X10" s="806" t="s">
        <v>410</v>
      </c>
      <c r="Y10" s="806"/>
      <c r="Z10" s="807"/>
      <c r="AA10" s="808"/>
    </row>
    <row r="11" spans="1:31" ht="15" customHeight="1" x14ac:dyDescent="0.3">
      <c r="A11" s="722"/>
      <c r="B11" s="1498" t="s">
        <v>404</v>
      </c>
      <c r="C11" s="1498"/>
      <c r="D11" s="1498"/>
      <c r="E11" s="1498"/>
      <c r="F11" s="1498"/>
      <c r="G11" s="714"/>
      <c r="H11" s="1499" t="s">
        <v>416</v>
      </c>
      <c r="I11" s="1500"/>
      <c r="M11" s="1498" t="s">
        <v>404</v>
      </c>
      <c r="N11" s="1498"/>
      <c r="O11" s="1498"/>
      <c r="P11" s="1498"/>
      <c r="Q11" s="1498"/>
      <c r="R11" s="714"/>
      <c r="S11" s="1499" t="s">
        <v>416</v>
      </c>
      <c r="T11" s="1500"/>
      <c r="X11" s="1498" t="s">
        <v>404</v>
      </c>
      <c r="Y11" s="1498"/>
      <c r="Z11" s="1498"/>
      <c r="AA11" s="1498"/>
      <c r="AB11" s="1498"/>
      <c r="AC11" s="714"/>
      <c r="AD11" s="1499" t="s">
        <v>416</v>
      </c>
      <c r="AE11" s="1500"/>
    </row>
    <row r="12" spans="1:31" ht="49.5" customHeight="1" x14ac:dyDescent="0.3">
      <c r="A12" s="809"/>
      <c r="B12" s="810" t="s">
        <v>398</v>
      </c>
      <c r="C12" s="811" t="s">
        <v>441</v>
      </c>
      <c r="D12" s="812" t="s">
        <v>399</v>
      </c>
      <c r="E12" s="813" t="s">
        <v>402</v>
      </c>
      <c r="F12" s="812" t="s">
        <v>399</v>
      </c>
      <c r="G12" s="812" t="s">
        <v>411</v>
      </c>
      <c r="H12" s="814" t="s">
        <v>408</v>
      </c>
      <c r="I12" s="815" t="s">
        <v>415</v>
      </c>
      <c r="M12" s="810" t="s">
        <v>398</v>
      </c>
      <c r="N12" s="811" t="s">
        <v>441</v>
      </c>
      <c r="O12" s="812" t="s">
        <v>399</v>
      </c>
      <c r="P12" s="813" t="s">
        <v>402</v>
      </c>
      <c r="Q12" s="812" t="s">
        <v>399</v>
      </c>
      <c r="R12" s="812" t="s">
        <v>411</v>
      </c>
      <c r="S12" s="814" t="s">
        <v>408</v>
      </c>
      <c r="T12" s="815" t="s">
        <v>415</v>
      </c>
      <c r="X12" s="810" t="s">
        <v>398</v>
      </c>
      <c r="Y12" s="811" t="s">
        <v>441</v>
      </c>
      <c r="Z12" s="812" t="s">
        <v>399</v>
      </c>
      <c r="AA12" s="813" t="s">
        <v>402</v>
      </c>
      <c r="AB12" s="812" t="s">
        <v>399</v>
      </c>
      <c r="AC12" s="812" t="s">
        <v>411</v>
      </c>
      <c r="AD12" s="814" t="s">
        <v>408</v>
      </c>
      <c r="AE12" s="815" t="s">
        <v>415</v>
      </c>
    </row>
    <row r="13" spans="1:31" ht="15" customHeight="1" x14ac:dyDescent="0.3">
      <c r="A13" s="817"/>
      <c r="B13" s="714" t="s">
        <v>311</v>
      </c>
      <c r="C13" s="824">
        <v>15</v>
      </c>
      <c r="D13" s="818">
        <f>'Prec Materia Prima y Empaq'!$H$19</f>
        <v>1000</v>
      </c>
      <c r="E13" s="819">
        <v>0</v>
      </c>
      <c r="F13" s="820">
        <f>+E13+D13</f>
        <v>1000</v>
      </c>
      <c r="G13" s="819">
        <f>F13*H13</f>
        <v>2000</v>
      </c>
      <c r="H13" s="821">
        <v>2</v>
      </c>
      <c r="I13" s="823" t="s">
        <v>460</v>
      </c>
      <c r="M13" s="714" t="s">
        <v>311</v>
      </c>
      <c r="N13" s="824">
        <v>15</v>
      </c>
      <c r="O13" s="818">
        <f>'Prec Materia Prima y Empaq'!$H$19</f>
        <v>1000</v>
      </c>
      <c r="P13" s="819">
        <v>0</v>
      </c>
      <c r="Q13" s="820">
        <f>+P13+O13</f>
        <v>1000</v>
      </c>
      <c r="R13" s="819">
        <f>Q13*S13</f>
        <v>2000</v>
      </c>
      <c r="S13" s="821">
        <v>2</v>
      </c>
      <c r="T13" s="823" t="s">
        <v>460</v>
      </c>
      <c r="X13" s="714" t="s">
        <v>311</v>
      </c>
      <c r="Y13" s="824">
        <v>15</v>
      </c>
      <c r="Z13" s="818">
        <f>'Prec Materia Prima y Empaq'!$H$19</f>
        <v>1000</v>
      </c>
      <c r="AA13" s="819">
        <v>0</v>
      </c>
      <c r="AB13" s="820">
        <f>+AA13+Z13</f>
        <v>1000</v>
      </c>
      <c r="AC13" s="819">
        <f>AB13*AD13</f>
        <v>2000</v>
      </c>
      <c r="AD13" s="821">
        <v>2</v>
      </c>
      <c r="AE13" s="823" t="s">
        <v>460</v>
      </c>
    </row>
    <row r="14" spans="1:31" ht="15" customHeight="1" x14ac:dyDescent="0.3">
      <c r="A14" s="817"/>
      <c r="B14" s="714" t="s">
        <v>575</v>
      </c>
      <c r="C14" s="824">
        <v>1</v>
      </c>
      <c r="D14" s="818">
        <f>'Prec Materia Prima y Empaq'!$H$131</f>
        <v>450</v>
      </c>
      <c r="E14" s="819">
        <v>0</v>
      </c>
      <c r="F14" s="820">
        <f t="shared" ref="F14:F15" si="0">+E14+D14</f>
        <v>450</v>
      </c>
      <c r="G14" s="819">
        <f>F14/C14*H14</f>
        <v>450</v>
      </c>
      <c r="H14" s="821">
        <v>1</v>
      </c>
      <c r="I14" s="823" t="s">
        <v>453</v>
      </c>
      <c r="M14" s="714" t="s">
        <v>457</v>
      </c>
      <c r="N14" s="824">
        <v>10</v>
      </c>
      <c r="O14" s="818">
        <f>'Prec Materia Prima y Empaq'!$H$20</f>
        <v>750</v>
      </c>
      <c r="P14" s="819">
        <v>0</v>
      </c>
      <c r="Q14" s="820">
        <f t="shared" ref="Q14:Q15" si="1">+P14+O14</f>
        <v>750</v>
      </c>
      <c r="R14" s="819">
        <f>Q14*S14</f>
        <v>2250</v>
      </c>
      <c r="S14" s="821">
        <v>3</v>
      </c>
      <c r="T14" s="823" t="s">
        <v>460</v>
      </c>
      <c r="X14" s="714" t="s">
        <v>457</v>
      </c>
      <c r="Y14" s="824">
        <v>10</v>
      </c>
      <c r="Z14" s="818">
        <f>'Prec Materia Prima y Empaq'!$H$20</f>
        <v>750</v>
      </c>
      <c r="AA14" s="819">
        <v>0</v>
      </c>
      <c r="AB14" s="820">
        <f t="shared" ref="AB14:AB15" si="2">+AA14+Z14</f>
        <v>750</v>
      </c>
      <c r="AC14" s="819">
        <f>AB14*AD14</f>
        <v>2250</v>
      </c>
      <c r="AD14" s="821">
        <v>3</v>
      </c>
      <c r="AE14" s="823" t="s">
        <v>460</v>
      </c>
    </row>
    <row r="15" spans="1:31" ht="15" customHeight="1" x14ac:dyDescent="0.3">
      <c r="B15" s="877"/>
      <c r="C15" s="823"/>
      <c r="D15" s="822"/>
      <c r="E15" s="819">
        <v>0</v>
      </c>
      <c r="F15" s="820">
        <f t="shared" si="0"/>
        <v>0</v>
      </c>
      <c r="G15" s="829">
        <f>C15*D7</f>
        <v>0</v>
      </c>
      <c r="H15" s="823"/>
      <c r="I15" s="823"/>
      <c r="M15" s="714" t="str">
        <f>'Preci Comp Prod'!L13</f>
        <v>CAJA ULTRADOLOR</v>
      </c>
      <c r="N15" s="824">
        <v>1</v>
      </c>
      <c r="O15" s="822">
        <f>'Prec Materia Prima y Empaq'!$H$132</f>
        <v>650</v>
      </c>
      <c r="P15" s="819">
        <v>0</v>
      </c>
      <c r="Q15" s="820">
        <f t="shared" si="1"/>
        <v>650</v>
      </c>
      <c r="R15" s="829">
        <f>Q15*S15</f>
        <v>650</v>
      </c>
      <c r="S15" s="821">
        <v>1</v>
      </c>
      <c r="T15" s="823" t="s">
        <v>453</v>
      </c>
      <c r="X15" s="714">
        <f>'Preci Comp Prod'!W13</f>
        <v>0</v>
      </c>
      <c r="Y15" s="824">
        <v>1</v>
      </c>
      <c r="Z15" s="822">
        <f>'Prec Materia Prima y Empaq'!$H$132</f>
        <v>650</v>
      </c>
      <c r="AA15" s="819">
        <v>0</v>
      </c>
      <c r="AB15" s="820">
        <f t="shared" si="2"/>
        <v>650</v>
      </c>
      <c r="AC15" s="829">
        <f>AB15*AD15</f>
        <v>650</v>
      </c>
      <c r="AD15" s="821">
        <v>1</v>
      </c>
      <c r="AE15" s="823" t="s">
        <v>453</v>
      </c>
    </row>
    <row r="16" spans="1:31" ht="19.5" customHeight="1" x14ac:dyDescent="0.3">
      <c r="B16" s="831"/>
      <c r="C16" s="805"/>
      <c r="D16" s="832"/>
      <c r="E16" s="732"/>
      <c r="F16" s="833"/>
      <c r="G16" s="834">
        <f>SUM(G13:G15)</f>
        <v>2450</v>
      </c>
      <c r="H16" s="835" t="s">
        <v>454</v>
      </c>
      <c r="I16" s="805"/>
      <c r="M16" s="831"/>
      <c r="N16" s="805"/>
      <c r="O16" s="832"/>
      <c r="P16" s="732"/>
      <c r="Q16" s="833"/>
      <c r="R16" s="834">
        <f>SUM(R13:R15)/1</f>
        <v>4900</v>
      </c>
      <c r="S16" s="835" t="s">
        <v>454</v>
      </c>
      <c r="T16" s="805"/>
      <c r="X16" s="831"/>
      <c r="Y16" s="805"/>
      <c r="Z16" s="832"/>
      <c r="AA16" s="732"/>
      <c r="AB16" s="833"/>
      <c r="AC16" s="834">
        <f>SUM(AC13:AC15)/1</f>
        <v>4900</v>
      </c>
      <c r="AD16" s="835" t="s">
        <v>454</v>
      </c>
      <c r="AE16" s="805"/>
    </row>
    <row r="17" spans="2:31" s="879" customFormat="1" ht="15" customHeight="1" x14ac:dyDescent="0.3">
      <c r="B17" s="878" t="s">
        <v>409</v>
      </c>
      <c r="D17" s="880">
        <f>+'Gtos Varios'!I14</f>
        <v>3672.93</v>
      </c>
      <c r="F17" s="881">
        <f t="shared" ref="F17" si="3">+E17+D17</f>
        <v>3672.93</v>
      </c>
      <c r="G17" s="882">
        <f>+F17</f>
        <v>3672.93</v>
      </c>
      <c r="H17" s="879" t="str">
        <f>B17</f>
        <v xml:space="preserve">GASTOS VARIOS </v>
      </c>
      <c r="K17" s="883"/>
      <c r="M17" s="878" t="s">
        <v>409</v>
      </c>
      <c r="O17" s="884">
        <f>+'Gtos Varios'!I14</f>
        <v>3672.93</v>
      </c>
      <c r="Q17" s="881">
        <f t="shared" ref="Q17" si="4">+P17+O17</f>
        <v>3672.93</v>
      </c>
      <c r="R17" s="882">
        <f>Q17</f>
        <v>3672.93</v>
      </c>
      <c r="S17" s="879" t="str">
        <f>M17</f>
        <v xml:space="preserve">GASTOS VARIOS </v>
      </c>
      <c r="V17" s="883"/>
      <c r="X17" s="878" t="s">
        <v>409</v>
      </c>
      <c r="Z17" s="884">
        <f>+'Gtos Varios'!I14</f>
        <v>3672.93</v>
      </c>
      <c r="AB17" s="881">
        <f t="shared" ref="AB17" si="5">+AA17+Z17</f>
        <v>3672.93</v>
      </c>
      <c r="AC17" s="882">
        <f>AB17</f>
        <v>3672.93</v>
      </c>
      <c r="AD17" s="879" t="str">
        <f>X17</f>
        <v xml:space="preserve">GASTOS VARIOS </v>
      </c>
    </row>
    <row r="18" spans="2:31" ht="15" customHeight="1" x14ac:dyDescent="0.3">
      <c r="B18" s="831"/>
      <c r="C18" s="805"/>
      <c r="D18" s="832"/>
      <c r="E18" s="732"/>
      <c r="F18" s="833"/>
      <c r="G18" s="837"/>
      <c r="H18" s="805"/>
      <c r="I18" s="805"/>
      <c r="M18" s="831"/>
      <c r="N18" s="805"/>
      <c r="O18" s="832"/>
      <c r="P18" s="732"/>
      <c r="Q18" s="833"/>
      <c r="R18" s="837"/>
      <c r="S18" s="805"/>
      <c r="T18" s="805"/>
      <c r="X18" s="831"/>
      <c r="Y18" s="805"/>
      <c r="Z18" s="832"/>
      <c r="AA18" s="732"/>
      <c r="AB18" s="833"/>
      <c r="AC18" s="837"/>
      <c r="AD18" s="805"/>
      <c r="AE18" s="805"/>
    </row>
    <row r="19" spans="2:31" ht="15" customHeight="1" x14ac:dyDescent="0.3">
      <c r="B19" s="831"/>
      <c r="C19" s="805"/>
      <c r="D19" s="832"/>
      <c r="E19" s="732"/>
      <c r="F19" s="833"/>
      <c r="G19" s="837"/>
      <c r="H19" s="805"/>
      <c r="I19" s="805"/>
      <c r="M19" s="831"/>
      <c r="N19" s="805"/>
      <c r="O19" s="832"/>
      <c r="P19" s="732"/>
      <c r="Q19" s="833"/>
      <c r="R19" s="837"/>
      <c r="S19" s="805"/>
      <c r="T19" s="805"/>
      <c r="X19" s="831"/>
      <c r="Y19" s="805"/>
      <c r="Z19" s="832"/>
      <c r="AA19" s="732"/>
      <c r="AB19" s="833"/>
      <c r="AC19" s="837"/>
      <c r="AD19" s="805"/>
      <c r="AE19" s="805"/>
    </row>
    <row r="20" spans="2:31" ht="15" customHeight="1" thickBot="1" x14ac:dyDescent="0.35">
      <c r="F20" s="838">
        <f>SUM(F13:F15)</f>
        <v>1450</v>
      </c>
      <c r="G20" s="839">
        <f>SUM(G16:G17)</f>
        <v>6122.93</v>
      </c>
      <c r="H20" s="712" t="s">
        <v>412</v>
      </c>
      <c r="Q20" s="838">
        <f>SUM(Q13:Q15)</f>
        <v>2400</v>
      </c>
      <c r="R20" s="839">
        <f>SUM(R16:R17)</f>
        <v>8572.93</v>
      </c>
      <c r="S20" s="712" t="s">
        <v>412</v>
      </c>
      <c r="Z20" s="724"/>
      <c r="AB20" s="838">
        <f>SUM(AB13:AB15)</f>
        <v>2400</v>
      </c>
      <c r="AC20" s="839">
        <f>SUM(AC16:AC17)</f>
        <v>8572.93</v>
      </c>
      <c r="AD20" s="712" t="s">
        <v>412</v>
      </c>
    </row>
    <row r="21" spans="2:31" ht="19.5" customHeight="1" thickTop="1" x14ac:dyDescent="0.3">
      <c r="F21" s="885" t="s">
        <v>669</v>
      </c>
      <c r="G21" s="868">
        <f>G20*55%</f>
        <v>3367.6115000000004</v>
      </c>
      <c r="H21" s="840">
        <v>0.55000000000000004</v>
      </c>
      <c r="I21" s="712" t="s">
        <v>539</v>
      </c>
      <c r="R21" s="868">
        <f>R20*38%</f>
        <v>3257.7134000000001</v>
      </c>
      <c r="S21" s="840">
        <v>0.38</v>
      </c>
      <c r="T21" s="712" t="s">
        <v>539</v>
      </c>
      <c r="Z21" s="724"/>
      <c r="AC21" s="868">
        <f>AC20*38%</f>
        <v>3257.7134000000001</v>
      </c>
      <c r="AD21" s="840">
        <v>0.38</v>
      </c>
      <c r="AE21" s="712" t="s">
        <v>539</v>
      </c>
    </row>
    <row r="22" spans="2:31" ht="15" customHeight="1" thickBot="1" x14ac:dyDescent="0.35">
      <c r="G22" s="869">
        <f>G20+G21</f>
        <v>9490.5415000000012</v>
      </c>
      <c r="H22" s="712" t="s">
        <v>748</v>
      </c>
      <c r="Q22" s="800" t="s">
        <v>462</v>
      </c>
      <c r="R22" s="869">
        <f>R20+R21</f>
        <v>11830.643400000001</v>
      </c>
      <c r="S22" s="712" t="s">
        <v>748</v>
      </c>
      <c r="Z22" s="724"/>
      <c r="AB22" s="800" t="s">
        <v>462</v>
      </c>
      <c r="AC22" s="869">
        <f>AC20+AC21</f>
        <v>11830.643400000001</v>
      </c>
      <c r="AD22" s="712" t="s">
        <v>748</v>
      </c>
    </row>
    <row r="23" spans="2:31" ht="15" customHeight="1" thickTop="1" x14ac:dyDescent="0.3">
      <c r="Z23" s="724"/>
    </row>
    <row r="24" spans="2:31" ht="23.25" customHeight="1" thickBot="1" x14ac:dyDescent="0.35">
      <c r="E24" s="886"/>
      <c r="F24" s="833">
        <f>+G24-G16</f>
        <v>750</v>
      </c>
      <c r="G24" s="887">
        <v>3200</v>
      </c>
      <c r="H24" s="888" t="s">
        <v>749</v>
      </c>
      <c r="I24" s="889"/>
      <c r="R24" s="887">
        <v>8000</v>
      </c>
      <c r="S24" s="888" t="s">
        <v>749</v>
      </c>
      <c r="Z24" s="724"/>
      <c r="AC24" s="887">
        <v>8000</v>
      </c>
      <c r="AD24" s="888" t="s">
        <v>749</v>
      </c>
    </row>
    <row r="25" spans="2:31" ht="15" customHeight="1" thickTop="1" x14ac:dyDescent="0.3"/>
    <row r="26" spans="2:31" s="876" customFormat="1" ht="22.5" customHeight="1" x14ac:dyDescent="0.3">
      <c r="D26" s="890"/>
      <c r="O26" s="890"/>
    </row>
    <row r="28" spans="2:31" ht="15" customHeight="1" x14ac:dyDescent="0.3">
      <c r="D28" s="724" t="s">
        <v>406</v>
      </c>
      <c r="E28" s="712" t="s">
        <v>407</v>
      </c>
      <c r="F28" s="712" t="s">
        <v>439</v>
      </c>
      <c r="G28" s="712">
        <v>1000</v>
      </c>
    </row>
    <row r="31" spans="2:31" ht="15" customHeight="1" x14ac:dyDescent="0.3">
      <c r="B31" s="802" t="s">
        <v>61</v>
      </c>
      <c r="C31" s="802"/>
      <c r="D31" s="801" t="s">
        <v>126</v>
      </c>
      <c r="M31" s="802" t="s">
        <v>61</v>
      </c>
      <c r="N31" s="802"/>
      <c r="O31" s="801" t="s">
        <v>324</v>
      </c>
    </row>
    <row r="32" spans="2:31" ht="15" customHeight="1" x14ac:dyDescent="0.3">
      <c r="B32" s="802" t="s">
        <v>62</v>
      </c>
      <c r="C32" s="802"/>
      <c r="D32" s="801" t="str">
        <f>VLOOKUP(D31,LISTPROD[],2,FALSE)</f>
        <v>FLEXDOL</v>
      </c>
      <c r="M32" s="802" t="s">
        <v>62</v>
      </c>
      <c r="N32" s="802"/>
      <c r="O32" s="801" t="str">
        <f>VLOOKUP(O31,LISTPROD[],2,FALSE)</f>
        <v>DOLORAN ULTRA (pastillas) y Spray</v>
      </c>
    </row>
    <row r="33" spans="2:20" ht="15" customHeight="1" x14ac:dyDescent="0.3">
      <c r="B33" s="802" t="s">
        <v>234</v>
      </c>
      <c r="C33" s="802"/>
      <c r="D33" s="801" t="str">
        <f>VLOOKUP(D31,LISTPROD[],9,FALSE)</f>
        <v>PASTILLAS DE 40 UND</v>
      </c>
      <c r="M33" s="802" t="s">
        <v>234</v>
      </c>
      <c r="N33" s="802"/>
      <c r="O33" s="801" t="str">
        <f>VLOOKUP(O31,LISTPROD[],9,FALSE)</f>
        <v>PASTILLAS DE 60 UND</v>
      </c>
    </row>
    <row r="34" spans="2:20" ht="15" customHeight="1" x14ac:dyDescent="0.3">
      <c r="B34" s="802" t="s">
        <v>239</v>
      </c>
      <c r="C34" s="802"/>
      <c r="D34" s="801">
        <v>1</v>
      </c>
      <c r="E34" s="800" t="s">
        <v>458</v>
      </c>
      <c r="M34" s="802" t="s">
        <v>239</v>
      </c>
      <c r="N34" s="802"/>
      <c r="O34" s="801">
        <v>1</v>
      </c>
      <c r="P34" s="800" t="s">
        <v>458</v>
      </c>
    </row>
    <row r="35" spans="2:20" ht="15" customHeight="1" x14ac:dyDescent="0.3">
      <c r="B35" s="802" t="s">
        <v>240</v>
      </c>
      <c r="C35" s="802"/>
      <c r="D35" s="801"/>
      <c r="M35" s="802" t="s">
        <v>240</v>
      </c>
      <c r="N35" s="802"/>
      <c r="O35" s="801"/>
    </row>
    <row r="36" spans="2:20" ht="15" customHeight="1" x14ac:dyDescent="0.3">
      <c r="B36" s="802" t="s">
        <v>238</v>
      </c>
      <c r="C36" s="802"/>
      <c r="D36" s="712" t="s">
        <v>783</v>
      </c>
      <c r="E36" s="800"/>
      <c r="M36" s="802" t="s">
        <v>238</v>
      </c>
      <c r="N36" s="802"/>
      <c r="O36" s="712" t="s">
        <v>456</v>
      </c>
      <c r="P36" s="800"/>
    </row>
    <row r="37" spans="2:20" ht="15" customHeight="1" x14ac:dyDescent="0.3">
      <c r="B37" s="806" t="s">
        <v>410</v>
      </c>
      <c r="C37" s="806"/>
      <c r="D37" s="807"/>
      <c r="E37" s="808"/>
      <c r="M37" s="806" t="s">
        <v>410</v>
      </c>
      <c r="N37" s="806"/>
      <c r="O37" s="807"/>
      <c r="P37" s="808"/>
    </row>
    <row r="38" spans="2:20" ht="15" customHeight="1" x14ac:dyDescent="0.3">
      <c r="B38" s="1498" t="s">
        <v>404</v>
      </c>
      <c r="C38" s="1498"/>
      <c r="D38" s="1498"/>
      <c r="E38" s="1498"/>
      <c r="F38" s="1498"/>
      <c r="G38" s="714"/>
      <c r="H38" s="1499" t="s">
        <v>416</v>
      </c>
      <c r="I38" s="1500"/>
      <c r="M38" s="1498" t="s">
        <v>404</v>
      </c>
      <c r="N38" s="1498"/>
      <c r="O38" s="1498"/>
      <c r="P38" s="1498"/>
      <c r="Q38" s="1498"/>
      <c r="R38" s="714"/>
      <c r="S38" s="1499" t="s">
        <v>416</v>
      </c>
      <c r="T38" s="1500"/>
    </row>
    <row r="39" spans="2:20" ht="45" customHeight="1" x14ac:dyDescent="0.3">
      <c r="B39" s="810" t="s">
        <v>398</v>
      </c>
      <c r="C39" s="811" t="s">
        <v>441</v>
      </c>
      <c r="D39" s="812" t="s">
        <v>399</v>
      </c>
      <c r="E39" s="813" t="s">
        <v>402</v>
      </c>
      <c r="F39" s="812" t="s">
        <v>399</v>
      </c>
      <c r="G39" s="812" t="s">
        <v>411</v>
      </c>
      <c r="H39" s="814" t="s">
        <v>408</v>
      </c>
      <c r="I39" s="815" t="s">
        <v>415</v>
      </c>
      <c r="M39" s="810" t="s">
        <v>398</v>
      </c>
      <c r="N39" s="811" t="s">
        <v>441</v>
      </c>
      <c r="O39" s="812" t="s">
        <v>399</v>
      </c>
      <c r="P39" s="813" t="s">
        <v>402</v>
      </c>
      <c r="Q39" s="812" t="s">
        <v>399</v>
      </c>
      <c r="R39" s="812" t="s">
        <v>411</v>
      </c>
      <c r="S39" s="814" t="s">
        <v>408</v>
      </c>
      <c r="T39" s="815" t="s">
        <v>415</v>
      </c>
    </row>
    <row r="40" spans="2:20" ht="21" customHeight="1" x14ac:dyDescent="0.3">
      <c r="B40" s="714" t="s">
        <v>311</v>
      </c>
      <c r="C40" s="824">
        <v>15</v>
      </c>
      <c r="D40" s="818">
        <f>'Prec Materia Prima y Empaq'!$H$19</f>
        <v>1000</v>
      </c>
      <c r="E40" s="819">
        <v>0</v>
      </c>
      <c r="F40" s="820">
        <f>+E40+D40</f>
        <v>1000</v>
      </c>
      <c r="G40" s="819">
        <f>F40*H40</f>
        <v>2000</v>
      </c>
      <c r="H40" s="821">
        <v>2</v>
      </c>
      <c r="I40" s="823" t="s">
        <v>460</v>
      </c>
      <c r="M40" s="714" t="s">
        <v>311</v>
      </c>
      <c r="N40" s="824">
        <v>15</v>
      </c>
      <c r="O40" s="818">
        <f>'Prec Materia Prima y Empaq'!$H$19</f>
        <v>1000</v>
      </c>
      <c r="P40" s="819">
        <v>0</v>
      </c>
      <c r="Q40" s="820">
        <f>+P40+O40</f>
        <v>1000</v>
      </c>
      <c r="R40" s="819">
        <f>Q40*S40</f>
        <v>2000</v>
      </c>
      <c r="S40" s="821">
        <v>2</v>
      </c>
      <c r="T40" s="823" t="s">
        <v>460</v>
      </c>
    </row>
    <row r="41" spans="2:20" ht="19.5" customHeight="1" x14ac:dyDescent="0.3">
      <c r="B41" s="714" t="s">
        <v>457</v>
      </c>
      <c r="C41" s="824">
        <v>10</v>
      </c>
      <c r="D41" s="818">
        <f>'Prec Materia Prima y Empaq'!$H$20</f>
        <v>750</v>
      </c>
      <c r="E41" s="819">
        <v>0</v>
      </c>
      <c r="F41" s="820">
        <f t="shared" ref="F41:F43" si="6">+E41+D41</f>
        <v>750</v>
      </c>
      <c r="G41" s="819">
        <f>F41*H41</f>
        <v>2250</v>
      </c>
      <c r="H41" s="821">
        <v>3</v>
      </c>
      <c r="I41" s="823" t="s">
        <v>460</v>
      </c>
      <c r="M41" s="714" t="s">
        <v>457</v>
      </c>
      <c r="N41" s="824">
        <v>10</v>
      </c>
      <c r="O41" s="818">
        <f>'Prec Materia Prima y Empaq'!$H$20</f>
        <v>750</v>
      </c>
      <c r="P41" s="819">
        <v>0</v>
      </c>
      <c r="Q41" s="820">
        <f t="shared" ref="Q41:Q42" si="7">+P41+O41</f>
        <v>750</v>
      </c>
      <c r="R41" s="819">
        <f>Q41*S41</f>
        <v>2250</v>
      </c>
      <c r="S41" s="821">
        <v>3</v>
      </c>
      <c r="T41" s="823" t="s">
        <v>460</v>
      </c>
    </row>
    <row r="42" spans="2:20" ht="29.25" customHeight="1" x14ac:dyDescent="0.3">
      <c r="B42" s="830" t="s">
        <v>481</v>
      </c>
      <c r="C42" s="824">
        <v>1</v>
      </c>
      <c r="D42" s="822">
        <f>'Prec Materia Prima y Empaq'!$H$136</f>
        <v>420</v>
      </c>
      <c r="E42" s="819">
        <v>0</v>
      </c>
      <c r="F42" s="820">
        <f t="shared" si="6"/>
        <v>420</v>
      </c>
      <c r="G42" s="829">
        <f>F42*H42</f>
        <v>420</v>
      </c>
      <c r="H42" s="821">
        <v>1</v>
      </c>
      <c r="I42" s="823" t="s">
        <v>453</v>
      </c>
      <c r="M42" s="714" t="str">
        <f>'Preci Comp Prod'!L40</f>
        <v>CAJA INFAMOL</v>
      </c>
      <c r="N42" s="824">
        <v>1</v>
      </c>
      <c r="O42" s="822">
        <f>'Prec Materia Prima y Empaq'!$H$132</f>
        <v>650</v>
      </c>
      <c r="P42" s="819">
        <v>0</v>
      </c>
      <c r="Q42" s="820">
        <f t="shared" si="7"/>
        <v>650</v>
      </c>
      <c r="R42" s="829">
        <f>Q42*S42</f>
        <v>650</v>
      </c>
      <c r="S42" s="821">
        <v>1</v>
      </c>
      <c r="T42" s="823" t="s">
        <v>453</v>
      </c>
    </row>
    <row r="43" spans="2:20" ht="21" customHeight="1" x14ac:dyDescent="0.3">
      <c r="B43" s="713" t="s">
        <v>484</v>
      </c>
      <c r="C43" s="824">
        <v>1</v>
      </c>
      <c r="D43" s="822">
        <f>'Prec Materia Prima y Empaq'!$H$137</f>
        <v>500</v>
      </c>
      <c r="E43" s="819"/>
      <c r="F43" s="820">
        <f t="shared" si="6"/>
        <v>500</v>
      </c>
      <c r="G43" s="829">
        <f>F43*H43</f>
        <v>500</v>
      </c>
      <c r="H43" s="821">
        <v>1</v>
      </c>
      <c r="I43" s="823" t="s">
        <v>453</v>
      </c>
      <c r="M43" s="831"/>
      <c r="N43" s="805"/>
      <c r="O43" s="832"/>
      <c r="P43" s="732"/>
      <c r="Q43" s="833"/>
      <c r="R43" s="834">
        <f>SUM(R40:R42)/1</f>
        <v>4900</v>
      </c>
      <c r="S43" s="835" t="s">
        <v>454</v>
      </c>
      <c r="T43" s="805"/>
    </row>
    <row r="44" spans="2:20" ht="15" customHeight="1" x14ac:dyDescent="0.3">
      <c r="C44" s="891"/>
      <c r="D44" s="832"/>
      <c r="E44" s="732"/>
      <c r="F44" s="833"/>
      <c r="G44" s="837"/>
      <c r="H44" s="817"/>
      <c r="I44" s="805"/>
      <c r="M44" s="878" t="s">
        <v>409</v>
      </c>
      <c r="N44" s="879"/>
      <c r="O44" s="884">
        <f>+'Gtos Varios'!I14</f>
        <v>3672.93</v>
      </c>
      <c r="P44" s="879"/>
      <c r="Q44" s="881">
        <f t="shared" ref="Q44" si="8">+P44+O44</f>
        <v>3672.93</v>
      </c>
      <c r="R44" s="882">
        <f>Q44</f>
        <v>3672.93</v>
      </c>
      <c r="S44" s="879" t="str">
        <f>M44</f>
        <v xml:space="preserve">GASTOS VARIOS </v>
      </c>
      <c r="T44" s="879"/>
    </row>
    <row r="45" spans="2:20" ht="15" customHeight="1" x14ac:dyDescent="0.3">
      <c r="B45" s="831"/>
      <c r="C45" s="805"/>
      <c r="D45" s="832"/>
      <c r="E45" s="732"/>
      <c r="F45" s="833"/>
      <c r="G45" s="834">
        <f>SUM(G40:G42)/1</f>
        <v>4670</v>
      </c>
      <c r="H45" s="835" t="s">
        <v>454</v>
      </c>
      <c r="I45" s="805"/>
      <c r="M45" s="831"/>
      <c r="N45" s="805"/>
      <c r="O45" s="832"/>
      <c r="P45" s="732"/>
      <c r="Q45" s="833"/>
      <c r="R45" s="837"/>
      <c r="S45" s="805"/>
      <c r="T45" s="805"/>
    </row>
    <row r="46" spans="2:20" ht="15" customHeight="1" x14ac:dyDescent="0.3">
      <c r="B46" s="871" t="s">
        <v>409</v>
      </c>
      <c r="C46" s="872"/>
      <c r="D46" s="873">
        <f>+'Gtos Varios'!I14</f>
        <v>3672.93</v>
      </c>
      <c r="E46" s="872"/>
      <c r="F46" s="874">
        <f t="shared" ref="F46" si="9">+E46+D46</f>
        <v>3672.93</v>
      </c>
      <c r="G46" s="875">
        <f>F46</f>
        <v>3672.93</v>
      </c>
      <c r="H46" s="872" t="str">
        <f>B46</f>
        <v xml:space="preserve">GASTOS VARIOS </v>
      </c>
      <c r="I46" s="805"/>
      <c r="M46" s="831"/>
      <c r="N46" s="805"/>
      <c r="O46" s="832"/>
      <c r="P46" s="732"/>
      <c r="Q46" s="833"/>
      <c r="R46" s="837"/>
      <c r="S46" s="805"/>
      <c r="T46" s="805"/>
    </row>
    <row r="47" spans="2:20" ht="15" customHeight="1" thickBot="1" x14ac:dyDescent="0.35">
      <c r="B47" s="831"/>
      <c r="C47" s="805"/>
      <c r="D47" s="832"/>
      <c r="E47" s="732"/>
      <c r="F47" s="833"/>
      <c r="G47" s="837"/>
      <c r="H47" s="805"/>
      <c r="I47" s="805"/>
      <c r="Q47" s="838">
        <f>SUM(Q40:Q42)</f>
        <v>2400</v>
      </c>
      <c r="R47" s="839">
        <f>SUM(R43:R44)</f>
        <v>8572.93</v>
      </c>
      <c r="S47" s="712" t="s">
        <v>412</v>
      </c>
    </row>
    <row r="48" spans="2:20" ht="15" customHeight="1" thickTop="1" x14ac:dyDescent="0.3">
      <c r="B48" s="831"/>
      <c r="C48" s="805"/>
      <c r="D48" s="832"/>
      <c r="E48" s="732"/>
      <c r="F48" s="833"/>
      <c r="G48" s="837"/>
      <c r="H48" s="805"/>
      <c r="I48" s="805"/>
      <c r="R48" s="868">
        <f>R47*38%</f>
        <v>3257.7134000000001</v>
      </c>
      <c r="S48" s="840">
        <v>0.38</v>
      </c>
      <c r="T48" s="712" t="s">
        <v>539</v>
      </c>
    </row>
    <row r="49" spans="2:19" ht="15" customHeight="1" thickBot="1" x14ac:dyDescent="0.35">
      <c r="F49" s="838">
        <f>SUM(F40:F42)</f>
        <v>2170</v>
      </c>
      <c r="G49" s="839">
        <f>SUM(G45:G46)</f>
        <v>8342.93</v>
      </c>
      <c r="H49" s="712" t="s">
        <v>412</v>
      </c>
      <c r="Q49" s="800" t="s">
        <v>462</v>
      </c>
      <c r="R49" s="869">
        <f>R47+R48</f>
        <v>11830.643400000001</v>
      </c>
      <c r="S49" s="800" t="s">
        <v>414</v>
      </c>
    </row>
    <row r="50" spans="2:19" ht="19.5" customHeight="1" thickTop="1" thickBot="1" x14ac:dyDescent="0.35">
      <c r="F50" s="885" t="s">
        <v>462</v>
      </c>
      <c r="G50" s="868">
        <f>G49*39%</f>
        <v>3253.7427000000002</v>
      </c>
      <c r="H50" s="840">
        <v>0.39</v>
      </c>
      <c r="I50" s="712" t="s">
        <v>539</v>
      </c>
      <c r="R50" s="887">
        <v>6000</v>
      </c>
      <c r="S50" s="888" t="s">
        <v>749</v>
      </c>
    </row>
    <row r="51" spans="2:19" ht="15" customHeight="1" thickTop="1" thickBot="1" x14ac:dyDescent="0.35">
      <c r="F51" s="800"/>
      <c r="G51" s="869">
        <f>G49+G50</f>
        <v>11596.672700000001</v>
      </c>
      <c r="H51" s="805" t="s">
        <v>414</v>
      </c>
    </row>
    <row r="52" spans="2:19" ht="15" customHeight="1" thickTop="1" x14ac:dyDescent="0.3"/>
    <row r="53" spans="2:19" ht="15" customHeight="1" thickBot="1" x14ac:dyDescent="0.35">
      <c r="G53" s="887">
        <v>7000</v>
      </c>
      <c r="H53" s="888" t="s">
        <v>749</v>
      </c>
    </row>
    <row r="54" spans="2:19" ht="15" customHeight="1" thickTop="1" x14ac:dyDescent="0.3"/>
    <row r="56" spans="2:19" ht="15" customHeight="1" x14ac:dyDescent="0.3">
      <c r="B56" s="802" t="s">
        <v>61</v>
      </c>
      <c r="C56" s="802"/>
      <c r="D56" s="801" t="s">
        <v>147</v>
      </c>
    </row>
    <row r="57" spans="2:19" ht="15" customHeight="1" x14ac:dyDescent="0.3">
      <c r="B57" s="802" t="s">
        <v>62</v>
      </c>
      <c r="C57" s="802"/>
      <c r="D57" s="801" t="str">
        <f>VLOOKUP(D56,LISTPROD[],2,FALSE)</f>
        <v>INFAMOL PASTAS  (lleva Spray)</v>
      </c>
    </row>
    <row r="58" spans="2:19" ht="15" customHeight="1" x14ac:dyDescent="0.3">
      <c r="B58" s="802" t="s">
        <v>234</v>
      </c>
      <c r="C58" s="802"/>
      <c r="D58" s="801" t="str">
        <f>VLOOKUP(D56,LISTPROD[],9,FALSE)</f>
        <v>PASTILLAS DE 60 UND</v>
      </c>
    </row>
    <row r="59" spans="2:19" ht="15" customHeight="1" x14ac:dyDescent="0.3">
      <c r="B59" s="802" t="s">
        <v>239</v>
      </c>
      <c r="C59" s="802"/>
      <c r="D59" s="801">
        <v>1</v>
      </c>
      <c r="E59" s="800" t="s">
        <v>458</v>
      </c>
    </row>
    <row r="60" spans="2:19" ht="15" customHeight="1" x14ac:dyDescent="0.3">
      <c r="B60" s="802" t="s">
        <v>240</v>
      </c>
      <c r="C60" s="802"/>
      <c r="D60" s="801"/>
    </row>
    <row r="61" spans="2:19" ht="15" customHeight="1" x14ac:dyDescent="0.3">
      <c r="B61" s="802" t="s">
        <v>238</v>
      </c>
      <c r="C61" s="802"/>
      <c r="D61" s="712" t="s">
        <v>459</v>
      </c>
      <c r="E61" s="800"/>
    </row>
    <row r="62" spans="2:19" ht="15" customHeight="1" x14ac:dyDescent="0.3">
      <c r="B62" s="806" t="s">
        <v>410</v>
      </c>
      <c r="C62" s="806"/>
      <c r="D62" s="807"/>
      <c r="E62" s="808"/>
    </row>
    <row r="63" spans="2:19" ht="15" customHeight="1" x14ac:dyDescent="0.3">
      <c r="B63" s="1498" t="s">
        <v>404</v>
      </c>
      <c r="C63" s="1498"/>
      <c r="D63" s="1498"/>
      <c r="E63" s="1498"/>
      <c r="F63" s="1498"/>
      <c r="G63" s="714"/>
      <c r="H63" s="1499" t="s">
        <v>416</v>
      </c>
      <c r="I63" s="1500"/>
    </row>
    <row r="64" spans="2:19" ht="29.25" customHeight="1" x14ac:dyDescent="0.3">
      <c r="B64" s="810" t="s">
        <v>398</v>
      </c>
      <c r="C64" s="811" t="s">
        <v>441</v>
      </c>
      <c r="D64" s="812" t="s">
        <v>399</v>
      </c>
      <c r="E64" s="813" t="s">
        <v>402</v>
      </c>
      <c r="F64" s="812" t="s">
        <v>399</v>
      </c>
      <c r="G64" s="812" t="s">
        <v>411</v>
      </c>
      <c r="H64" s="814" t="s">
        <v>408</v>
      </c>
      <c r="I64" s="815" t="s">
        <v>415</v>
      </c>
    </row>
    <row r="65" spans="2:9" ht="23.25" customHeight="1" x14ac:dyDescent="0.3">
      <c r="B65" s="714" t="s">
        <v>311</v>
      </c>
      <c r="C65" s="824">
        <v>15</v>
      </c>
      <c r="D65" s="818">
        <f>'Prec Materia Prima y Empaq'!$H$19</f>
        <v>1000</v>
      </c>
      <c r="E65" s="819">
        <v>0</v>
      </c>
      <c r="F65" s="820">
        <f>+E65+D65</f>
        <v>1000</v>
      </c>
      <c r="G65" s="819">
        <f>F65*H65</f>
        <v>2000</v>
      </c>
      <c r="H65" s="821">
        <v>2</v>
      </c>
      <c r="I65" s="823" t="s">
        <v>460</v>
      </c>
    </row>
    <row r="66" spans="2:9" ht="32.25" customHeight="1" x14ac:dyDescent="0.3">
      <c r="B66" s="714" t="s">
        <v>457</v>
      </c>
      <c r="C66" s="824">
        <v>10</v>
      </c>
      <c r="D66" s="818">
        <f>'Prec Materia Prima y Empaq'!$H$20</f>
        <v>750</v>
      </c>
      <c r="E66" s="819">
        <v>0</v>
      </c>
      <c r="F66" s="820">
        <f t="shared" ref="F66:F67" si="10">+E66+D66</f>
        <v>750</v>
      </c>
      <c r="G66" s="819">
        <f>F66*H66</f>
        <v>2250</v>
      </c>
      <c r="H66" s="821">
        <v>3</v>
      </c>
      <c r="I66" s="823" t="s">
        <v>460</v>
      </c>
    </row>
    <row r="67" spans="2:9" ht="29.25" customHeight="1" x14ac:dyDescent="0.3">
      <c r="B67" s="714" t="s">
        <v>576</v>
      </c>
      <c r="C67" s="824">
        <v>1</v>
      </c>
      <c r="D67" s="842">
        <f>'Prec Materia Prima y Empaq'!H163</f>
        <v>650</v>
      </c>
      <c r="E67" s="819"/>
      <c r="F67" s="820">
        <f t="shared" si="10"/>
        <v>650</v>
      </c>
      <c r="G67" s="819">
        <f>F67*H67</f>
        <v>650</v>
      </c>
      <c r="H67" s="821">
        <v>1</v>
      </c>
      <c r="I67" s="823" t="s">
        <v>453</v>
      </c>
    </row>
    <row r="68" spans="2:9" ht="32.25" customHeight="1" x14ac:dyDescent="0.3">
      <c r="B68" s="830" t="s">
        <v>577</v>
      </c>
      <c r="C68" s="824">
        <v>1</v>
      </c>
      <c r="D68" s="842">
        <f>'Prec Materia Prima y Empaq'!H164</f>
        <v>50</v>
      </c>
      <c r="E68" s="819">
        <v>0</v>
      </c>
      <c r="F68" s="820">
        <f t="shared" ref="F68:F69" si="11">+E68+D68</f>
        <v>50</v>
      </c>
      <c r="G68" s="819">
        <f>F68/C68*H68</f>
        <v>50</v>
      </c>
      <c r="H68" s="821">
        <v>1</v>
      </c>
      <c r="I68" s="823" t="s">
        <v>453</v>
      </c>
    </row>
    <row r="69" spans="2:9" ht="21.75" customHeight="1" x14ac:dyDescent="0.3">
      <c r="B69" s="877"/>
      <c r="C69" s="823"/>
      <c r="D69" s="822"/>
      <c r="E69" s="819">
        <v>0</v>
      </c>
      <c r="F69" s="820">
        <f t="shared" si="11"/>
        <v>0</v>
      </c>
      <c r="G69" s="829">
        <f>C69*D59</f>
        <v>0</v>
      </c>
      <c r="H69" s="823"/>
      <c r="I69" s="823"/>
    </row>
    <row r="70" spans="2:9" ht="15" customHeight="1" x14ac:dyDescent="0.3">
      <c r="B70" s="831"/>
      <c r="C70" s="805"/>
      <c r="D70" s="832"/>
      <c r="E70" s="732"/>
      <c r="F70" s="833"/>
      <c r="G70" s="834">
        <f>SUM(G65:G69)</f>
        <v>4950</v>
      </c>
      <c r="H70" s="835" t="s">
        <v>454</v>
      </c>
      <c r="I70" s="805"/>
    </row>
    <row r="71" spans="2:9" ht="15" customHeight="1" x14ac:dyDescent="0.3">
      <c r="B71" s="871" t="s">
        <v>409</v>
      </c>
      <c r="C71" s="872"/>
      <c r="D71" s="873">
        <f>+'Gtos Varios'!I14</f>
        <v>3672.93</v>
      </c>
      <c r="E71" s="872"/>
      <c r="F71" s="874">
        <f t="shared" ref="F71" si="12">+E71+D71</f>
        <v>3672.93</v>
      </c>
      <c r="G71" s="875">
        <f>+F71</f>
        <v>3672.93</v>
      </c>
      <c r="H71" s="872" t="str">
        <f>B71</f>
        <v xml:space="preserve">GASTOS VARIOS </v>
      </c>
      <c r="I71" s="872"/>
    </row>
    <row r="72" spans="2:9" ht="15" customHeight="1" x14ac:dyDescent="0.3">
      <c r="B72" s="831"/>
      <c r="C72" s="805"/>
      <c r="D72" s="832"/>
      <c r="E72" s="732"/>
      <c r="F72" s="833"/>
      <c r="G72" s="837"/>
      <c r="H72" s="805"/>
      <c r="I72" s="805"/>
    </row>
    <row r="73" spans="2:9" ht="15" customHeight="1" x14ac:dyDescent="0.3">
      <c r="B73" s="831"/>
      <c r="C73" s="805"/>
      <c r="D73" s="832"/>
      <c r="E73" s="732"/>
      <c r="F73" s="833"/>
      <c r="G73" s="837"/>
      <c r="H73" s="805"/>
      <c r="I73" s="805"/>
    </row>
    <row r="74" spans="2:9" ht="15" customHeight="1" thickBot="1" x14ac:dyDescent="0.35">
      <c r="F74" s="838">
        <f>SUM(F65:F69)</f>
        <v>2450</v>
      </c>
      <c r="G74" s="839">
        <f>SUM(G70:G71)</f>
        <v>8622.93</v>
      </c>
      <c r="H74" s="712" t="s">
        <v>412</v>
      </c>
    </row>
    <row r="75" spans="2:9" ht="15" customHeight="1" thickTop="1" x14ac:dyDescent="0.3">
      <c r="F75" s="885" t="s">
        <v>462</v>
      </c>
      <c r="G75" s="868">
        <f>G74*38%</f>
        <v>3276.7134000000001</v>
      </c>
      <c r="H75" s="840">
        <v>0.38</v>
      </c>
      <c r="I75" s="712" t="s">
        <v>539</v>
      </c>
    </row>
    <row r="76" spans="2:9" ht="15" customHeight="1" thickBot="1" x14ac:dyDescent="0.35">
      <c r="G76" s="841">
        <f>G74+G75</f>
        <v>11899.643400000001</v>
      </c>
      <c r="H76" s="712" t="s">
        <v>414</v>
      </c>
    </row>
    <row r="77" spans="2:9" ht="15" customHeight="1" thickTop="1" x14ac:dyDescent="0.3"/>
    <row r="79" spans="2:9" ht="15" customHeight="1" thickBot="1" x14ac:dyDescent="0.35">
      <c r="G79" s="887"/>
      <c r="H79" s="888" t="s">
        <v>749</v>
      </c>
    </row>
    <row r="80" spans="2:9" ht="15" customHeight="1" thickTop="1" x14ac:dyDescent="0.3"/>
    <row r="82" spans="2:9" ht="15" customHeight="1" x14ac:dyDescent="0.3">
      <c r="B82" s="802" t="s">
        <v>61</v>
      </c>
      <c r="C82" s="802"/>
      <c r="D82" s="801" t="s">
        <v>203</v>
      </c>
    </row>
    <row r="83" spans="2:9" ht="15" customHeight="1" x14ac:dyDescent="0.3">
      <c r="B83" s="802" t="s">
        <v>62</v>
      </c>
      <c r="C83" s="802"/>
      <c r="D83" s="801" t="str">
        <f>VLOOKUP(D82,LISTPROD[],2,FALSE)</f>
        <v>ULTRADOLL</v>
      </c>
    </row>
    <row r="84" spans="2:9" ht="15" customHeight="1" x14ac:dyDescent="0.3">
      <c r="B84" s="802" t="s">
        <v>234</v>
      </c>
      <c r="C84" s="802"/>
      <c r="D84" s="801" t="str">
        <f>VLOOKUP(D82,LISTPROD[],9,FALSE)</f>
        <v>PASTILLAS DE 60 UND</v>
      </c>
    </row>
    <row r="85" spans="2:9" ht="15" customHeight="1" x14ac:dyDescent="0.3">
      <c r="B85" s="802" t="s">
        <v>239</v>
      </c>
      <c r="C85" s="802"/>
      <c r="D85" s="801">
        <v>1</v>
      </c>
      <c r="E85" s="800" t="s">
        <v>458</v>
      </c>
    </row>
    <row r="86" spans="2:9" ht="15" customHeight="1" x14ac:dyDescent="0.3">
      <c r="B86" s="802" t="s">
        <v>240</v>
      </c>
      <c r="C86" s="802"/>
      <c r="D86" s="801"/>
    </row>
    <row r="87" spans="2:9" ht="15" customHeight="1" x14ac:dyDescent="0.3">
      <c r="B87" s="802" t="s">
        <v>238</v>
      </c>
      <c r="C87" s="802"/>
      <c r="D87" s="803" t="s">
        <v>456</v>
      </c>
      <c r="E87" s="800"/>
    </row>
    <row r="88" spans="2:9" ht="15" customHeight="1" x14ac:dyDescent="0.3">
      <c r="B88" s="806" t="s">
        <v>410</v>
      </c>
      <c r="C88" s="806"/>
      <c r="D88" s="807"/>
      <c r="E88" s="808"/>
    </row>
    <row r="89" spans="2:9" ht="15" customHeight="1" x14ac:dyDescent="0.3">
      <c r="B89" s="1498" t="s">
        <v>404</v>
      </c>
      <c r="C89" s="1498"/>
      <c r="D89" s="1498"/>
      <c r="E89" s="1498"/>
      <c r="F89" s="1498"/>
      <c r="G89" s="714"/>
      <c r="H89" s="1499" t="s">
        <v>416</v>
      </c>
      <c r="I89" s="1500"/>
    </row>
    <row r="90" spans="2:9" ht="15" customHeight="1" x14ac:dyDescent="0.3">
      <c r="B90" s="810" t="s">
        <v>398</v>
      </c>
      <c r="C90" s="811" t="s">
        <v>441</v>
      </c>
      <c r="D90" s="812" t="s">
        <v>399</v>
      </c>
      <c r="E90" s="813" t="s">
        <v>402</v>
      </c>
      <c r="F90" s="812" t="s">
        <v>399</v>
      </c>
      <c r="G90" s="812" t="s">
        <v>411</v>
      </c>
      <c r="H90" s="814" t="s">
        <v>408</v>
      </c>
      <c r="I90" s="815" t="s">
        <v>415</v>
      </c>
    </row>
    <row r="91" spans="2:9" ht="36.75" customHeight="1" x14ac:dyDescent="0.3">
      <c r="B91" s="714" t="s">
        <v>311</v>
      </c>
      <c r="C91" s="824">
        <v>15</v>
      </c>
      <c r="D91" s="818">
        <f>'Prec Materia Prima y Empaq'!$H$19</f>
        <v>1000</v>
      </c>
      <c r="E91" s="819">
        <v>0</v>
      </c>
      <c r="F91" s="820">
        <f>+E91+D91</f>
        <v>1000</v>
      </c>
      <c r="G91" s="819">
        <f>F91*H91</f>
        <v>2000</v>
      </c>
      <c r="H91" s="821">
        <v>2</v>
      </c>
      <c r="I91" s="823" t="s">
        <v>460</v>
      </c>
    </row>
    <row r="92" spans="2:9" ht="21" customHeight="1" x14ac:dyDescent="0.3">
      <c r="B92" s="714" t="s">
        <v>457</v>
      </c>
      <c r="C92" s="824">
        <v>10</v>
      </c>
      <c r="D92" s="818">
        <f>'Prec Materia Prima y Empaq'!$H$20</f>
        <v>750</v>
      </c>
      <c r="E92" s="819">
        <v>0</v>
      </c>
      <c r="F92" s="820">
        <f t="shared" ref="F92:F95" si="13">+E92+D92</f>
        <v>750</v>
      </c>
      <c r="G92" s="819">
        <f>F92*H92</f>
        <v>2250</v>
      </c>
      <c r="H92" s="821">
        <v>3</v>
      </c>
      <c r="I92" s="823" t="s">
        <v>460</v>
      </c>
    </row>
    <row r="93" spans="2:9" ht="29.25" customHeight="1" x14ac:dyDescent="0.3">
      <c r="B93" s="714" t="s">
        <v>564</v>
      </c>
      <c r="C93" s="824">
        <v>1</v>
      </c>
      <c r="D93" s="842">
        <f>'Prec Materia Prima y Empaq'!H132</f>
        <v>650</v>
      </c>
      <c r="E93" s="819"/>
      <c r="F93" s="820">
        <f t="shared" si="13"/>
        <v>650</v>
      </c>
      <c r="G93" s="819">
        <f>F93*H93</f>
        <v>650</v>
      </c>
      <c r="H93" s="821">
        <v>1</v>
      </c>
      <c r="I93" s="823" t="s">
        <v>453</v>
      </c>
    </row>
    <row r="94" spans="2:9" ht="32.25" customHeight="1" x14ac:dyDescent="0.3">
      <c r="B94" s="892" t="s">
        <v>373</v>
      </c>
      <c r="C94" s="824">
        <v>1</v>
      </c>
      <c r="D94" s="842">
        <f>'Prec Materia Prima y Empaq'!H203</f>
        <v>0</v>
      </c>
      <c r="E94" s="819">
        <v>0</v>
      </c>
      <c r="F94" s="820">
        <f t="shared" si="13"/>
        <v>0</v>
      </c>
      <c r="G94" s="819">
        <f>F94/C94*H94</f>
        <v>0</v>
      </c>
      <c r="H94" s="821">
        <v>1</v>
      </c>
      <c r="I94" s="823" t="s">
        <v>453</v>
      </c>
    </row>
    <row r="95" spans="2:9" ht="21.75" customHeight="1" x14ac:dyDescent="0.3">
      <c r="B95" s="877"/>
      <c r="C95" s="823"/>
      <c r="D95" s="822"/>
      <c r="E95" s="819">
        <v>0</v>
      </c>
      <c r="F95" s="820">
        <f t="shared" si="13"/>
        <v>0</v>
      </c>
      <c r="G95" s="829">
        <f>C95*D85</f>
        <v>0</v>
      </c>
      <c r="H95" s="823"/>
      <c r="I95" s="823"/>
    </row>
    <row r="96" spans="2:9" ht="15" customHeight="1" x14ac:dyDescent="0.3">
      <c r="B96" s="831"/>
      <c r="C96" s="805"/>
      <c r="D96" s="832"/>
      <c r="E96" s="732"/>
      <c r="F96" s="833"/>
      <c r="G96" s="834">
        <f>SUM(G91:G95)</f>
        <v>4900</v>
      </c>
      <c r="H96" s="835" t="s">
        <v>454</v>
      </c>
      <c r="I96" s="805"/>
    </row>
    <row r="97" spans="2:9" ht="15" customHeight="1" x14ac:dyDescent="0.3">
      <c r="B97" s="871" t="s">
        <v>409</v>
      </c>
      <c r="C97" s="872"/>
      <c r="D97" s="873">
        <f>+'Gtos Varios'!I14</f>
        <v>3672.93</v>
      </c>
      <c r="E97" s="872"/>
      <c r="F97" s="874">
        <f t="shared" ref="F97" si="14">+E97+D97</f>
        <v>3672.93</v>
      </c>
      <c r="G97" s="875">
        <f>+F97</f>
        <v>3672.93</v>
      </c>
      <c r="H97" s="872" t="str">
        <f>B97</f>
        <v xml:space="preserve">GASTOS VARIOS </v>
      </c>
    </row>
    <row r="98" spans="2:9" ht="15" customHeight="1" x14ac:dyDescent="0.3">
      <c r="B98" s="831"/>
      <c r="C98" s="805"/>
      <c r="D98" s="832"/>
      <c r="E98" s="732"/>
      <c r="F98" s="833"/>
      <c r="G98" s="837"/>
      <c r="H98" s="805"/>
      <c r="I98" s="805"/>
    </row>
    <row r="99" spans="2:9" ht="15" customHeight="1" x14ac:dyDescent="0.3">
      <c r="B99" s="831"/>
      <c r="C99" s="805"/>
      <c r="D99" s="832"/>
      <c r="E99" s="732"/>
      <c r="F99" s="833"/>
      <c r="G99" s="837"/>
      <c r="H99" s="805"/>
      <c r="I99" s="805"/>
    </row>
    <row r="100" spans="2:9" ht="15" customHeight="1" thickBot="1" x14ac:dyDescent="0.35">
      <c r="F100" s="838">
        <f>SUM(F91:F95)</f>
        <v>2400</v>
      </c>
      <c r="G100" s="839">
        <f>SUM(G96:G97)</f>
        <v>8572.93</v>
      </c>
      <c r="H100" s="712" t="s">
        <v>412</v>
      </c>
    </row>
    <row r="101" spans="2:9" ht="15" customHeight="1" thickTop="1" x14ac:dyDescent="0.3">
      <c r="F101" s="885" t="s">
        <v>462</v>
      </c>
      <c r="G101" s="868">
        <f>G100*24%</f>
        <v>2057.5032000000001</v>
      </c>
      <c r="H101" s="800" t="s">
        <v>461</v>
      </c>
    </row>
    <row r="102" spans="2:9" ht="15" customHeight="1" thickBot="1" x14ac:dyDescent="0.35">
      <c r="G102" s="841">
        <f>G100+G101</f>
        <v>10630.433199999999</v>
      </c>
      <c r="H102" s="712" t="s">
        <v>414</v>
      </c>
    </row>
    <row r="103" spans="2:9" ht="15" customHeight="1" thickTop="1" x14ac:dyDescent="0.3"/>
  </sheetData>
  <mergeCells count="14">
    <mergeCell ref="X11:AB11"/>
    <mergeCell ref="AD11:AE11"/>
    <mergeCell ref="B89:F89"/>
    <mergeCell ref="H89:I89"/>
    <mergeCell ref="S11:T11"/>
    <mergeCell ref="B38:F38"/>
    <mergeCell ref="H38:I38"/>
    <mergeCell ref="B63:F63"/>
    <mergeCell ref="H63:I63"/>
    <mergeCell ref="B11:F11"/>
    <mergeCell ref="H11:I11"/>
    <mergeCell ref="M11:Q11"/>
    <mergeCell ref="M38:Q38"/>
    <mergeCell ref="S38:T3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B4B1-A1EC-4AC3-BA18-BDC8DF9E0A5E}">
  <sheetPr>
    <tabColor rgb="FF00B0F0"/>
  </sheetPr>
  <dimension ref="B2:F18"/>
  <sheetViews>
    <sheetView showGridLines="0" workbookViewId="0">
      <selection activeCell="B2" sqref="B2:F18"/>
    </sheetView>
  </sheetViews>
  <sheetFormatPr baseColWidth="10" defaultRowHeight="15.75" x14ac:dyDescent="0.25"/>
  <cols>
    <col min="1" max="1" width="11.42578125" style="1012"/>
    <col min="2" max="2" width="22" style="1012" customWidth="1"/>
    <col min="3" max="3" width="9.7109375" style="1012" customWidth="1"/>
    <col min="4" max="4" width="10.140625" style="1012" customWidth="1"/>
    <col min="5" max="5" width="11.85546875" style="1012" bestFit="1" customWidth="1"/>
    <col min="6" max="6" width="21.5703125" style="1012" customWidth="1"/>
    <col min="7" max="16384" width="11.42578125" style="1012"/>
  </cols>
  <sheetData>
    <row r="2" spans="2:6" ht="16.5" x14ac:dyDescent="0.3">
      <c r="B2" s="801" t="s">
        <v>1183</v>
      </c>
      <c r="C2" s="1015">
        <v>515</v>
      </c>
    </row>
    <row r="3" spans="2:6" ht="16.5" x14ac:dyDescent="0.3">
      <c r="B3" s="801" t="s">
        <v>62</v>
      </c>
      <c r="C3" s="1015" t="s">
        <v>1184</v>
      </c>
    </row>
    <row r="4" spans="2:6" ht="17.25" thickBot="1" x14ac:dyDescent="0.35">
      <c r="B4" s="801" t="s">
        <v>463</v>
      </c>
      <c r="C4" s="1015" t="s">
        <v>1185</v>
      </c>
    </row>
    <row r="5" spans="2:6" s="1013" customFormat="1" ht="38.25" customHeight="1" thickBot="1" x14ac:dyDescent="0.3">
      <c r="B5" s="1036" t="s">
        <v>1186</v>
      </c>
      <c r="C5" s="1037" t="s">
        <v>54</v>
      </c>
      <c r="D5" s="1038" t="s">
        <v>1187</v>
      </c>
      <c r="E5" s="1038" t="s">
        <v>1188</v>
      </c>
      <c r="F5" s="1039" t="s">
        <v>1189</v>
      </c>
    </row>
    <row r="6" spans="2:6" x14ac:dyDescent="0.25">
      <c r="B6" s="1032" t="s">
        <v>1190</v>
      </c>
      <c r="C6" s="1033">
        <v>180</v>
      </c>
      <c r="D6" s="1034">
        <v>7140</v>
      </c>
      <c r="E6" s="1035">
        <f>+C6*D6/1000</f>
        <v>1285.2</v>
      </c>
      <c r="F6" s="1501">
        <f>+E16*C2</f>
        <v>4493596.9649999999</v>
      </c>
    </row>
    <row r="7" spans="2:6" x14ac:dyDescent="0.25">
      <c r="B7" s="1028" t="s">
        <v>1191</v>
      </c>
      <c r="C7" s="1016">
        <v>20</v>
      </c>
      <c r="D7" s="1017">
        <f>+'Prec Materia Prima y Empaq'!J100</f>
        <v>48195</v>
      </c>
      <c r="E7" s="1018">
        <f t="shared" ref="E7:E8" si="0">+C7*D7/1000</f>
        <v>963.9</v>
      </c>
      <c r="F7" s="1501"/>
    </row>
    <row r="8" spans="2:6" x14ac:dyDescent="0.25">
      <c r="B8" s="1028" t="s">
        <v>1192</v>
      </c>
      <c r="C8" s="1016">
        <v>10</v>
      </c>
      <c r="D8" s="1017">
        <v>23800</v>
      </c>
      <c r="E8" s="1018">
        <f t="shared" si="0"/>
        <v>238</v>
      </c>
      <c r="F8" s="1501"/>
    </row>
    <row r="9" spans="2:6" x14ac:dyDescent="0.25">
      <c r="B9" s="1028" t="s">
        <v>1193</v>
      </c>
      <c r="C9" s="1016">
        <v>1</v>
      </c>
      <c r="D9" s="1017">
        <v>9401</v>
      </c>
      <c r="E9" s="1018">
        <f>+C9*D9/1000</f>
        <v>9.4009999999999998</v>
      </c>
      <c r="F9" s="1501"/>
    </row>
    <row r="10" spans="2:6" x14ac:dyDescent="0.25">
      <c r="B10" s="1028" t="s">
        <v>1194</v>
      </c>
      <c r="C10" s="1016">
        <v>240</v>
      </c>
      <c r="D10" s="1017">
        <v>3150</v>
      </c>
      <c r="E10" s="1017">
        <f>+C10*D10/1000</f>
        <v>756</v>
      </c>
      <c r="F10" s="1501"/>
    </row>
    <row r="11" spans="2:6" x14ac:dyDescent="0.25">
      <c r="B11" s="1028" t="s">
        <v>1195</v>
      </c>
      <c r="C11" s="1016">
        <v>1</v>
      </c>
      <c r="D11" s="1017">
        <v>850</v>
      </c>
      <c r="E11" s="1017">
        <f t="shared" ref="E11:E12" si="1">+C11*D11</f>
        <v>850</v>
      </c>
      <c r="F11" s="1501"/>
    </row>
    <row r="12" spans="2:6" ht="16.5" thickBot="1" x14ac:dyDescent="0.3">
      <c r="B12" s="1029" t="s">
        <v>1196</v>
      </c>
      <c r="C12" s="1030">
        <v>1</v>
      </c>
      <c r="D12" s="1031">
        <v>950</v>
      </c>
      <c r="E12" s="1031">
        <f t="shared" si="1"/>
        <v>950</v>
      </c>
      <c r="F12" s="1502"/>
    </row>
    <row r="13" spans="2:6" ht="11.25" customHeight="1" x14ac:dyDescent="0.25">
      <c r="C13" s="1015"/>
      <c r="D13" s="1023"/>
      <c r="E13" s="1023"/>
      <c r="F13" s="1024"/>
    </row>
    <row r="14" spans="2:6" x14ac:dyDescent="0.25">
      <c r="C14" s="1027">
        <f>+C6+C7+C8+C10</f>
        <v>450</v>
      </c>
      <c r="D14" s="1025">
        <f>SUM(D6:D12)</f>
        <v>93486</v>
      </c>
      <c r="E14" s="1025">
        <f>SUM(E6:E12)</f>
        <v>5052.5010000000002</v>
      </c>
      <c r="F14" s="1025" t="s">
        <v>1197</v>
      </c>
    </row>
    <row r="15" spans="2:6" x14ac:dyDescent="0.25">
      <c r="C15" s="1015"/>
      <c r="D15" s="1014"/>
      <c r="E15" s="1022">
        <f>+'Gtos Varios'!I14</f>
        <v>3672.93</v>
      </c>
      <c r="F15" s="1022" t="s">
        <v>1180</v>
      </c>
    </row>
    <row r="16" spans="2:6" x14ac:dyDescent="0.25">
      <c r="C16" s="1015"/>
      <c r="D16" s="1014"/>
      <c r="E16" s="1014">
        <f>SUM(E14:E15)</f>
        <v>8725.4310000000005</v>
      </c>
      <c r="F16" s="1014" t="s">
        <v>412</v>
      </c>
    </row>
    <row r="17" spans="5:6" x14ac:dyDescent="0.25">
      <c r="E17" s="1019">
        <f>+E18-E16</f>
        <v>4274.5689999999995</v>
      </c>
      <c r="F17" s="1020" t="s">
        <v>1199</v>
      </c>
    </row>
    <row r="18" spans="5:6" x14ac:dyDescent="0.25">
      <c r="E18" s="1026">
        <v>13000</v>
      </c>
      <c r="F18" s="1021" t="s">
        <v>1198</v>
      </c>
    </row>
  </sheetData>
  <mergeCells count="1">
    <mergeCell ref="F6:F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DD48-5EA6-444C-9333-005D610A46DD}">
  <sheetPr>
    <tabColor rgb="FF00B0F0"/>
  </sheetPr>
  <dimension ref="A3:CJ279"/>
  <sheetViews>
    <sheetView topLeftCell="AB41" zoomScale="60" zoomScaleNormal="60" workbookViewId="0">
      <selection activeCell="AK60" sqref="AK60"/>
    </sheetView>
  </sheetViews>
  <sheetFormatPr baseColWidth="10" defaultRowHeight="15" customHeight="1" x14ac:dyDescent="0.3"/>
  <cols>
    <col min="1" max="1" width="11.42578125" style="712"/>
    <col min="2" max="2" width="18" style="712" customWidth="1"/>
    <col min="3" max="3" width="31.28515625" style="712" customWidth="1"/>
    <col min="4" max="4" width="16.42578125" style="712" customWidth="1"/>
    <col min="5" max="5" width="17.5703125" style="724" customWidth="1"/>
    <col min="6" max="6" width="17.140625" style="712" customWidth="1"/>
    <col min="7" max="7" width="18.85546875" style="712" customWidth="1"/>
    <col min="8" max="8" width="19.7109375" style="712" customWidth="1"/>
    <col min="9" max="9" width="12.140625" style="712" customWidth="1"/>
    <col min="10" max="10" width="12.85546875" style="712" customWidth="1"/>
    <col min="11" max="11" width="17.140625" style="712" customWidth="1"/>
    <col min="12" max="13" width="11.42578125" style="712"/>
    <col min="14" max="14" width="10.85546875" style="712" customWidth="1"/>
    <col min="15" max="15" width="11.42578125" style="876"/>
    <col min="16" max="16" width="11.42578125" style="712"/>
    <col min="17" max="17" width="18" style="712" customWidth="1"/>
    <col min="18" max="18" width="31.28515625" style="712" customWidth="1"/>
    <col min="19" max="19" width="16.42578125" style="712" customWidth="1"/>
    <col min="20" max="20" width="17.5703125" style="724" customWidth="1"/>
    <col min="21" max="21" width="19.42578125" style="712" customWidth="1"/>
    <col min="22" max="22" width="18.85546875" style="712" customWidth="1"/>
    <col min="23" max="23" width="19.7109375" style="712" customWidth="1"/>
    <col min="24" max="24" width="12.140625" style="712" customWidth="1"/>
    <col min="25" max="25" width="12.85546875" style="712" customWidth="1"/>
    <col min="26" max="26" width="17.140625" style="712" customWidth="1"/>
    <col min="27" max="29" width="11.42578125" style="712"/>
    <col min="30" max="30" width="11.42578125" style="876"/>
    <col min="31" max="31" width="11.42578125" style="712"/>
    <col min="32" max="32" width="18" style="712" customWidth="1"/>
    <col min="33" max="33" width="31.28515625" style="712" customWidth="1"/>
    <col min="34" max="34" width="16.42578125" style="712" customWidth="1"/>
    <col min="35" max="35" width="17.5703125" style="724" customWidth="1"/>
    <col min="36" max="36" width="19.42578125" style="712" customWidth="1"/>
    <col min="37" max="37" width="18.85546875" style="712" customWidth="1"/>
    <col min="38" max="38" width="19.7109375" style="712" customWidth="1"/>
    <col min="39" max="39" width="12.140625" style="712" customWidth="1"/>
    <col min="40" max="40" width="12.85546875" style="712" customWidth="1"/>
    <col min="41" max="41" width="17.140625" style="712" customWidth="1"/>
    <col min="42" max="44" width="11.42578125" style="712"/>
    <col min="45" max="45" width="11.42578125" style="876"/>
    <col min="46" max="46" width="11.42578125" style="712"/>
    <col min="47" max="47" width="18" style="712" customWidth="1"/>
    <col min="48" max="48" width="31.28515625" style="712" customWidth="1"/>
    <col min="49" max="49" width="16.42578125" style="712" customWidth="1"/>
    <col min="50" max="50" width="17.5703125" style="724" customWidth="1"/>
    <col min="51" max="51" width="19.42578125" style="712" customWidth="1"/>
    <col min="52" max="52" width="18.85546875" style="712" customWidth="1"/>
    <col min="53" max="53" width="19.7109375" style="712" customWidth="1"/>
    <col min="54" max="54" width="12.140625" style="712" customWidth="1"/>
    <col min="55" max="55" width="12.85546875" style="712" customWidth="1"/>
    <col min="56" max="56" width="17.140625" style="712" customWidth="1"/>
    <col min="57" max="59" width="11.42578125" style="712"/>
    <col min="60" max="60" width="11.42578125" style="876"/>
    <col min="61" max="61" width="11.42578125" style="712"/>
    <col min="62" max="62" width="18" style="712" customWidth="1"/>
    <col min="63" max="63" width="31.28515625" style="712" customWidth="1"/>
    <col min="64" max="64" width="16.42578125" style="712" customWidth="1"/>
    <col min="65" max="65" width="17.5703125" style="724" customWidth="1"/>
    <col min="66" max="66" width="19.42578125" style="712" customWidth="1"/>
    <col min="67" max="67" width="18.85546875" style="712" customWidth="1"/>
    <col min="68" max="68" width="19.7109375" style="712" customWidth="1"/>
    <col min="69" max="69" width="12.140625" style="712" customWidth="1"/>
    <col min="70" max="70" width="12.85546875" style="712" customWidth="1"/>
    <col min="71" max="71" width="17.140625" style="712" customWidth="1"/>
    <col min="72" max="74" width="11.42578125" style="712"/>
    <col min="75" max="75" width="11.42578125" style="876"/>
    <col min="76" max="76" width="11.42578125" style="712"/>
    <col min="77" max="77" width="18" style="712" customWidth="1"/>
    <col min="78" max="78" width="31.28515625" style="712" customWidth="1"/>
    <col min="79" max="79" width="16.42578125" style="712" customWidth="1"/>
    <col min="80" max="80" width="17.5703125" style="724" customWidth="1"/>
    <col min="81" max="81" width="19.42578125" style="712" customWidth="1"/>
    <col min="82" max="82" width="18.85546875" style="712" customWidth="1"/>
    <col min="83" max="83" width="19.7109375" style="712" customWidth="1"/>
    <col min="84" max="84" width="12.140625" style="712" customWidth="1"/>
    <col min="85" max="85" width="12.85546875" style="712" customWidth="1"/>
    <col min="86" max="86" width="17.140625" style="712" customWidth="1"/>
    <col min="87" max="16384" width="11.42578125" style="712"/>
  </cols>
  <sheetData>
    <row r="3" spans="1:88" ht="15" customHeight="1" x14ac:dyDescent="0.3">
      <c r="C3" s="802" t="s">
        <v>61</v>
      </c>
      <c r="D3" s="801" t="s">
        <v>334</v>
      </c>
      <c r="E3" s="712"/>
      <c r="R3" s="802" t="s">
        <v>61</v>
      </c>
      <c r="S3" s="801" t="s">
        <v>337</v>
      </c>
      <c r="T3" s="712"/>
      <c r="AG3" s="802" t="s">
        <v>61</v>
      </c>
      <c r="AH3" s="801" t="s">
        <v>339</v>
      </c>
      <c r="AI3" s="712"/>
      <c r="AV3" s="802" t="s">
        <v>61</v>
      </c>
      <c r="AW3" s="801" t="s">
        <v>345</v>
      </c>
      <c r="AX3" s="712"/>
      <c r="BK3" s="802" t="s">
        <v>61</v>
      </c>
      <c r="BL3" s="801" t="s">
        <v>347</v>
      </c>
      <c r="BM3" s="712"/>
      <c r="BZ3" s="802" t="s">
        <v>61</v>
      </c>
      <c r="CA3" s="801" t="s">
        <v>349</v>
      </c>
      <c r="CB3" s="712"/>
    </row>
    <row r="4" spans="1:88" ht="15" customHeight="1" x14ac:dyDescent="0.3">
      <c r="C4" s="802" t="s">
        <v>62</v>
      </c>
      <c r="D4" s="801" t="str">
        <f>VLOOKUP(D3,LISTPROD[],2,FALSE)</f>
        <v>RESCATE (Gotas)</v>
      </c>
      <c r="E4" s="712"/>
      <c r="R4" s="802" t="s">
        <v>62</v>
      </c>
      <c r="S4" s="801" t="str">
        <f>VLOOKUP(S3,LISTPROD[],2,FALSE)</f>
        <v>STRESS (Gotas)</v>
      </c>
      <c r="T4" s="712"/>
      <c r="AG4" s="802" t="s">
        <v>62</v>
      </c>
      <c r="AH4" s="801" t="str">
        <f>VLOOKUP(AH3,LISTPROD[],2,FALSE)</f>
        <v>VICIOS (Gotas)</v>
      </c>
      <c r="AI4" s="712"/>
      <c r="AV4" s="802" t="s">
        <v>62</v>
      </c>
      <c r="AW4" s="801" t="str">
        <f>VLOOKUP(AW3,LISTPROD[],2,FALSE)</f>
        <v>INSOMNIO (Gotas)</v>
      </c>
      <c r="AX4" s="712"/>
      <c r="BK4" s="802" t="s">
        <v>62</v>
      </c>
      <c r="BL4" s="801" t="str">
        <f>VLOOKUP(BL3,LISTPROD[],2,FALSE)</f>
        <v>ESTRELLA DE BELEN (Gotas)</v>
      </c>
      <c r="BM4" s="712"/>
      <c r="BZ4" s="802" t="s">
        <v>62</v>
      </c>
      <c r="CA4" s="801" t="str">
        <f>VLOOKUP(CA3,LISTPROD[],2,FALSE)</f>
        <v>PASSIFLORA (Gotas)</v>
      </c>
      <c r="CB4" s="712"/>
    </row>
    <row r="5" spans="1:88" ht="15" customHeight="1" x14ac:dyDescent="0.3">
      <c r="C5" s="802" t="s">
        <v>234</v>
      </c>
      <c r="D5" s="801" t="str">
        <f>VLOOKUP(D3,LISTPROD[],9,FALSE)</f>
        <v>25 ML</v>
      </c>
      <c r="E5" s="712"/>
      <c r="R5" s="802" t="s">
        <v>234</v>
      </c>
      <c r="S5" s="801" t="str">
        <f>VLOOKUP(S3,LISTPROD[],9,FALSE)</f>
        <v>25 ML</v>
      </c>
      <c r="T5" s="712"/>
      <c r="AG5" s="802" t="s">
        <v>234</v>
      </c>
      <c r="AH5" s="801" t="str">
        <f>VLOOKUP(AH3,LISTPROD[],9,FALSE)</f>
        <v>25 ML</v>
      </c>
      <c r="AI5" s="712"/>
      <c r="AV5" s="802" t="s">
        <v>234</v>
      </c>
      <c r="AW5" s="801" t="str">
        <f>VLOOKUP(AW3,LISTPROD[],9,FALSE)</f>
        <v>25 ML</v>
      </c>
      <c r="AX5" s="712"/>
      <c r="BK5" s="802" t="s">
        <v>234</v>
      </c>
      <c r="BL5" s="801" t="str">
        <f>VLOOKUP(BL3,LISTPROD[],9,FALSE)</f>
        <v>25 ML</v>
      </c>
      <c r="BM5" s="712"/>
      <c r="BZ5" s="802" t="s">
        <v>234</v>
      </c>
      <c r="CA5" s="801" t="str">
        <f>VLOOKUP(CA3,LISTPROD[],9,FALSE)</f>
        <v>25 ML</v>
      </c>
      <c r="CB5" s="712"/>
    </row>
    <row r="6" spans="1:88" ht="15" customHeight="1" x14ac:dyDescent="0.3">
      <c r="C6" s="802" t="s">
        <v>239</v>
      </c>
      <c r="D6" s="801"/>
      <c r="E6" s="800"/>
      <c r="R6" s="802" t="s">
        <v>239</v>
      </c>
      <c r="S6" s="801"/>
      <c r="T6" s="800"/>
      <c r="AG6" s="802" t="s">
        <v>239</v>
      </c>
      <c r="AH6" s="801"/>
      <c r="AI6" s="800"/>
      <c r="AV6" s="802" t="s">
        <v>239</v>
      </c>
      <c r="AW6" s="801"/>
      <c r="AX6" s="800"/>
      <c r="BK6" s="802" t="s">
        <v>239</v>
      </c>
      <c r="BL6" s="801"/>
      <c r="BM6" s="800"/>
      <c r="BZ6" s="802" t="s">
        <v>239</v>
      </c>
      <c r="CA6" s="801"/>
      <c r="CB6" s="800"/>
    </row>
    <row r="7" spans="1:88" ht="41.25" customHeight="1" x14ac:dyDescent="0.3">
      <c r="C7" s="893" t="s">
        <v>436</v>
      </c>
      <c r="D7" s="801">
        <f>25*F7</f>
        <v>2500</v>
      </c>
      <c r="E7" s="894" t="s">
        <v>437</v>
      </c>
      <c r="F7" s="720">
        <v>100</v>
      </c>
      <c r="R7" s="893" t="s">
        <v>436</v>
      </c>
      <c r="S7" s="801">
        <f>25*U7</f>
        <v>2500</v>
      </c>
      <c r="T7" s="894" t="s">
        <v>437</v>
      </c>
      <c r="U7" s="720">
        <v>100</v>
      </c>
      <c r="AG7" s="893" t="s">
        <v>436</v>
      </c>
      <c r="AH7" s="801">
        <f>25*AJ7</f>
        <v>2500</v>
      </c>
      <c r="AI7" s="894" t="s">
        <v>437</v>
      </c>
      <c r="AJ7" s="720">
        <v>100</v>
      </c>
      <c r="AV7" s="893" t="s">
        <v>436</v>
      </c>
      <c r="AW7" s="801">
        <f>25*AY7</f>
        <v>2500</v>
      </c>
      <c r="AX7" s="894" t="s">
        <v>437</v>
      </c>
      <c r="AY7" s="720">
        <v>100</v>
      </c>
      <c r="BK7" s="893" t="s">
        <v>436</v>
      </c>
      <c r="BL7" s="801">
        <f>25*BN7</f>
        <v>2500</v>
      </c>
      <c r="BM7" s="894" t="s">
        <v>437</v>
      </c>
      <c r="BN7" s="720">
        <v>100</v>
      </c>
      <c r="BZ7" s="893" t="s">
        <v>436</v>
      </c>
      <c r="CA7" s="801">
        <f>25*CC7</f>
        <v>2500</v>
      </c>
      <c r="CB7" s="894" t="s">
        <v>437</v>
      </c>
      <c r="CC7" s="720">
        <v>100</v>
      </c>
    </row>
    <row r="8" spans="1:88" ht="15" customHeight="1" x14ac:dyDescent="0.3">
      <c r="C8" s="802" t="s">
        <v>238</v>
      </c>
      <c r="D8" s="712" t="s">
        <v>438</v>
      </c>
      <c r="E8" s="800"/>
      <c r="R8" s="802" t="s">
        <v>238</v>
      </c>
      <c r="S8" s="712" t="s">
        <v>438</v>
      </c>
      <c r="T8" s="800"/>
      <c r="AG8" s="802" t="s">
        <v>238</v>
      </c>
      <c r="AH8" s="712" t="s">
        <v>438</v>
      </c>
      <c r="AI8" s="800"/>
      <c r="AV8" s="802" t="s">
        <v>238</v>
      </c>
      <c r="AW8" s="712" t="s">
        <v>438</v>
      </c>
      <c r="AX8" s="800"/>
      <c r="BK8" s="802" t="s">
        <v>238</v>
      </c>
      <c r="BL8" s="712" t="s">
        <v>438</v>
      </c>
      <c r="BM8" s="800"/>
      <c r="BZ8" s="802" t="s">
        <v>238</v>
      </c>
      <c r="CA8" s="712" t="s">
        <v>438</v>
      </c>
      <c r="CB8" s="800"/>
    </row>
    <row r="9" spans="1:88" ht="15" customHeight="1" thickBot="1" x14ac:dyDescent="0.35">
      <c r="C9" s="806"/>
      <c r="D9" s="806"/>
      <c r="E9" s="895"/>
      <c r="F9" s="800"/>
      <c r="R9" s="806"/>
      <c r="S9" s="806"/>
      <c r="T9" s="895"/>
      <c r="U9" s="800"/>
      <c r="AG9" s="806"/>
      <c r="AH9" s="806"/>
      <c r="AI9" s="895"/>
      <c r="AJ9" s="800"/>
      <c r="AV9" s="806"/>
      <c r="AW9" s="806"/>
      <c r="AX9" s="895"/>
      <c r="AY9" s="800"/>
      <c r="BK9" s="806"/>
      <c r="BL9" s="806"/>
      <c r="BM9" s="895"/>
      <c r="BN9" s="800"/>
      <c r="BZ9" s="806"/>
      <c r="CA9" s="806"/>
      <c r="CB9" s="895"/>
      <c r="CC9" s="800"/>
    </row>
    <row r="10" spans="1:88" ht="15" customHeight="1" thickBot="1" x14ac:dyDescent="0.35">
      <c r="A10" s="722"/>
      <c r="B10" s="722"/>
      <c r="C10" s="1507" t="s">
        <v>404</v>
      </c>
      <c r="D10" s="1508"/>
      <c r="E10" s="1508"/>
      <c r="F10" s="1508"/>
      <c r="G10" s="1509"/>
      <c r="H10" s="1510" t="s">
        <v>411</v>
      </c>
      <c r="I10" s="1512" t="s">
        <v>435</v>
      </c>
      <c r="J10" s="1513"/>
      <c r="K10" s="1514" t="s">
        <v>411</v>
      </c>
      <c r="L10" s="1503" t="s">
        <v>529</v>
      </c>
      <c r="M10" s="1504"/>
      <c r="Q10" s="722"/>
      <c r="R10" s="1507" t="s">
        <v>404</v>
      </c>
      <c r="S10" s="1508"/>
      <c r="T10" s="1508"/>
      <c r="U10" s="1508"/>
      <c r="V10" s="1509"/>
      <c r="W10" s="1510" t="s">
        <v>411</v>
      </c>
      <c r="X10" s="1512" t="s">
        <v>435</v>
      </c>
      <c r="Y10" s="1513"/>
      <c r="Z10" s="1514" t="s">
        <v>411</v>
      </c>
      <c r="AA10" s="1503" t="s">
        <v>529</v>
      </c>
      <c r="AB10" s="1504"/>
      <c r="AF10" s="722"/>
      <c r="AG10" s="1507" t="s">
        <v>404</v>
      </c>
      <c r="AH10" s="1508"/>
      <c r="AI10" s="1508"/>
      <c r="AJ10" s="1508"/>
      <c r="AK10" s="1509"/>
      <c r="AL10" s="1510" t="s">
        <v>411</v>
      </c>
      <c r="AM10" s="1512" t="s">
        <v>435</v>
      </c>
      <c r="AN10" s="1513"/>
      <c r="AO10" s="1514" t="s">
        <v>411</v>
      </c>
      <c r="AP10" s="1503" t="s">
        <v>529</v>
      </c>
      <c r="AQ10" s="1504"/>
      <c r="AU10" s="722"/>
      <c r="AV10" s="1507" t="s">
        <v>404</v>
      </c>
      <c r="AW10" s="1508"/>
      <c r="AX10" s="1508"/>
      <c r="AY10" s="1508"/>
      <c r="AZ10" s="1509"/>
      <c r="BA10" s="1510" t="s">
        <v>411</v>
      </c>
      <c r="BB10" s="1512" t="s">
        <v>435</v>
      </c>
      <c r="BC10" s="1513"/>
      <c r="BD10" s="1514" t="s">
        <v>411</v>
      </c>
      <c r="BE10" s="1503" t="s">
        <v>529</v>
      </c>
      <c r="BF10" s="1504"/>
      <c r="BJ10" s="722"/>
      <c r="BK10" s="1507" t="s">
        <v>404</v>
      </c>
      <c r="BL10" s="1508"/>
      <c r="BM10" s="1508"/>
      <c r="BN10" s="1508"/>
      <c r="BO10" s="1509"/>
      <c r="BP10" s="1510" t="s">
        <v>411</v>
      </c>
      <c r="BQ10" s="1512" t="s">
        <v>435</v>
      </c>
      <c r="BR10" s="1513"/>
      <c r="BS10" s="1514" t="s">
        <v>411</v>
      </c>
      <c r="BT10" s="1503" t="s">
        <v>529</v>
      </c>
      <c r="BU10" s="1504"/>
      <c r="BY10" s="722"/>
      <c r="BZ10" s="1507" t="s">
        <v>404</v>
      </c>
      <c r="CA10" s="1508"/>
      <c r="CB10" s="1508"/>
      <c r="CC10" s="1508"/>
      <c r="CD10" s="1509"/>
      <c r="CE10" s="1510" t="s">
        <v>411</v>
      </c>
      <c r="CF10" s="1512" t="s">
        <v>435</v>
      </c>
      <c r="CG10" s="1513"/>
      <c r="CH10" s="1514" t="s">
        <v>411</v>
      </c>
      <c r="CI10" s="1503" t="s">
        <v>529</v>
      </c>
      <c r="CJ10" s="1504"/>
    </row>
    <row r="11" spans="1:88" ht="56.25" customHeight="1" thickBot="1" x14ac:dyDescent="0.35">
      <c r="A11" s="809"/>
      <c r="B11" s="896" t="s">
        <v>391</v>
      </c>
      <c r="C11" s="897" t="s">
        <v>398</v>
      </c>
      <c r="D11" s="898" t="s">
        <v>441</v>
      </c>
      <c r="E11" s="899" t="s">
        <v>399</v>
      </c>
      <c r="F11" s="900" t="s">
        <v>402</v>
      </c>
      <c r="G11" s="901" t="s">
        <v>399</v>
      </c>
      <c r="H11" s="1511"/>
      <c r="I11" s="902" t="s">
        <v>408</v>
      </c>
      <c r="J11" s="903" t="s">
        <v>415</v>
      </c>
      <c r="K11" s="1515"/>
      <c r="L11" s="904" t="s">
        <v>408</v>
      </c>
      <c r="M11" s="905" t="s">
        <v>415</v>
      </c>
      <c r="Q11" s="896" t="s">
        <v>391</v>
      </c>
      <c r="R11" s="897" t="s">
        <v>398</v>
      </c>
      <c r="S11" s="898" t="s">
        <v>441</v>
      </c>
      <c r="T11" s="899" t="s">
        <v>399</v>
      </c>
      <c r="U11" s="900" t="s">
        <v>402</v>
      </c>
      <c r="V11" s="901" t="s">
        <v>399</v>
      </c>
      <c r="W11" s="1511"/>
      <c r="X11" s="902" t="s">
        <v>408</v>
      </c>
      <c r="Y11" s="903" t="s">
        <v>415</v>
      </c>
      <c r="Z11" s="1515"/>
      <c r="AA11" s="904" t="s">
        <v>408</v>
      </c>
      <c r="AB11" s="905" t="s">
        <v>415</v>
      </c>
      <c r="AF11" s="896" t="s">
        <v>391</v>
      </c>
      <c r="AG11" s="897" t="s">
        <v>398</v>
      </c>
      <c r="AH11" s="898" t="s">
        <v>441</v>
      </c>
      <c r="AI11" s="899" t="s">
        <v>399</v>
      </c>
      <c r="AJ11" s="900" t="s">
        <v>402</v>
      </c>
      <c r="AK11" s="901" t="s">
        <v>399</v>
      </c>
      <c r="AL11" s="1511"/>
      <c r="AM11" s="902" t="s">
        <v>408</v>
      </c>
      <c r="AN11" s="903" t="s">
        <v>415</v>
      </c>
      <c r="AO11" s="1515"/>
      <c r="AP11" s="904" t="s">
        <v>408</v>
      </c>
      <c r="AQ11" s="905" t="s">
        <v>415</v>
      </c>
      <c r="AU11" s="896" t="s">
        <v>391</v>
      </c>
      <c r="AV11" s="897" t="s">
        <v>398</v>
      </c>
      <c r="AW11" s="898" t="s">
        <v>441</v>
      </c>
      <c r="AX11" s="899" t="s">
        <v>399</v>
      </c>
      <c r="AY11" s="900" t="s">
        <v>402</v>
      </c>
      <c r="AZ11" s="901" t="s">
        <v>399</v>
      </c>
      <c r="BA11" s="1511"/>
      <c r="BB11" s="902" t="s">
        <v>408</v>
      </c>
      <c r="BC11" s="903" t="s">
        <v>415</v>
      </c>
      <c r="BD11" s="1515"/>
      <c r="BE11" s="904" t="s">
        <v>408</v>
      </c>
      <c r="BF11" s="905" t="s">
        <v>415</v>
      </c>
      <c r="BJ11" s="896" t="s">
        <v>391</v>
      </c>
      <c r="BK11" s="897" t="s">
        <v>398</v>
      </c>
      <c r="BL11" s="898" t="s">
        <v>441</v>
      </c>
      <c r="BM11" s="899" t="s">
        <v>399</v>
      </c>
      <c r="BN11" s="900" t="s">
        <v>402</v>
      </c>
      <c r="BO11" s="901" t="s">
        <v>399</v>
      </c>
      <c r="BP11" s="1511"/>
      <c r="BQ11" s="902" t="s">
        <v>408</v>
      </c>
      <c r="BR11" s="903" t="s">
        <v>415</v>
      </c>
      <c r="BS11" s="1515"/>
      <c r="BT11" s="904" t="s">
        <v>408</v>
      </c>
      <c r="BU11" s="905" t="s">
        <v>415</v>
      </c>
      <c r="BY11" s="896" t="s">
        <v>391</v>
      </c>
      <c r="BZ11" s="897" t="s">
        <v>398</v>
      </c>
      <c r="CA11" s="898" t="s">
        <v>441</v>
      </c>
      <c r="CB11" s="899" t="s">
        <v>399</v>
      </c>
      <c r="CC11" s="900" t="s">
        <v>402</v>
      </c>
      <c r="CD11" s="901" t="s">
        <v>399</v>
      </c>
      <c r="CE11" s="1511"/>
      <c r="CF11" s="902" t="s">
        <v>408</v>
      </c>
      <c r="CG11" s="903" t="s">
        <v>415</v>
      </c>
      <c r="CH11" s="1515"/>
      <c r="CI11" s="904" t="s">
        <v>408</v>
      </c>
      <c r="CJ11" s="905" t="s">
        <v>415</v>
      </c>
    </row>
    <row r="12" spans="1:88" ht="24.95" customHeight="1" thickBot="1" x14ac:dyDescent="0.35">
      <c r="A12" s="817"/>
      <c r="B12" s="906" t="s">
        <v>510</v>
      </c>
      <c r="C12" s="907" t="s">
        <v>319</v>
      </c>
      <c r="D12" s="908">
        <v>25</v>
      </c>
      <c r="E12" s="909">
        <f>'Prec Materia Prima y Empaq'!$H$80</f>
        <v>50000</v>
      </c>
      <c r="F12" s="910">
        <f>E12*19%</f>
        <v>9500</v>
      </c>
      <c r="G12" s="911">
        <f>+F12+E12</f>
        <v>59500</v>
      </c>
      <c r="H12" s="912">
        <f>G12/D12*I12</f>
        <v>2380</v>
      </c>
      <c r="I12" s="913">
        <v>1</v>
      </c>
      <c r="J12" s="914" t="s">
        <v>56</v>
      </c>
      <c r="K12" s="819">
        <f>G12/$D12*L12</f>
        <v>23.8</v>
      </c>
      <c r="L12" s="915">
        <f>I12/F7</f>
        <v>0.01</v>
      </c>
      <c r="M12" s="916" t="s">
        <v>56</v>
      </c>
      <c r="Q12" s="906" t="s">
        <v>510</v>
      </c>
      <c r="R12" s="907" t="s">
        <v>360</v>
      </c>
      <c r="S12" s="908">
        <v>25</v>
      </c>
      <c r="T12" s="909">
        <f>'Prec Materia Prima y Empaq'!$H$85</f>
        <v>50000</v>
      </c>
      <c r="U12" s="910">
        <f>T12*19%</f>
        <v>9500</v>
      </c>
      <c r="V12" s="911">
        <f>+U12+T12</f>
        <v>59500</v>
      </c>
      <c r="W12" s="912">
        <f>V12/S12*X12</f>
        <v>2380</v>
      </c>
      <c r="X12" s="913">
        <v>1</v>
      </c>
      <c r="Y12" s="916" t="s">
        <v>56</v>
      </c>
      <c r="Z12" s="819">
        <f t="shared" ref="Z12:Z18" si="0">V12/$D12*AA12</f>
        <v>23.8</v>
      </c>
      <c r="AA12" s="915">
        <f>X12/U7</f>
        <v>0.01</v>
      </c>
      <c r="AB12" s="916" t="s">
        <v>56</v>
      </c>
      <c r="AF12" s="906" t="s">
        <v>510</v>
      </c>
      <c r="AG12" s="907" t="s">
        <v>316</v>
      </c>
      <c r="AH12" s="908">
        <v>25</v>
      </c>
      <c r="AI12" s="909">
        <f>'Prec Materia Prima y Empaq'!$H$89</f>
        <v>50000</v>
      </c>
      <c r="AJ12" s="910">
        <f>AI12*19%</f>
        <v>9500</v>
      </c>
      <c r="AK12" s="911">
        <f>+AJ12+AI12</f>
        <v>59500</v>
      </c>
      <c r="AL12" s="912">
        <f>AK12/AH12*AM12</f>
        <v>2380</v>
      </c>
      <c r="AM12" s="913">
        <v>1</v>
      </c>
      <c r="AN12" s="916" t="s">
        <v>56</v>
      </c>
      <c r="AO12" s="819">
        <f t="shared" ref="AO12:AO18" si="1">AK12/$D12*AP12</f>
        <v>23.8</v>
      </c>
      <c r="AP12" s="915">
        <f>AM12/AJ7</f>
        <v>0.01</v>
      </c>
      <c r="AQ12" s="916" t="s">
        <v>56</v>
      </c>
      <c r="AU12" s="906" t="s">
        <v>510</v>
      </c>
      <c r="AV12" s="917" t="s">
        <v>316</v>
      </c>
      <c r="AW12" s="908">
        <v>25</v>
      </c>
      <c r="AX12" s="909">
        <f>'Prec Materia Prima y Empaq'!$H$89</f>
        <v>50000</v>
      </c>
      <c r="AY12" s="910">
        <f>AX12*19%</f>
        <v>9500</v>
      </c>
      <c r="AZ12" s="911">
        <f>+AY12+AX12</f>
        <v>59500</v>
      </c>
      <c r="BA12" s="912">
        <f>AZ12/AW12*BB12</f>
        <v>3689</v>
      </c>
      <c r="BB12" s="913">
        <v>1.55</v>
      </c>
      <c r="BC12" s="916" t="s">
        <v>56</v>
      </c>
      <c r="BD12" s="819">
        <f t="shared" ref="BD12:BD17" si="2">AZ12/$D12*BE12</f>
        <v>36.89</v>
      </c>
      <c r="BE12" s="915">
        <f>BB12/AY7</f>
        <v>1.55E-2</v>
      </c>
      <c r="BF12" s="916" t="s">
        <v>56</v>
      </c>
      <c r="BJ12" s="906" t="s">
        <v>510</v>
      </c>
      <c r="BK12" s="907" t="s">
        <v>364</v>
      </c>
      <c r="BL12" s="908">
        <v>25</v>
      </c>
      <c r="BM12" s="909">
        <f>'Prec Materia Prima y Empaq'!$H$83</f>
        <v>50000</v>
      </c>
      <c r="BN12" s="910">
        <f>BM12*19%</f>
        <v>9500</v>
      </c>
      <c r="BO12" s="911">
        <f>+BN12+BM12</f>
        <v>59500</v>
      </c>
      <c r="BP12" s="912">
        <f>BO12/BL12*BQ12</f>
        <v>2380</v>
      </c>
      <c r="BQ12" s="913">
        <v>1</v>
      </c>
      <c r="BR12" s="916" t="s">
        <v>56</v>
      </c>
      <c r="BS12" s="819">
        <f t="shared" ref="BS12:BS18" si="3">BO12/$D12*BT12</f>
        <v>23.8</v>
      </c>
      <c r="BT12" s="915">
        <f>BQ12/BN7</f>
        <v>0.01</v>
      </c>
      <c r="BU12" s="916" t="s">
        <v>56</v>
      </c>
      <c r="BY12" s="906" t="s">
        <v>510</v>
      </c>
      <c r="BZ12" s="712" t="s">
        <v>531</v>
      </c>
      <c r="CA12" s="908">
        <v>25</v>
      </c>
      <c r="CB12" s="909">
        <f>'Prec Materia Prima y Empaq'!$H$91</f>
        <v>50000</v>
      </c>
      <c r="CC12" s="910">
        <f>CB12*19%</f>
        <v>9500</v>
      </c>
      <c r="CD12" s="911">
        <f>+CC12+CB12</f>
        <v>59500</v>
      </c>
      <c r="CE12" s="912">
        <f>CD12/CA12*CF12</f>
        <v>2380</v>
      </c>
      <c r="CF12" s="913">
        <v>1</v>
      </c>
      <c r="CG12" s="916" t="s">
        <v>56</v>
      </c>
      <c r="CH12" s="819">
        <f t="shared" ref="CH12" si="4">CD12/$D12*CI12</f>
        <v>23.8</v>
      </c>
      <c r="CI12" s="915">
        <f>CF12/CC7</f>
        <v>0.01</v>
      </c>
      <c r="CJ12" s="916" t="s">
        <v>56</v>
      </c>
    </row>
    <row r="13" spans="1:88" ht="24.95" customHeight="1" x14ac:dyDescent="0.3">
      <c r="A13" s="817"/>
      <c r="B13" s="918" t="s">
        <v>510</v>
      </c>
      <c r="C13" s="717" t="s">
        <v>361</v>
      </c>
      <c r="D13" s="919">
        <v>25</v>
      </c>
      <c r="E13" s="818">
        <f>'Prec Materia Prima y Empaq'!$H$81</f>
        <v>50000</v>
      </c>
      <c r="F13" s="819">
        <f t="shared" ref="F13:F16" si="5">E13*19%</f>
        <v>9500</v>
      </c>
      <c r="G13" s="920">
        <f t="shared" ref="G13:G23" si="6">+F13+E13</f>
        <v>59500</v>
      </c>
      <c r="H13" s="820">
        <f t="shared" ref="H13:H18" si="7">G13/D13*I13</f>
        <v>2380</v>
      </c>
      <c r="I13" s="921">
        <v>1</v>
      </c>
      <c r="J13" s="922" t="s">
        <v>56</v>
      </c>
      <c r="K13" s="819">
        <f t="shared" ref="K13:K17" si="8">G13/$D13*L13</f>
        <v>23.8</v>
      </c>
      <c r="L13" s="821">
        <f>I13/F7</f>
        <v>0.01</v>
      </c>
      <c r="M13" s="923" t="s">
        <v>56</v>
      </c>
      <c r="Q13" s="918" t="s">
        <v>510</v>
      </c>
      <c r="R13" s="717" t="s">
        <v>361</v>
      </c>
      <c r="S13" s="919">
        <v>25</v>
      </c>
      <c r="T13" s="818">
        <f>'Prec Materia Prima y Empaq'!$H$81</f>
        <v>50000</v>
      </c>
      <c r="U13" s="819">
        <f t="shared" ref="U13:U16" si="9">T13*19%</f>
        <v>9500</v>
      </c>
      <c r="V13" s="920">
        <f t="shared" ref="V13:V23" si="10">+U13+T13</f>
        <v>59500</v>
      </c>
      <c r="W13" s="820">
        <f t="shared" ref="W13:W18" si="11">V13/S13*X13</f>
        <v>2380</v>
      </c>
      <c r="X13" s="921">
        <v>1</v>
      </c>
      <c r="Y13" s="923" t="s">
        <v>56</v>
      </c>
      <c r="Z13" s="819">
        <f t="shared" si="0"/>
        <v>23.8</v>
      </c>
      <c r="AA13" s="821">
        <f>X13/U7</f>
        <v>0.01</v>
      </c>
      <c r="AB13" s="923" t="s">
        <v>56</v>
      </c>
      <c r="AF13" s="918" t="s">
        <v>510</v>
      </c>
      <c r="AG13" s="717" t="s">
        <v>530</v>
      </c>
      <c r="AH13" s="919">
        <v>25</v>
      </c>
      <c r="AI13" s="909">
        <f>'Prec Materia Prima y Empaq'!$H$90</f>
        <v>50000</v>
      </c>
      <c r="AJ13" s="819">
        <f t="shared" ref="AJ13:AJ16" si="12">AI13*19%</f>
        <v>9500</v>
      </c>
      <c r="AK13" s="920">
        <f t="shared" ref="AK13:AK23" si="13">+AJ13+AI13</f>
        <v>59500</v>
      </c>
      <c r="AL13" s="820">
        <f t="shared" ref="AL13:AL18" si="14">AK13/AH13*AM13</f>
        <v>2380</v>
      </c>
      <c r="AM13" s="921">
        <v>1</v>
      </c>
      <c r="AN13" s="923" t="s">
        <v>56</v>
      </c>
      <c r="AO13" s="819">
        <f t="shared" si="1"/>
        <v>23.8</v>
      </c>
      <c r="AP13" s="821">
        <f>AM13/AJ7</f>
        <v>0.01</v>
      </c>
      <c r="AQ13" s="923" t="s">
        <v>56</v>
      </c>
      <c r="AU13" s="918" t="s">
        <v>510</v>
      </c>
      <c r="AV13" s="714" t="s">
        <v>317</v>
      </c>
      <c r="AW13" s="919">
        <v>25</v>
      </c>
      <c r="AX13" s="818">
        <f>'Prec Materia Prima y Empaq'!$H$78</f>
        <v>50000</v>
      </c>
      <c r="AY13" s="819">
        <f t="shared" ref="AY13:AY15" si="15">AX13*19%</f>
        <v>9500</v>
      </c>
      <c r="AZ13" s="920">
        <f t="shared" ref="AZ13:AZ23" si="16">+AY13+AX13</f>
        <v>59500</v>
      </c>
      <c r="BA13" s="820">
        <f t="shared" ref="BA13:BA17" si="17">AZ13/AW13*BB13</f>
        <v>3689</v>
      </c>
      <c r="BB13" s="921">
        <v>1.55</v>
      </c>
      <c r="BC13" s="923" t="s">
        <v>56</v>
      </c>
      <c r="BD13" s="819">
        <f t="shared" si="2"/>
        <v>36.89</v>
      </c>
      <c r="BE13" s="821">
        <f>BB13/AY7</f>
        <v>1.55E-2</v>
      </c>
      <c r="BF13" s="923" t="s">
        <v>56</v>
      </c>
      <c r="BJ13" s="918" t="s">
        <v>510</v>
      </c>
      <c r="BK13" s="717" t="s">
        <v>365</v>
      </c>
      <c r="BL13" s="919">
        <v>25</v>
      </c>
      <c r="BM13" s="818">
        <f>'Prec Materia Prima y Empaq'!$H$84</f>
        <v>50000</v>
      </c>
      <c r="BN13" s="819">
        <f t="shared" ref="BN13:BN15" si="18">BM13*19%</f>
        <v>9500</v>
      </c>
      <c r="BO13" s="920">
        <f t="shared" ref="BO13:BO23" si="19">+BN13+BM13</f>
        <v>59500</v>
      </c>
      <c r="BP13" s="820">
        <f t="shared" ref="BP13:BP18" si="20">BO13/BL13*BQ13</f>
        <v>2380</v>
      </c>
      <c r="BQ13" s="921">
        <v>1</v>
      </c>
      <c r="BR13" s="923" t="s">
        <v>56</v>
      </c>
      <c r="BS13" s="819">
        <f t="shared" si="3"/>
        <v>23.8</v>
      </c>
      <c r="BT13" s="821">
        <f>BQ13/BN7</f>
        <v>0.01</v>
      </c>
      <c r="BU13" s="923" t="s">
        <v>56</v>
      </c>
      <c r="BY13" s="918"/>
      <c r="BZ13" s="717"/>
      <c r="CA13" s="919"/>
      <c r="CB13" s="818"/>
      <c r="CC13" s="819"/>
      <c r="CD13" s="920"/>
      <c r="CE13" s="820"/>
      <c r="CF13" s="921"/>
      <c r="CG13" s="923"/>
      <c r="CH13" s="924"/>
      <c r="CI13" s="821"/>
      <c r="CJ13" s="923"/>
    </row>
    <row r="14" spans="1:88" ht="24.95" customHeight="1" x14ac:dyDescent="0.3">
      <c r="A14" s="817"/>
      <c r="B14" s="918" t="s">
        <v>510</v>
      </c>
      <c r="C14" s="717" t="s">
        <v>366</v>
      </c>
      <c r="D14" s="919">
        <v>25</v>
      </c>
      <c r="E14" s="818">
        <f>'Prec Materia Prima y Empaq'!$H$82</f>
        <v>50000</v>
      </c>
      <c r="F14" s="819">
        <f t="shared" si="5"/>
        <v>9500</v>
      </c>
      <c r="G14" s="920">
        <f t="shared" si="6"/>
        <v>59500</v>
      </c>
      <c r="H14" s="820">
        <f t="shared" si="7"/>
        <v>2380</v>
      </c>
      <c r="I14" s="921">
        <v>1</v>
      </c>
      <c r="J14" s="922" t="s">
        <v>56</v>
      </c>
      <c r="K14" s="819">
        <f t="shared" si="8"/>
        <v>23.8</v>
      </c>
      <c r="L14" s="821">
        <f>I14/F7</f>
        <v>0.01</v>
      </c>
      <c r="M14" s="923" t="s">
        <v>56</v>
      </c>
      <c r="Q14" s="918" t="s">
        <v>510</v>
      </c>
      <c r="R14" s="717" t="s">
        <v>318</v>
      </c>
      <c r="S14" s="919">
        <v>25</v>
      </c>
      <c r="T14" s="818">
        <f>'Prec Materia Prima y Empaq'!$H$86</f>
        <v>50000</v>
      </c>
      <c r="U14" s="819">
        <f t="shared" si="9"/>
        <v>9500</v>
      </c>
      <c r="V14" s="920">
        <f t="shared" si="10"/>
        <v>59500</v>
      </c>
      <c r="W14" s="820">
        <f t="shared" si="11"/>
        <v>2380</v>
      </c>
      <c r="X14" s="921">
        <v>1</v>
      </c>
      <c r="Y14" s="923" t="s">
        <v>56</v>
      </c>
      <c r="Z14" s="819">
        <f t="shared" si="0"/>
        <v>23.8</v>
      </c>
      <c r="AA14" s="821">
        <f>X14/U7</f>
        <v>0.01</v>
      </c>
      <c r="AB14" s="923" t="s">
        <v>56</v>
      </c>
      <c r="AF14" s="918" t="s">
        <v>510</v>
      </c>
      <c r="AG14" s="717" t="s">
        <v>317</v>
      </c>
      <c r="AH14" s="919">
        <v>25</v>
      </c>
      <c r="AI14" s="818">
        <f>'Prec Materia Prima y Empaq'!$H$78</f>
        <v>50000</v>
      </c>
      <c r="AJ14" s="819">
        <f t="shared" si="12"/>
        <v>9500</v>
      </c>
      <c r="AK14" s="920">
        <f t="shared" si="13"/>
        <v>59500</v>
      </c>
      <c r="AL14" s="820">
        <f t="shared" si="14"/>
        <v>2380</v>
      </c>
      <c r="AM14" s="921">
        <v>1</v>
      </c>
      <c r="AN14" s="923" t="s">
        <v>56</v>
      </c>
      <c r="AO14" s="819">
        <f t="shared" si="1"/>
        <v>23.8</v>
      </c>
      <c r="AP14" s="821">
        <f>AM14/AJ7</f>
        <v>0.01</v>
      </c>
      <c r="AQ14" s="923" t="s">
        <v>56</v>
      </c>
      <c r="AU14" s="918" t="s">
        <v>510</v>
      </c>
      <c r="AV14" s="714" t="s">
        <v>318</v>
      </c>
      <c r="AW14" s="919">
        <v>25</v>
      </c>
      <c r="AX14" s="818">
        <f>'Prec Materia Prima y Empaq'!$H$79</f>
        <v>50000</v>
      </c>
      <c r="AY14" s="819">
        <f t="shared" si="15"/>
        <v>9500</v>
      </c>
      <c r="AZ14" s="920">
        <f t="shared" si="16"/>
        <v>59500</v>
      </c>
      <c r="BA14" s="820">
        <f t="shared" si="17"/>
        <v>3689</v>
      </c>
      <c r="BB14" s="921">
        <v>1.55</v>
      </c>
      <c r="BC14" s="923" t="s">
        <v>56</v>
      </c>
      <c r="BD14" s="819">
        <f t="shared" si="2"/>
        <v>36.89</v>
      </c>
      <c r="BE14" s="821">
        <f>BB14/AY7</f>
        <v>1.55E-2</v>
      </c>
      <c r="BF14" s="923" t="s">
        <v>56</v>
      </c>
      <c r="BJ14" s="918" t="s">
        <v>510</v>
      </c>
      <c r="BK14" s="717" t="s">
        <v>361</v>
      </c>
      <c r="BL14" s="919">
        <v>25</v>
      </c>
      <c r="BM14" s="818">
        <f>'Prec Materia Prima y Empaq'!$H$81</f>
        <v>50000</v>
      </c>
      <c r="BN14" s="819">
        <f t="shared" si="18"/>
        <v>9500</v>
      </c>
      <c r="BO14" s="920">
        <f t="shared" si="19"/>
        <v>59500</v>
      </c>
      <c r="BP14" s="820">
        <f t="shared" si="20"/>
        <v>2380</v>
      </c>
      <c r="BQ14" s="921">
        <v>1</v>
      </c>
      <c r="BR14" s="923" t="s">
        <v>56</v>
      </c>
      <c r="BS14" s="819">
        <f t="shared" si="3"/>
        <v>23.8</v>
      </c>
      <c r="BT14" s="821">
        <f>BQ14/BN7</f>
        <v>0.01</v>
      </c>
      <c r="BU14" s="923" t="s">
        <v>56</v>
      </c>
      <c r="BY14" s="918"/>
      <c r="BZ14" s="717"/>
      <c r="CA14" s="919"/>
      <c r="CB14" s="818"/>
      <c r="CC14" s="819"/>
      <c r="CD14" s="920"/>
      <c r="CE14" s="820"/>
      <c r="CF14" s="921"/>
      <c r="CG14" s="923"/>
      <c r="CH14" s="924"/>
      <c r="CI14" s="821"/>
      <c r="CJ14" s="923"/>
    </row>
    <row r="15" spans="1:88" ht="24.95" customHeight="1" x14ac:dyDescent="0.3">
      <c r="A15" s="817"/>
      <c r="B15" s="918" t="s">
        <v>510</v>
      </c>
      <c r="C15" s="717" t="s">
        <v>364</v>
      </c>
      <c r="D15" s="919">
        <v>25</v>
      </c>
      <c r="E15" s="818">
        <f>'Prec Materia Prima y Empaq'!$H$83</f>
        <v>50000</v>
      </c>
      <c r="F15" s="819">
        <f t="shared" si="5"/>
        <v>9500</v>
      </c>
      <c r="G15" s="920">
        <f t="shared" si="6"/>
        <v>59500</v>
      </c>
      <c r="H15" s="820">
        <f t="shared" si="7"/>
        <v>2380</v>
      </c>
      <c r="I15" s="921">
        <v>1</v>
      </c>
      <c r="J15" s="922" t="s">
        <v>56</v>
      </c>
      <c r="K15" s="819">
        <f t="shared" si="8"/>
        <v>23.8</v>
      </c>
      <c r="L15" s="821">
        <f>I15/F7</f>
        <v>0.01</v>
      </c>
      <c r="M15" s="923" t="s">
        <v>56</v>
      </c>
      <c r="Q15" s="918" t="s">
        <v>510</v>
      </c>
      <c r="R15" s="717" t="s">
        <v>362</v>
      </c>
      <c r="S15" s="919">
        <v>25</v>
      </c>
      <c r="T15" s="818">
        <f>'Prec Materia Prima y Empaq'!$H$87</f>
        <v>50000</v>
      </c>
      <c r="U15" s="819">
        <f t="shared" si="9"/>
        <v>9500</v>
      </c>
      <c r="V15" s="920">
        <f t="shared" si="10"/>
        <v>59500</v>
      </c>
      <c r="W15" s="820">
        <f t="shared" si="11"/>
        <v>2380</v>
      </c>
      <c r="X15" s="921">
        <v>1</v>
      </c>
      <c r="Y15" s="923" t="s">
        <v>56</v>
      </c>
      <c r="Z15" s="819">
        <f t="shared" si="0"/>
        <v>23.8</v>
      </c>
      <c r="AA15" s="821">
        <f>X15/U7</f>
        <v>0.01</v>
      </c>
      <c r="AB15" s="923" t="s">
        <v>56</v>
      </c>
      <c r="AF15" s="918" t="s">
        <v>510</v>
      </c>
      <c r="AG15" s="717" t="s">
        <v>318</v>
      </c>
      <c r="AH15" s="919">
        <v>25</v>
      </c>
      <c r="AI15" s="818">
        <f>'Prec Materia Prima y Empaq'!$H$79</f>
        <v>50000</v>
      </c>
      <c r="AJ15" s="819">
        <f t="shared" si="12"/>
        <v>9500</v>
      </c>
      <c r="AK15" s="920">
        <f t="shared" si="13"/>
        <v>59500</v>
      </c>
      <c r="AL15" s="820">
        <f t="shared" si="14"/>
        <v>2380</v>
      </c>
      <c r="AM15" s="921">
        <v>1</v>
      </c>
      <c r="AN15" s="923" t="s">
        <v>56</v>
      </c>
      <c r="AO15" s="819">
        <f t="shared" si="1"/>
        <v>23.8</v>
      </c>
      <c r="AP15" s="821">
        <f>AM15/AJ7</f>
        <v>0.01</v>
      </c>
      <c r="AQ15" s="923" t="s">
        <v>56</v>
      </c>
      <c r="AU15" s="918" t="s">
        <v>510</v>
      </c>
      <c r="AV15" s="714" t="s">
        <v>319</v>
      </c>
      <c r="AW15" s="919">
        <v>25</v>
      </c>
      <c r="AX15" s="818">
        <f>'Prec Materia Prima y Empaq'!$H$80</f>
        <v>50000</v>
      </c>
      <c r="AY15" s="819">
        <f t="shared" si="15"/>
        <v>9500</v>
      </c>
      <c r="AZ15" s="920">
        <f t="shared" si="16"/>
        <v>59500</v>
      </c>
      <c r="BA15" s="820">
        <f t="shared" si="17"/>
        <v>3689</v>
      </c>
      <c r="BB15" s="921">
        <v>1.55</v>
      </c>
      <c r="BC15" s="923" t="s">
        <v>56</v>
      </c>
      <c r="BD15" s="819">
        <f t="shared" si="2"/>
        <v>36.89</v>
      </c>
      <c r="BE15" s="821">
        <f>BB15/AY7</f>
        <v>1.55E-2</v>
      </c>
      <c r="BF15" s="923" t="s">
        <v>56</v>
      </c>
      <c r="BJ15" s="918" t="s">
        <v>510</v>
      </c>
      <c r="BK15" s="717" t="s">
        <v>319</v>
      </c>
      <c r="BL15" s="919">
        <v>25</v>
      </c>
      <c r="BM15" s="818">
        <f>'Prec Materia Prima y Empaq'!$H$80</f>
        <v>50000</v>
      </c>
      <c r="BN15" s="819">
        <f t="shared" si="18"/>
        <v>9500</v>
      </c>
      <c r="BO15" s="920">
        <f t="shared" si="19"/>
        <v>59500</v>
      </c>
      <c r="BP15" s="820">
        <f t="shared" si="20"/>
        <v>2380</v>
      </c>
      <c r="BQ15" s="921">
        <v>1</v>
      </c>
      <c r="BR15" s="923" t="s">
        <v>56</v>
      </c>
      <c r="BS15" s="819">
        <f t="shared" si="3"/>
        <v>23.8</v>
      </c>
      <c r="BT15" s="821">
        <f>BQ15/BN7</f>
        <v>0.01</v>
      </c>
      <c r="BU15" s="923" t="s">
        <v>56</v>
      </c>
      <c r="BY15" s="918"/>
      <c r="BZ15" s="717"/>
      <c r="CA15" s="919"/>
      <c r="CB15" s="818"/>
      <c r="CC15" s="819"/>
      <c r="CD15" s="920"/>
      <c r="CE15" s="820"/>
      <c r="CF15" s="921"/>
      <c r="CG15" s="923"/>
      <c r="CH15" s="924"/>
      <c r="CI15" s="821"/>
      <c r="CJ15" s="923"/>
    </row>
    <row r="16" spans="1:88" ht="24.95" customHeight="1" x14ac:dyDescent="0.3">
      <c r="A16" s="817"/>
      <c r="B16" s="918" t="s">
        <v>510</v>
      </c>
      <c r="C16" s="717" t="s">
        <v>365</v>
      </c>
      <c r="D16" s="919">
        <v>25</v>
      </c>
      <c r="E16" s="818">
        <f>'Prec Materia Prima y Empaq'!$H$84</f>
        <v>50000</v>
      </c>
      <c r="F16" s="819">
        <f t="shared" si="5"/>
        <v>9500</v>
      </c>
      <c r="G16" s="920">
        <f t="shared" si="6"/>
        <v>59500</v>
      </c>
      <c r="H16" s="820">
        <f t="shared" si="7"/>
        <v>2380</v>
      </c>
      <c r="I16" s="921">
        <v>1</v>
      </c>
      <c r="J16" s="922" t="s">
        <v>56</v>
      </c>
      <c r="K16" s="819">
        <f t="shared" si="8"/>
        <v>23.8</v>
      </c>
      <c r="L16" s="821">
        <f>I16/F7</f>
        <v>0.01</v>
      </c>
      <c r="M16" s="923" t="s">
        <v>56</v>
      </c>
      <c r="Q16" s="918" t="s">
        <v>510</v>
      </c>
      <c r="R16" s="717" t="s">
        <v>363</v>
      </c>
      <c r="S16" s="919">
        <v>25</v>
      </c>
      <c r="T16" s="818">
        <f>'Prec Materia Prima y Empaq'!$H$88</f>
        <v>50000</v>
      </c>
      <c r="U16" s="819">
        <f t="shared" si="9"/>
        <v>9500</v>
      </c>
      <c r="V16" s="920">
        <f t="shared" si="10"/>
        <v>59500</v>
      </c>
      <c r="W16" s="820">
        <f t="shared" si="11"/>
        <v>2380</v>
      </c>
      <c r="X16" s="921">
        <v>1</v>
      </c>
      <c r="Y16" s="923" t="s">
        <v>56</v>
      </c>
      <c r="Z16" s="819">
        <f t="shared" si="0"/>
        <v>23.8</v>
      </c>
      <c r="AA16" s="821">
        <f>X16/U7</f>
        <v>0.01</v>
      </c>
      <c r="AB16" s="923" t="s">
        <v>56</v>
      </c>
      <c r="AF16" s="918" t="s">
        <v>510</v>
      </c>
      <c r="AG16" s="717" t="s">
        <v>319</v>
      </c>
      <c r="AH16" s="919">
        <v>25</v>
      </c>
      <c r="AI16" s="818">
        <f>'Prec Materia Prima y Empaq'!$H$80</f>
        <v>50000</v>
      </c>
      <c r="AJ16" s="819">
        <f t="shared" si="12"/>
        <v>9500</v>
      </c>
      <c r="AK16" s="920">
        <f t="shared" si="13"/>
        <v>59500</v>
      </c>
      <c r="AL16" s="820">
        <f t="shared" si="14"/>
        <v>2380</v>
      </c>
      <c r="AM16" s="921">
        <v>1</v>
      </c>
      <c r="AN16" s="923" t="s">
        <v>56</v>
      </c>
      <c r="AO16" s="819">
        <f t="shared" si="1"/>
        <v>23.8</v>
      </c>
      <c r="AP16" s="821">
        <f>AM16/AJ7</f>
        <v>0.01</v>
      </c>
      <c r="AQ16" s="923" t="s">
        <v>56</v>
      </c>
      <c r="AU16" s="918" t="s">
        <v>510</v>
      </c>
      <c r="AV16" s="714" t="s">
        <v>320</v>
      </c>
      <c r="AW16" s="919">
        <v>1000</v>
      </c>
      <c r="AX16" s="818">
        <f>'Prec Materia Prima y Empaq'!$H$94</f>
        <v>7200</v>
      </c>
      <c r="AY16" s="819">
        <v>0</v>
      </c>
      <c r="AZ16" s="920">
        <f t="shared" ref="AZ16:AZ17" si="21">+AY16+AX16</f>
        <v>7200</v>
      </c>
      <c r="BA16" s="820">
        <f t="shared" si="17"/>
        <v>5022</v>
      </c>
      <c r="BB16" s="921">
        <v>697.5</v>
      </c>
      <c r="BC16" s="923" t="s">
        <v>56</v>
      </c>
      <c r="BD16" s="819">
        <f t="shared" si="2"/>
        <v>2008.8</v>
      </c>
      <c r="BE16" s="821">
        <f>BB16/AY7</f>
        <v>6.9749999999999996</v>
      </c>
      <c r="BF16" s="923" t="s">
        <v>56</v>
      </c>
      <c r="BJ16" s="918"/>
      <c r="BK16" s="717"/>
      <c r="BL16" s="919"/>
      <c r="BM16" s="818"/>
      <c r="BN16" s="819"/>
      <c r="BO16" s="920"/>
      <c r="BP16" s="820"/>
      <c r="BQ16" s="921"/>
      <c r="BR16" s="923"/>
      <c r="BS16" s="819">
        <f t="shared" si="3"/>
        <v>0</v>
      </c>
      <c r="BT16" s="821"/>
      <c r="BU16" s="923"/>
      <c r="BY16" s="918"/>
      <c r="BZ16" s="717"/>
      <c r="CA16" s="919"/>
      <c r="CB16" s="818"/>
      <c r="CC16" s="819"/>
      <c r="CD16" s="920"/>
      <c r="CE16" s="820"/>
      <c r="CF16" s="921"/>
      <c r="CG16" s="923"/>
      <c r="CH16" s="924"/>
      <c r="CI16" s="821"/>
      <c r="CJ16" s="923"/>
    </row>
    <row r="17" spans="1:88" ht="24.95" customHeight="1" x14ac:dyDescent="0.3">
      <c r="A17" s="817"/>
      <c r="B17" s="918" t="s">
        <v>510</v>
      </c>
      <c r="C17" s="717" t="s">
        <v>320</v>
      </c>
      <c r="D17" s="919">
        <v>1000</v>
      </c>
      <c r="E17" s="818">
        <f>'Prec Materia Prima y Empaq'!$H$94</f>
        <v>7200</v>
      </c>
      <c r="F17" s="819">
        <v>0</v>
      </c>
      <c r="G17" s="920">
        <f t="shared" si="6"/>
        <v>7200</v>
      </c>
      <c r="H17" s="820">
        <f t="shared" si="7"/>
        <v>3564</v>
      </c>
      <c r="I17" s="921">
        <v>495</v>
      </c>
      <c r="J17" s="922" t="s">
        <v>56</v>
      </c>
      <c r="K17" s="819">
        <f t="shared" si="8"/>
        <v>35.64</v>
      </c>
      <c r="L17" s="821">
        <f>I17/F7</f>
        <v>4.95</v>
      </c>
      <c r="M17" s="923" t="s">
        <v>56</v>
      </c>
      <c r="Q17" s="918" t="s">
        <v>510</v>
      </c>
      <c r="R17" s="717" t="s">
        <v>320</v>
      </c>
      <c r="S17" s="919">
        <v>1000</v>
      </c>
      <c r="T17" s="818">
        <f>'Prec Materia Prima y Empaq'!$H$94</f>
        <v>7200</v>
      </c>
      <c r="U17" s="819">
        <v>0</v>
      </c>
      <c r="V17" s="920">
        <f t="shared" si="10"/>
        <v>7200</v>
      </c>
      <c r="W17" s="820">
        <f t="shared" si="11"/>
        <v>3240</v>
      </c>
      <c r="X17" s="921">
        <v>450</v>
      </c>
      <c r="Y17" s="923" t="s">
        <v>56</v>
      </c>
      <c r="Z17" s="819">
        <f t="shared" si="0"/>
        <v>32.4</v>
      </c>
      <c r="AA17" s="821">
        <f>X17/U7</f>
        <v>4.5</v>
      </c>
      <c r="AB17" s="923" t="s">
        <v>56</v>
      </c>
      <c r="AF17" s="918" t="s">
        <v>510</v>
      </c>
      <c r="AG17" s="717" t="s">
        <v>320</v>
      </c>
      <c r="AH17" s="919">
        <v>1000</v>
      </c>
      <c r="AI17" s="818">
        <f>'Prec Materia Prima y Empaq'!$H$94</f>
        <v>7200</v>
      </c>
      <c r="AJ17" s="819">
        <v>0</v>
      </c>
      <c r="AK17" s="920">
        <f t="shared" si="13"/>
        <v>7200</v>
      </c>
      <c r="AL17" s="820">
        <f t="shared" si="14"/>
        <v>3240</v>
      </c>
      <c r="AM17" s="921">
        <v>450</v>
      </c>
      <c r="AN17" s="923" t="s">
        <v>56</v>
      </c>
      <c r="AO17" s="819">
        <f t="shared" si="1"/>
        <v>32.4</v>
      </c>
      <c r="AP17" s="821">
        <f>AM17/AJ7</f>
        <v>4.5</v>
      </c>
      <c r="AQ17" s="923" t="s">
        <v>56</v>
      </c>
      <c r="AU17" s="918" t="s">
        <v>510</v>
      </c>
      <c r="AV17" s="714" t="s">
        <v>321</v>
      </c>
      <c r="AW17" s="919">
        <v>1000</v>
      </c>
      <c r="AX17" s="818">
        <f>'Prec Materia Prima y Empaq'!$H$95</f>
        <v>300</v>
      </c>
      <c r="AY17" s="819">
        <v>0</v>
      </c>
      <c r="AZ17" s="920">
        <f t="shared" si="21"/>
        <v>300</v>
      </c>
      <c r="BA17" s="820">
        <f t="shared" si="17"/>
        <v>951.39</v>
      </c>
      <c r="BB17" s="921">
        <v>3171.3</v>
      </c>
      <c r="BC17" s="923" t="s">
        <v>56</v>
      </c>
      <c r="BD17" s="819">
        <f t="shared" si="2"/>
        <v>9.5138999999999996</v>
      </c>
      <c r="BE17" s="821">
        <f>BB17/AY7</f>
        <v>31.713000000000001</v>
      </c>
      <c r="BF17" s="923" t="s">
        <v>56</v>
      </c>
      <c r="BJ17" s="918" t="s">
        <v>510</v>
      </c>
      <c r="BK17" s="717" t="s">
        <v>320</v>
      </c>
      <c r="BL17" s="919">
        <v>1000</v>
      </c>
      <c r="BM17" s="818">
        <f>'Prec Materia Prima y Empaq'!$H$94</f>
        <v>7200</v>
      </c>
      <c r="BN17" s="819">
        <v>0</v>
      </c>
      <c r="BO17" s="920">
        <f t="shared" si="19"/>
        <v>7200</v>
      </c>
      <c r="BP17" s="820">
        <f t="shared" si="20"/>
        <v>3240</v>
      </c>
      <c r="BQ17" s="921">
        <v>450</v>
      </c>
      <c r="BR17" s="923" t="s">
        <v>56</v>
      </c>
      <c r="BS17" s="819">
        <f t="shared" si="3"/>
        <v>32.4</v>
      </c>
      <c r="BT17" s="821">
        <f>BQ17/BN7</f>
        <v>4.5</v>
      </c>
      <c r="BU17" s="923" t="s">
        <v>56</v>
      </c>
      <c r="BY17" s="918" t="s">
        <v>510</v>
      </c>
      <c r="BZ17" s="717" t="s">
        <v>320</v>
      </c>
      <c r="CA17" s="919">
        <v>1000</v>
      </c>
      <c r="CB17" s="818">
        <f>'Prec Materia Prima y Empaq'!$H$94</f>
        <v>7200</v>
      </c>
      <c r="CC17" s="819">
        <v>0</v>
      </c>
      <c r="CD17" s="920">
        <f t="shared" ref="CD17:CD23" si="22">+CC17+CB17</f>
        <v>7200</v>
      </c>
      <c r="CE17" s="820">
        <f t="shared" ref="CE17:CE18" si="23">CD17/CA17*CF17</f>
        <v>3240</v>
      </c>
      <c r="CF17" s="921">
        <v>450</v>
      </c>
      <c r="CG17" s="923" t="s">
        <v>56</v>
      </c>
      <c r="CH17" s="819">
        <f t="shared" ref="CH17:CH18" si="24">CD17/$D17*CI17</f>
        <v>32.4</v>
      </c>
      <c r="CI17" s="821">
        <f>CF17/CC7</f>
        <v>4.5</v>
      </c>
      <c r="CJ17" s="923" t="s">
        <v>56</v>
      </c>
    </row>
    <row r="18" spans="1:88" ht="24.95" customHeight="1" thickBot="1" x14ac:dyDescent="0.35">
      <c r="A18" s="817"/>
      <c r="B18" s="925" t="s">
        <v>510</v>
      </c>
      <c r="C18" s="926" t="s">
        <v>321</v>
      </c>
      <c r="D18" s="927">
        <v>1000</v>
      </c>
      <c r="E18" s="818">
        <f>'Prec Materia Prima y Empaq'!$H$95</f>
        <v>300</v>
      </c>
      <c r="F18" s="928">
        <v>0</v>
      </c>
      <c r="G18" s="929">
        <f t="shared" si="6"/>
        <v>300</v>
      </c>
      <c r="H18" s="930">
        <f t="shared" si="7"/>
        <v>600</v>
      </c>
      <c r="I18" s="931">
        <f>D7*80%</f>
        <v>2000</v>
      </c>
      <c r="J18" s="932" t="s">
        <v>56</v>
      </c>
      <c r="K18" s="819">
        <f>G18/$D18*L18</f>
        <v>6</v>
      </c>
      <c r="L18" s="933">
        <f>I18/F7</f>
        <v>20</v>
      </c>
      <c r="M18" s="934" t="s">
        <v>56</v>
      </c>
      <c r="Q18" s="925" t="s">
        <v>510</v>
      </c>
      <c r="R18" s="926" t="s">
        <v>321</v>
      </c>
      <c r="S18" s="927">
        <v>1000</v>
      </c>
      <c r="T18" s="818">
        <f>'Prec Materia Prima y Empaq'!$H$95</f>
        <v>300</v>
      </c>
      <c r="U18" s="928">
        <v>0</v>
      </c>
      <c r="V18" s="929">
        <f t="shared" si="10"/>
        <v>300</v>
      </c>
      <c r="W18" s="930">
        <f t="shared" si="11"/>
        <v>613.49999999999989</v>
      </c>
      <c r="X18" s="931">
        <v>2044.9999999999998</v>
      </c>
      <c r="Y18" s="934" t="s">
        <v>56</v>
      </c>
      <c r="Z18" s="819">
        <f t="shared" si="0"/>
        <v>6.1349999999999998</v>
      </c>
      <c r="AA18" s="933">
        <f>X18/U7</f>
        <v>20.45</v>
      </c>
      <c r="AB18" s="934" t="s">
        <v>56</v>
      </c>
      <c r="AF18" s="925" t="s">
        <v>510</v>
      </c>
      <c r="AG18" s="926" t="s">
        <v>321</v>
      </c>
      <c r="AH18" s="927">
        <v>1000</v>
      </c>
      <c r="AI18" s="818">
        <f>'Prec Materia Prima y Empaq'!$H$95</f>
        <v>300</v>
      </c>
      <c r="AJ18" s="928">
        <v>0</v>
      </c>
      <c r="AK18" s="929">
        <f t="shared" si="13"/>
        <v>300</v>
      </c>
      <c r="AL18" s="930">
        <f t="shared" si="14"/>
        <v>613.49999999999989</v>
      </c>
      <c r="AM18" s="931">
        <v>2044.9999999999998</v>
      </c>
      <c r="AN18" s="934" t="s">
        <v>56</v>
      </c>
      <c r="AO18" s="819">
        <f t="shared" si="1"/>
        <v>6.1349999999999998</v>
      </c>
      <c r="AP18" s="933">
        <f>AM18/AJ7</f>
        <v>20.45</v>
      </c>
      <c r="AQ18" s="934" t="s">
        <v>56</v>
      </c>
      <c r="AU18" s="925"/>
      <c r="AV18" s="935"/>
      <c r="AW18" s="927"/>
      <c r="AX18" s="936"/>
      <c r="AY18" s="928"/>
      <c r="AZ18" s="929"/>
      <c r="BA18" s="930"/>
      <c r="BB18" s="931"/>
      <c r="BC18" s="934"/>
      <c r="BD18" s="937"/>
      <c r="BE18" s="933"/>
      <c r="BF18" s="934"/>
      <c r="BJ18" s="925" t="s">
        <v>510</v>
      </c>
      <c r="BK18" s="926" t="s">
        <v>321</v>
      </c>
      <c r="BL18" s="927">
        <v>1000</v>
      </c>
      <c r="BM18" s="818">
        <f>'Prec Materia Prima y Empaq'!$H$95</f>
        <v>300</v>
      </c>
      <c r="BN18" s="928">
        <v>0</v>
      </c>
      <c r="BO18" s="929">
        <f t="shared" si="19"/>
        <v>300</v>
      </c>
      <c r="BP18" s="938">
        <f t="shared" si="20"/>
        <v>613.79999999999995</v>
      </c>
      <c r="BQ18" s="931">
        <v>2046</v>
      </c>
      <c r="BR18" s="934" t="s">
        <v>56</v>
      </c>
      <c r="BS18" s="819">
        <f t="shared" si="3"/>
        <v>6.1379999999999999</v>
      </c>
      <c r="BT18" s="933">
        <f>BQ18/BN7</f>
        <v>20.46</v>
      </c>
      <c r="BU18" s="934" t="s">
        <v>56</v>
      </c>
      <c r="BY18" s="925" t="s">
        <v>510</v>
      </c>
      <c r="BZ18" s="926" t="s">
        <v>321</v>
      </c>
      <c r="CA18" s="927">
        <v>1000</v>
      </c>
      <c r="CB18" s="818">
        <f>'Prec Materia Prima y Empaq'!$H$95</f>
        <v>300</v>
      </c>
      <c r="CC18" s="928">
        <v>0</v>
      </c>
      <c r="CD18" s="929">
        <f t="shared" si="22"/>
        <v>300</v>
      </c>
      <c r="CE18" s="938">
        <f t="shared" si="23"/>
        <v>615</v>
      </c>
      <c r="CF18" s="931">
        <v>2050</v>
      </c>
      <c r="CG18" s="934" t="s">
        <v>56</v>
      </c>
      <c r="CH18" s="819">
        <f t="shared" si="24"/>
        <v>6.1499999999999995</v>
      </c>
      <c r="CI18" s="933">
        <f>CF18/CC7</f>
        <v>20.5</v>
      </c>
      <c r="CJ18" s="934" t="s">
        <v>56</v>
      </c>
    </row>
    <row r="19" spans="1:88" ht="24.95" customHeight="1" x14ac:dyDescent="0.3">
      <c r="B19" s="906" t="s">
        <v>368</v>
      </c>
      <c r="C19" s="907" t="s">
        <v>375</v>
      </c>
      <c r="D19" s="939">
        <v>1</v>
      </c>
      <c r="E19" s="1505">
        <f>'Prec Materia Prima y Empaq'!H166:$H$166</f>
        <v>1025</v>
      </c>
      <c r="F19" s="917"/>
      <c r="G19" s="911">
        <f t="shared" si="6"/>
        <v>1025</v>
      </c>
      <c r="H19" s="930">
        <f>$G$19/$D$19*$I$19</f>
        <v>102500</v>
      </c>
      <c r="I19" s="940">
        <v>100</v>
      </c>
      <c r="J19" s="941" t="s">
        <v>393</v>
      </c>
      <c r="K19" s="942">
        <f>+E19</f>
        <v>1025</v>
      </c>
      <c r="L19" s="917"/>
      <c r="M19" s="916" t="s">
        <v>393</v>
      </c>
      <c r="Q19" s="906" t="s">
        <v>368</v>
      </c>
      <c r="R19" s="907" t="s">
        <v>375</v>
      </c>
      <c r="S19" s="939">
        <v>1</v>
      </c>
      <c r="T19" s="1505">
        <f>'Prec Materia Prima y Empaq'!H166:$H$166</f>
        <v>1025</v>
      </c>
      <c r="U19" s="917"/>
      <c r="V19" s="911">
        <f t="shared" si="10"/>
        <v>1025</v>
      </c>
      <c r="W19" s="930">
        <f>$G$19/$D$19*$I$19</f>
        <v>102500</v>
      </c>
      <c r="X19" s="940">
        <v>100</v>
      </c>
      <c r="Y19" s="941" t="s">
        <v>393</v>
      </c>
      <c r="Z19" s="943">
        <f>+T19</f>
        <v>1025</v>
      </c>
      <c r="AA19" s="917"/>
      <c r="AB19" s="916" t="s">
        <v>393</v>
      </c>
      <c r="AF19" s="906" t="s">
        <v>368</v>
      </c>
      <c r="AG19" s="907" t="s">
        <v>375</v>
      </c>
      <c r="AH19" s="939">
        <v>1</v>
      </c>
      <c r="AI19" s="1505">
        <f>'Prec Materia Prima y Empaq'!H166:$H$166</f>
        <v>1025</v>
      </c>
      <c r="AJ19" s="917"/>
      <c r="AK19" s="911">
        <f t="shared" si="13"/>
        <v>1025</v>
      </c>
      <c r="AL19" s="930">
        <f>$G$19/$D$19*$I$19</f>
        <v>102500</v>
      </c>
      <c r="AM19" s="940">
        <v>100</v>
      </c>
      <c r="AN19" s="941" t="s">
        <v>393</v>
      </c>
      <c r="AO19" s="943">
        <f>+AI19</f>
        <v>1025</v>
      </c>
      <c r="AP19" s="917"/>
      <c r="AQ19" s="916" t="s">
        <v>393</v>
      </c>
      <c r="AU19" s="944" t="s">
        <v>368</v>
      </c>
      <c r="AV19" s="945" t="s">
        <v>375</v>
      </c>
      <c r="AW19" s="946">
        <v>1</v>
      </c>
      <c r="AX19" s="1516">
        <f>'Prec Materia Prima y Empaq'!H166:$H$166</f>
        <v>1025</v>
      </c>
      <c r="AY19" s="940"/>
      <c r="AZ19" s="947">
        <f t="shared" si="16"/>
        <v>1025</v>
      </c>
      <c r="BA19" s="930">
        <f>$G$19/$D$19*$I$19</f>
        <v>102500</v>
      </c>
      <c r="BB19" s="940">
        <v>100</v>
      </c>
      <c r="BC19" s="941" t="s">
        <v>393</v>
      </c>
      <c r="BD19" s="943">
        <f>+AX19</f>
        <v>1025</v>
      </c>
      <c r="BE19" s="917"/>
      <c r="BF19" s="916" t="s">
        <v>393</v>
      </c>
      <c r="BJ19" s="944" t="s">
        <v>368</v>
      </c>
      <c r="BK19" s="945" t="s">
        <v>375</v>
      </c>
      <c r="BL19" s="946">
        <v>1</v>
      </c>
      <c r="BM19" s="1516">
        <f>'Prec Materia Prima y Empaq'!H166:$H$166</f>
        <v>1025</v>
      </c>
      <c r="BN19" s="940"/>
      <c r="BO19" s="947">
        <f t="shared" si="19"/>
        <v>1025</v>
      </c>
      <c r="BP19" s="930">
        <f>$G$19/$D$19*$I$19</f>
        <v>102500</v>
      </c>
      <c r="BQ19" s="940">
        <v>100</v>
      </c>
      <c r="BR19" s="941" t="s">
        <v>393</v>
      </c>
      <c r="BS19" s="943">
        <f>+BM19</f>
        <v>1025</v>
      </c>
      <c r="BT19" s="917"/>
      <c r="BU19" s="916" t="s">
        <v>393</v>
      </c>
      <c r="BY19" s="944" t="s">
        <v>368</v>
      </c>
      <c r="BZ19" s="945" t="s">
        <v>375</v>
      </c>
      <c r="CA19" s="946">
        <v>1</v>
      </c>
      <c r="CB19" s="1516">
        <f>'Prec Materia Prima y Empaq'!H166:$H$166</f>
        <v>1025</v>
      </c>
      <c r="CC19" s="940"/>
      <c r="CD19" s="947">
        <f t="shared" si="22"/>
        <v>1025</v>
      </c>
      <c r="CE19" s="930">
        <f>$G$19/$D$19*$I$19</f>
        <v>102500</v>
      </c>
      <c r="CF19" s="940">
        <v>100</v>
      </c>
      <c r="CG19" s="941" t="s">
        <v>393</v>
      </c>
      <c r="CH19" s="943">
        <f>+CB19</f>
        <v>1025</v>
      </c>
      <c r="CI19" s="917"/>
      <c r="CJ19" s="916" t="s">
        <v>393</v>
      </c>
    </row>
    <row r="20" spans="1:88" ht="44.25" customHeight="1" x14ac:dyDescent="0.3">
      <c r="B20" s="918" t="s">
        <v>368</v>
      </c>
      <c r="C20" s="717" t="s">
        <v>376</v>
      </c>
      <c r="D20" s="824"/>
      <c r="E20" s="1506"/>
      <c r="F20" s="714"/>
      <c r="G20" s="920">
        <f t="shared" si="6"/>
        <v>0</v>
      </c>
      <c r="H20" s="948"/>
      <c r="I20" s="714">
        <v>100</v>
      </c>
      <c r="J20" s="923" t="s">
        <v>393</v>
      </c>
      <c r="K20" s="949"/>
      <c r="L20" s="714"/>
      <c r="M20" s="923" t="s">
        <v>393</v>
      </c>
      <c r="Q20" s="918" t="s">
        <v>368</v>
      </c>
      <c r="R20" s="717" t="s">
        <v>376</v>
      </c>
      <c r="S20" s="824"/>
      <c r="T20" s="1506"/>
      <c r="U20" s="714"/>
      <c r="V20" s="920">
        <f t="shared" si="10"/>
        <v>0</v>
      </c>
      <c r="W20" s="948"/>
      <c r="X20" s="714">
        <v>100</v>
      </c>
      <c r="Y20" s="923" t="s">
        <v>393</v>
      </c>
      <c r="Z20" s="949"/>
      <c r="AA20" s="714"/>
      <c r="AB20" s="923" t="s">
        <v>393</v>
      </c>
      <c r="AF20" s="918" t="s">
        <v>368</v>
      </c>
      <c r="AG20" s="717" t="s">
        <v>376</v>
      </c>
      <c r="AH20" s="824"/>
      <c r="AI20" s="1506"/>
      <c r="AJ20" s="714"/>
      <c r="AK20" s="920">
        <f t="shared" si="13"/>
        <v>0</v>
      </c>
      <c r="AL20" s="948"/>
      <c r="AM20" s="714">
        <v>100</v>
      </c>
      <c r="AN20" s="923" t="s">
        <v>393</v>
      </c>
      <c r="AO20" s="949"/>
      <c r="AP20" s="714"/>
      <c r="AQ20" s="923" t="s">
        <v>393</v>
      </c>
      <c r="AU20" s="918" t="s">
        <v>368</v>
      </c>
      <c r="AV20" s="717" t="s">
        <v>376</v>
      </c>
      <c r="AW20" s="824"/>
      <c r="AX20" s="1506"/>
      <c r="AY20" s="714"/>
      <c r="AZ20" s="920">
        <f t="shared" si="16"/>
        <v>0</v>
      </c>
      <c r="BA20" s="948"/>
      <c r="BB20" s="714">
        <v>100</v>
      </c>
      <c r="BC20" s="923" t="s">
        <v>393</v>
      </c>
      <c r="BD20" s="949"/>
      <c r="BE20" s="714"/>
      <c r="BF20" s="923" t="s">
        <v>393</v>
      </c>
      <c r="BJ20" s="918" t="s">
        <v>368</v>
      </c>
      <c r="BK20" s="717" t="s">
        <v>376</v>
      </c>
      <c r="BL20" s="824"/>
      <c r="BM20" s="1506"/>
      <c r="BN20" s="714"/>
      <c r="BO20" s="920">
        <f t="shared" si="19"/>
        <v>0</v>
      </c>
      <c r="BP20" s="948"/>
      <c r="BQ20" s="714">
        <v>100</v>
      </c>
      <c r="BR20" s="923" t="s">
        <v>393</v>
      </c>
      <c r="BS20" s="949"/>
      <c r="BT20" s="714"/>
      <c r="BU20" s="923" t="s">
        <v>393</v>
      </c>
      <c r="BY20" s="918" t="s">
        <v>368</v>
      </c>
      <c r="BZ20" s="717" t="s">
        <v>376</v>
      </c>
      <c r="CA20" s="824"/>
      <c r="CB20" s="1506"/>
      <c r="CC20" s="714"/>
      <c r="CD20" s="920">
        <f t="shared" si="22"/>
        <v>0</v>
      </c>
      <c r="CE20" s="948"/>
      <c r="CF20" s="714">
        <v>100</v>
      </c>
      <c r="CG20" s="923" t="s">
        <v>393</v>
      </c>
      <c r="CH20" s="949"/>
      <c r="CI20" s="714"/>
      <c r="CJ20" s="923" t="s">
        <v>393</v>
      </c>
    </row>
    <row r="21" spans="1:88" ht="24.95" customHeight="1" x14ac:dyDescent="0.3">
      <c r="B21" s="918" t="s">
        <v>368</v>
      </c>
      <c r="C21" s="717" t="s">
        <v>377</v>
      </c>
      <c r="D21" s="824">
        <v>1</v>
      </c>
      <c r="E21" s="818">
        <f>'Prec Materia Prima y Empaq'!$H$168</f>
        <v>200</v>
      </c>
      <c r="F21" s="714"/>
      <c r="G21" s="920">
        <f t="shared" si="6"/>
        <v>200</v>
      </c>
      <c r="H21" s="950">
        <f>$G$21/$D$21*$I$21</f>
        <v>20000</v>
      </c>
      <c r="I21" s="714">
        <v>100</v>
      </c>
      <c r="J21" s="923" t="s">
        <v>393</v>
      </c>
      <c r="K21" s="949">
        <f>+E21</f>
        <v>200</v>
      </c>
      <c r="L21" s="714"/>
      <c r="M21" s="923" t="s">
        <v>393</v>
      </c>
      <c r="Q21" s="918" t="s">
        <v>368</v>
      </c>
      <c r="R21" s="717" t="s">
        <v>377</v>
      </c>
      <c r="S21" s="824">
        <v>1</v>
      </c>
      <c r="T21" s="818">
        <f>'Prec Materia Prima y Empaq'!$H$168</f>
        <v>200</v>
      </c>
      <c r="U21" s="714"/>
      <c r="V21" s="920">
        <f t="shared" si="10"/>
        <v>200</v>
      </c>
      <c r="W21" s="950">
        <f>$G$21/$D$21*$I$21</f>
        <v>20000</v>
      </c>
      <c r="X21" s="714">
        <v>100</v>
      </c>
      <c r="Y21" s="923" t="s">
        <v>393</v>
      </c>
      <c r="Z21" s="949">
        <f>+T21</f>
        <v>200</v>
      </c>
      <c r="AA21" s="714"/>
      <c r="AB21" s="923" t="s">
        <v>393</v>
      </c>
      <c r="AF21" s="918" t="s">
        <v>368</v>
      </c>
      <c r="AG21" s="717" t="s">
        <v>377</v>
      </c>
      <c r="AH21" s="824">
        <v>1</v>
      </c>
      <c r="AI21" s="818">
        <f>'Prec Materia Prima y Empaq'!$H$168</f>
        <v>200</v>
      </c>
      <c r="AJ21" s="714"/>
      <c r="AK21" s="920">
        <f t="shared" si="13"/>
        <v>200</v>
      </c>
      <c r="AL21" s="950">
        <f>$G$21/$D$21*$I$21</f>
        <v>20000</v>
      </c>
      <c r="AM21" s="714">
        <v>100</v>
      </c>
      <c r="AN21" s="923" t="s">
        <v>393</v>
      </c>
      <c r="AO21" s="949">
        <f>+AI21</f>
        <v>200</v>
      </c>
      <c r="AP21" s="714"/>
      <c r="AQ21" s="923" t="s">
        <v>393</v>
      </c>
      <c r="AU21" s="918" t="s">
        <v>368</v>
      </c>
      <c r="AV21" s="717" t="s">
        <v>377</v>
      </c>
      <c r="AW21" s="824">
        <v>1</v>
      </c>
      <c r="AX21" s="818">
        <f>'Prec Materia Prima y Empaq'!$H$168</f>
        <v>200</v>
      </c>
      <c r="AY21" s="714"/>
      <c r="AZ21" s="920">
        <f t="shared" si="16"/>
        <v>200</v>
      </c>
      <c r="BA21" s="950">
        <f>$G$21/$D$21*$I$21</f>
        <v>20000</v>
      </c>
      <c r="BB21" s="714">
        <v>100</v>
      </c>
      <c r="BC21" s="923" t="s">
        <v>393</v>
      </c>
      <c r="BD21" s="949">
        <f>+AX21</f>
        <v>200</v>
      </c>
      <c r="BE21" s="714"/>
      <c r="BF21" s="923" t="s">
        <v>393</v>
      </c>
      <c r="BJ21" s="918" t="s">
        <v>368</v>
      </c>
      <c r="BK21" s="717" t="s">
        <v>377</v>
      </c>
      <c r="BL21" s="824">
        <v>1</v>
      </c>
      <c r="BM21" s="818">
        <f>'Prec Materia Prima y Empaq'!$H$168</f>
        <v>200</v>
      </c>
      <c r="BN21" s="714"/>
      <c r="BO21" s="920">
        <f t="shared" si="19"/>
        <v>200</v>
      </c>
      <c r="BP21" s="950">
        <f>$G$21/$D$21*$I$21</f>
        <v>20000</v>
      </c>
      <c r="BQ21" s="714">
        <v>100</v>
      </c>
      <c r="BR21" s="923" t="s">
        <v>393</v>
      </c>
      <c r="BS21" s="949">
        <f>+BM21</f>
        <v>200</v>
      </c>
      <c r="BT21" s="714"/>
      <c r="BU21" s="923" t="s">
        <v>393</v>
      </c>
      <c r="BY21" s="918" t="s">
        <v>368</v>
      </c>
      <c r="BZ21" s="717" t="s">
        <v>377</v>
      </c>
      <c r="CA21" s="824">
        <v>1</v>
      </c>
      <c r="CB21" s="818">
        <f>'Prec Materia Prima y Empaq'!$H$168</f>
        <v>200</v>
      </c>
      <c r="CC21" s="714"/>
      <c r="CD21" s="920">
        <f t="shared" si="22"/>
        <v>200</v>
      </c>
      <c r="CE21" s="950">
        <f>$G$21/$D$21*$I$21</f>
        <v>20000</v>
      </c>
      <c r="CF21" s="714">
        <v>100</v>
      </c>
      <c r="CG21" s="923" t="s">
        <v>393</v>
      </c>
      <c r="CH21" s="949">
        <f>+CB21</f>
        <v>200</v>
      </c>
      <c r="CI21" s="714"/>
      <c r="CJ21" s="923" t="s">
        <v>393</v>
      </c>
    </row>
    <row r="22" spans="1:88" ht="24.95" customHeight="1" x14ac:dyDescent="0.3">
      <c r="B22" s="918" t="s">
        <v>368</v>
      </c>
      <c r="C22" s="717" t="s">
        <v>502</v>
      </c>
      <c r="D22" s="824">
        <v>1</v>
      </c>
      <c r="E22" s="818">
        <f>'Prec Materia Prima y Empaq'!$H$169</f>
        <v>350</v>
      </c>
      <c r="F22" s="714"/>
      <c r="G22" s="920">
        <f t="shared" si="6"/>
        <v>350</v>
      </c>
      <c r="H22" s="950">
        <f>$G$22/$D$22*$I$22</f>
        <v>35000</v>
      </c>
      <c r="I22" s="714">
        <v>100</v>
      </c>
      <c r="J22" s="923" t="s">
        <v>393</v>
      </c>
      <c r="K22" s="949">
        <f>+E22</f>
        <v>350</v>
      </c>
      <c r="L22" s="714"/>
      <c r="M22" s="923" t="s">
        <v>393</v>
      </c>
      <c r="Q22" s="918" t="s">
        <v>368</v>
      </c>
      <c r="R22" s="717" t="s">
        <v>502</v>
      </c>
      <c r="S22" s="824">
        <v>1</v>
      </c>
      <c r="T22" s="818">
        <f>'Prec Materia Prima y Empaq'!$H$169</f>
        <v>350</v>
      </c>
      <c r="U22" s="714"/>
      <c r="V22" s="920">
        <f t="shared" si="10"/>
        <v>350</v>
      </c>
      <c r="W22" s="950">
        <f>$G$22/$D$22*$I$22</f>
        <v>35000</v>
      </c>
      <c r="X22" s="714">
        <v>100</v>
      </c>
      <c r="Y22" s="923" t="s">
        <v>393</v>
      </c>
      <c r="Z22" s="949">
        <f>+T22</f>
        <v>350</v>
      </c>
      <c r="AA22" s="714"/>
      <c r="AB22" s="923" t="s">
        <v>393</v>
      </c>
      <c r="AF22" s="918" t="s">
        <v>368</v>
      </c>
      <c r="AG22" s="717" t="s">
        <v>502</v>
      </c>
      <c r="AH22" s="824">
        <v>1</v>
      </c>
      <c r="AI22" s="818">
        <f>'Prec Materia Prima y Empaq'!$H$169</f>
        <v>350</v>
      </c>
      <c r="AJ22" s="714"/>
      <c r="AK22" s="920">
        <f t="shared" si="13"/>
        <v>350</v>
      </c>
      <c r="AL22" s="950">
        <f>$G$22/$D$22*$I$22</f>
        <v>35000</v>
      </c>
      <c r="AM22" s="714">
        <v>100</v>
      </c>
      <c r="AN22" s="923" t="s">
        <v>393</v>
      </c>
      <c r="AO22" s="949">
        <f>+AI22</f>
        <v>350</v>
      </c>
      <c r="AP22" s="714"/>
      <c r="AQ22" s="923" t="s">
        <v>393</v>
      </c>
      <c r="AU22" s="918" t="s">
        <v>368</v>
      </c>
      <c r="AV22" s="717" t="s">
        <v>502</v>
      </c>
      <c r="AW22" s="824">
        <v>1</v>
      </c>
      <c r="AX22" s="818">
        <f>'Prec Materia Prima y Empaq'!$H$169</f>
        <v>350</v>
      </c>
      <c r="AY22" s="714"/>
      <c r="AZ22" s="920">
        <f t="shared" si="16"/>
        <v>350</v>
      </c>
      <c r="BA22" s="950">
        <f>$G$22/$D$22*$I$22</f>
        <v>35000</v>
      </c>
      <c r="BB22" s="714">
        <v>100</v>
      </c>
      <c r="BC22" s="923" t="s">
        <v>393</v>
      </c>
      <c r="BD22" s="949">
        <f>+AX22</f>
        <v>350</v>
      </c>
      <c r="BE22" s="714"/>
      <c r="BF22" s="923" t="s">
        <v>393</v>
      </c>
      <c r="BJ22" s="918" t="s">
        <v>368</v>
      </c>
      <c r="BK22" s="717" t="s">
        <v>502</v>
      </c>
      <c r="BL22" s="824">
        <v>1</v>
      </c>
      <c r="BM22" s="818">
        <f>'Prec Materia Prima y Empaq'!$H$169</f>
        <v>350</v>
      </c>
      <c r="BN22" s="714"/>
      <c r="BO22" s="920">
        <f t="shared" si="19"/>
        <v>350</v>
      </c>
      <c r="BP22" s="950">
        <f>$G$22/$D$22*$I$22</f>
        <v>35000</v>
      </c>
      <c r="BQ22" s="714">
        <v>100</v>
      </c>
      <c r="BR22" s="923" t="s">
        <v>393</v>
      </c>
      <c r="BS22" s="949">
        <f>+BM22</f>
        <v>350</v>
      </c>
      <c r="BT22" s="714"/>
      <c r="BU22" s="923" t="s">
        <v>393</v>
      </c>
      <c r="BY22" s="918" t="s">
        <v>368</v>
      </c>
      <c r="BZ22" s="717" t="s">
        <v>502</v>
      </c>
      <c r="CA22" s="824">
        <v>1</v>
      </c>
      <c r="CB22" s="818">
        <f>'Prec Materia Prima y Empaq'!$H$169</f>
        <v>350</v>
      </c>
      <c r="CC22" s="714"/>
      <c r="CD22" s="920">
        <f t="shared" si="22"/>
        <v>350</v>
      </c>
      <c r="CE22" s="950">
        <f>$G$22/$D$22*$I$22</f>
        <v>35000</v>
      </c>
      <c r="CF22" s="714">
        <v>100</v>
      </c>
      <c r="CG22" s="923" t="s">
        <v>393</v>
      </c>
      <c r="CH22" s="949">
        <f>+CB22</f>
        <v>350</v>
      </c>
      <c r="CI22" s="714"/>
      <c r="CJ22" s="923" t="s">
        <v>393</v>
      </c>
    </row>
    <row r="23" spans="1:88" ht="29.25" customHeight="1" thickBot="1" x14ac:dyDescent="0.35">
      <c r="B23" s="925" t="s">
        <v>368</v>
      </c>
      <c r="C23" s="926" t="s">
        <v>440</v>
      </c>
      <c r="D23" s="951">
        <v>1</v>
      </c>
      <c r="E23" s="936">
        <f>'Prec Materia Prima y Empaq'!$H$170</f>
        <v>200</v>
      </c>
      <c r="F23" s="935"/>
      <c r="G23" s="929">
        <f t="shared" si="6"/>
        <v>200</v>
      </c>
      <c r="H23" s="952">
        <f>$G$23/$D$23*$I$23</f>
        <v>20000</v>
      </c>
      <c r="I23" s="935">
        <v>100</v>
      </c>
      <c r="J23" s="934" t="s">
        <v>393</v>
      </c>
      <c r="K23" s="953">
        <f>+E23</f>
        <v>200</v>
      </c>
      <c r="L23" s="935"/>
      <c r="M23" s="934" t="s">
        <v>393</v>
      </c>
      <c r="Q23" s="925" t="s">
        <v>368</v>
      </c>
      <c r="R23" s="926" t="s">
        <v>440</v>
      </c>
      <c r="S23" s="951">
        <v>1</v>
      </c>
      <c r="T23" s="936">
        <f>'Prec Materia Prima y Empaq'!$H$170</f>
        <v>200</v>
      </c>
      <c r="U23" s="935"/>
      <c r="V23" s="929">
        <f t="shared" si="10"/>
        <v>200</v>
      </c>
      <c r="W23" s="952">
        <f>$G$23/$D$23*$I$23</f>
        <v>20000</v>
      </c>
      <c r="X23" s="935">
        <v>100</v>
      </c>
      <c r="Y23" s="934" t="s">
        <v>393</v>
      </c>
      <c r="Z23" s="953">
        <f>+T23</f>
        <v>200</v>
      </c>
      <c r="AA23" s="935"/>
      <c r="AB23" s="934" t="s">
        <v>393</v>
      </c>
      <c r="AF23" s="925" t="s">
        <v>368</v>
      </c>
      <c r="AG23" s="926" t="s">
        <v>440</v>
      </c>
      <c r="AH23" s="951">
        <v>1</v>
      </c>
      <c r="AI23" s="936">
        <f>'Prec Materia Prima y Empaq'!$H$170</f>
        <v>200</v>
      </c>
      <c r="AJ23" s="935"/>
      <c r="AK23" s="929">
        <f t="shared" si="13"/>
        <v>200</v>
      </c>
      <c r="AL23" s="952">
        <f>$G$23/$D$23*$I$23</f>
        <v>20000</v>
      </c>
      <c r="AM23" s="935">
        <v>100</v>
      </c>
      <c r="AN23" s="934" t="s">
        <v>393</v>
      </c>
      <c r="AO23" s="953">
        <f>+AI23</f>
        <v>200</v>
      </c>
      <c r="AP23" s="935"/>
      <c r="AQ23" s="934" t="s">
        <v>393</v>
      </c>
      <c r="AU23" s="925" t="s">
        <v>368</v>
      </c>
      <c r="AV23" s="926" t="s">
        <v>440</v>
      </c>
      <c r="AW23" s="951">
        <v>1</v>
      </c>
      <c r="AX23" s="936">
        <f>'Prec Materia Prima y Empaq'!$H$170</f>
        <v>200</v>
      </c>
      <c r="AY23" s="935"/>
      <c r="AZ23" s="929">
        <f t="shared" si="16"/>
        <v>200</v>
      </c>
      <c r="BA23" s="952">
        <f>$G$23/$D$23*$I$23</f>
        <v>20000</v>
      </c>
      <c r="BB23" s="935">
        <v>100</v>
      </c>
      <c r="BC23" s="934" t="s">
        <v>393</v>
      </c>
      <c r="BD23" s="953">
        <f>+AX23</f>
        <v>200</v>
      </c>
      <c r="BE23" s="935"/>
      <c r="BF23" s="934" t="s">
        <v>393</v>
      </c>
      <c r="BJ23" s="925" t="s">
        <v>368</v>
      </c>
      <c r="BK23" s="926" t="s">
        <v>440</v>
      </c>
      <c r="BL23" s="951">
        <v>1</v>
      </c>
      <c r="BM23" s="936">
        <f>'Prec Materia Prima y Empaq'!$H$170</f>
        <v>200</v>
      </c>
      <c r="BN23" s="935"/>
      <c r="BO23" s="929">
        <f t="shared" si="19"/>
        <v>200</v>
      </c>
      <c r="BP23" s="952">
        <f>$G$23/$D$23*$I$23</f>
        <v>20000</v>
      </c>
      <c r="BQ23" s="935">
        <v>100</v>
      </c>
      <c r="BR23" s="934" t="s">
        <v>393</v>
      </c>
      <c r="BS23" s="953">
        <f>+BM23</f>
        <v>200</v>
      </c>
      <c r="BT23" s="935"/>
      <c r="BU23" s="934" t="s">
        <v>393</v>
      </c>
      <c r="BY23" s="925" t="s">
        <v>368</v>
      </c>
      <c r="BZ23" s="926" t="s">
        <v>440</v>
      </c>
      <c r="CA23" s="951">
        <v>1</v>
      </c>
      <c r="CB23" s="936">
        <f>'Prec Materia Prima y Empaq'!$H$170</f>
        <v>200</v>
      </c>
      <c r="CC23" s="935"/>
      <c r="CD23" s="929">
        <f t="shared" si="22"/>
        <v>200</v>
      </c>
      <c r="CE23" s="952">
        <f>$G$23/$D$23*$I$23</f>
        <v>20000</v>
      </c>
      <c r="CF23" s="935">
        <v>100</v>
      </c>
      <c r="CG23" s="934" t="s">
        <v>393</v>
      </c>
      <c r="CH23" s="953">
        <f>+CB23</f>
        <v>200</v>
      </c>
      <c r="CI23" s="935"/>
      <c r="CJ23" s="934" t="s">
        <v>393</v>
      </c>
    </row>
    <row r="24" spans="1:88" ht="29.25" customHeight="1" thickBot="1" x14ac:dyDescent="0.35">
      <c r="B24" s="954"/>
      <c r="C24" s="955"/>
      <c r="D24" s="891"/>
      <c r="E24" s="836"/>
      <c r="G24" s="833"/>
      <c r="H24" s="833"/>
      <c r="K24" s="956">
        <f>SUM(K12:K23)</f>
        <v>1935.6399999999999</v>
      </c>
      <c r="L24" s="835" t="s">
        <v>454</v>
      </c>
      <c r="Q24" s="954"/>
      <c r="R24" s="955"/>
      <c r="S24" s="891"/>
      <c r="T24" s="836"/>
      <c r="V24" s="833"/>
      <c r="W24" s="833"/>
      <c r="Z24" s="956">
        <f>SUM(Z12:Z23)</f>
        <v>1932.5350000000001</v>
      </c>
      <c r="AA24" s="835" t="s">
        <v>454</v>
      </c>
      <c r="AF24" s="954"/>
      <c r="AG24" s="955"/>
      <c r="AH24" s="891"/>
      <c r="AI24" s="836"/>
      <c r="AK24" s="833"/>
      <c r="AL24" s="833"/>
      <c r="AO24" s="956">
        <f>SUM(AO12:AO23)</f>
        <v>1932.5350000000001</v>
      </c>
      <c r="AP24" s="835" t="s">
        <v>454</v>
      </c>
      <c r="AU24" s="954"/>
      <c r="AV24" s="955"/>
      <c r="AW24" s="891"/>
      <c r="AX24" s="836"/>
      <c r="AZ24" s="833"/>
      <c r="BA24" s="833"/>
      <c r="BD24" s="956">
        <f>SUM(BD12:BD23)</f>
        <v>3940.8739</v>
      </c>
      <c r="BE24" s="835" t="s">
        <v>454</v>
      </c>
      <c r="BJ24" s="954"/>
      <c r="BK24" s="955"/>
      <c r="BL24" s="891"/>
      <c r="BM24" s="836"/>
      <c r="BO24" s="833"/>
      <c r="BP24" s="833"/>
      <c r="BS24" s="956">
        <f>SUM(BS12:BS23)</f>
        <v>1908.7380000000001</v>
      </c>
      <c r="BT24" s="835" t="s">
        <v>454</v>
      </c>
      <c r="BY24" s="954"/>
      <c r="BZ24" s="955"/>
      <c r="CA24" s="891"/>
      <c r="CB24" s="836"/>
      <c r="CD24" s="833"/>
      <c r="CE24" s="833"/>
      <c r="CH24" s="956">
        <f>SUM(CH12:CH23)</f>
        <v>1837.35</v>
      </c>
      <c r="CI24" s="835" t="s">
        <v>454</v>
      </c>
    </row>
    <row r="25" spans="1:88" ht="29.25" customHeight="1" thickTop="1" x14ac:dyDescent="0.3">
      <c r="B25" s="954"/>
      <c r="C25" s="955"/>
      <c r="D25" s="891"/>
      <c r="E25" s="836"/>
      <c r="G25" s="833"/>
      <c r="H25" s="833"/>
      <c r="Q25" s="954"/>
      <c r="R25" s="955"/>
      <c r="S25" s="891"/>
      <c r="T25" s="836"/>
      <c r="V25" s="833"/>
      <c r="W25" s="833"/>
      <c r="AF25" s="954"/>
      <c r="AG25" s="955"/>
      <c r="AH25" s="891"/>
      <c r="AI25" s="836"/>
      <c r="AK25" s="833"/>
      <c r="AL25" s="833"/>
      <c r="AU25" s="954"/>
      <c r="AV25" s="955"/>
      <c r="AW25" s="891"/>
      <c r="AX25" s="836"/>
      <c r="AZ25" s="833"/>
      <c r="BA25" s="833"/>
      <c r="BJ25" s="954"/>
      <c r="BK25" s="955"/>
      <c r="BL25" s="891"/>
      <c r="BM25" s="836"/>
      <c r="BO25" s="833"/>
      <c r="BP25" s="833"/>
      <c r="BY25" s="954"/>
      <c r="BZ25" s="955"/>
      <c r="CA25" s="891"/>
      <c r="CB25" s="836"/>
      <c r="CD25" s="833"/>
      <c r="CE25" s="833"/>
    </row>
    <row r="26" spans="1:88" s="879" customFormat="1" ht="24.95" customHeight="1" x14ac:dyDescent="0.3">
      <c r="B26" s="957"/>
      <c r="C26" s="878" t="s">
        <v>409</v>
      </c>
      <c r="D26" s="958"/>
      <c r="E26" s="959"/>
      <c r="F26" s="958"/>
      <c r="G26" s="881">
        <f>+'Gtos Varios'!I14</f>
        <v>3672.93</v>
      </c>
      <c r="H26" s="960"/>
      <c r="I26" s="958"/>
      <c r="J26" s="958"/>
      <c r="K26" s="960">
        <f>G26</f>
        <v>3672.93</v>
      </c>
      <c r="L26" s="958"/>
      <c r="M26" s="961"/>
      <c r="O26" s="883"/>
      <c r="Q26" s="957"/>
      <c r="R26" s="878" t="s">
        <v>409</v>
      </c>
      <c r="S26" s="958"/>
      <c r="T26" s="959"/>
      <c r="U26" s="958"/>
      <c r="V26" s="881">
        <f>+'Gtos Varios'!I14</f>
        <v>3672.93</v>
      </c>
      <c r="W26" s="960"/>
      <c r="X26" s="958"/>
      <c r="Y26" s="958"/>
      <c r="Z26" s="960">
        <f>V26</f>
        <v>3672.93</v>
      </c>
      <c r="AA26" s="958"/>
      <c r="AB26" s="961"/>
      <c r="AD26" s="883"/>
      <c r="AF26" s="957"/>
      <c r="AG26" s="878" t="s">
        <v>409</v>
      </c>
      <c r="AH26" s="958"/>
      <c r="AI26" s="959"/>
      <c r="AJ26" s="958"/>
      <c r="AK26" s="881">
        <f>'Gtos Varios'!$B$22</f>
        <v>3070.542857142857</v>
      </c>
      <c r="AL26" s="960"/>
      <c r="AM26" s="958"/>
      <c r="AN26" s="958"/>
      <c r="AO26" s="960">
        <f>AK26</f>
        <v>3070.542857142857</v>
      </c>
      <c r="AP26" s="958"/>
      <c r="AQ26" s="961"/>
      <c r="AS26" s="883"/>
      <c r="AU26" s="957"/>
      <c r="AV26" s="878" t="s">
        <v>409</v>
      </c>
      <c r="AW26" s="958"/>
      <c r="AX26" s="959"/>
      <c r="AY26" s="958"/>
      <c r="AZ26" s="881">
        <f>'Gtos Varios'!$B$22</f>
        <v>3070.542857142857</v>
      </c>
      <c r="BA26" s="960"/>
      <c r="BB26" s="958"/>
      <c r="BC26" s="958"/>
      <c r="BD26" s="960">
        <f>AZ26</f>
        <v>3070.542857142857</v>
      </c>
      <c r="BE26" s="958"/>
      <c r="BF26" s="961"/>
      <c r="BH26" s="883"/>
      <c r="BJ26" s="957"/>
      <c r="BK26" s="878" t="s">
        <v>409</v>
      </c>
      <c r="BL26" s="958"/>
      <c r="BM26" s="959"/>
      <c r="BN26" s="958"/>
      <c r="BO26" s="881">
        <f>'Gtos Varios'!$B$22</f>
        <v>3070.542857142857</v>
      </c>
      <c r="BP26" s="960"/>
      <c r="BQ26" s="958"/>
      <c r="BR26" s="958"/>
      <c r="BS26" s="960">
        <f>BO26</f>
        <v>3070.542857142857</v>
      </c>
      <c r="BT26" s="958"/>
      <c r="BU26" s="961"/>
      <c r="BW26" s="883"/>
      <c r="BY26" s="957"/>
      <c r="BZ26" s="878" t="s">
        <v>409</v>
      </c>
      <c r="CA26" s="958"/>
      <c r="CB26" s="959"/>
      <c r="CC26" s="958"/>
      <c r="CD26" s="881">
        <f>'Gtos Varios'!$B$22</f>
        <v>3070.542857142857</v>
      </c>
      <c r="CE26" s="960"/>
      <c r="CF26" s="958"/>
      <c r="CG26" s="958"/>
      <c r="CH26" s="960">
        <f>CD26</f>
        <v>3070.542857142857</v>
      </c>
      <c r="CI26" s="958"/>
      <c r="CJ26" s="961"/>
    </row>
    <row r="27" spans="1:88" ht="20.100000000000001" customHeight="1" x14ac:dyDescent="0.3">
      <c r="C27" s="894"/>
      <c r="D27" s="894"/>
      <c r="E27" s="836"/>
      <c r="R27" s="894"/>
      <c r="S27" s="894"/>
      <c r="T27" s="836"/>
      <c r="AG27" s="894"/>
      <c r="AH27" s="894"/>
      <c r="AI27" s="836"/>
      <c r="AV27" s="894"/>
      <c r="AW27" s="894"/>
      <c r="AX27" s="836"/>
      <c r="BK27" s="894"/>
      <c r="BL27" s="894"/>
      <c r="BM27" s="836"/>
      <c r="BZ27" s="894"/>
      <c r="CA27" s="894"/>
      <c r="CB27" s="836"/>
    </row>
    <row r="28" spans="1:88" ht="22.5" customHeight="1" thickBot="1" x14ac:dyDescent="0.35">
      <c r="G28" s="962"/>
      <c r="H28" s="838">
        <f>SUM(H12:H23)</f>
        <v>193564</v>
      </c>
      <c r="J28" s="838"/>
      <c r="K28" s="839">
        <f>+K26+K24</f>
        <v>5608.57</v>
      </c>
      <c r="L28" s="712" t="s">
        <v>412</v>
      </c>
      <c r="V28" s="962"/>
      <c r="W28" s="838">
        <f>SUM(W12:W23)</f>
        <v>193253.5</v>
      </c>
      <c r="Y28" s="838"/>
      <c r="Z28" s="839">
        <f>+Z26+Z24</f>
        <v>5605.4650000000001</v>
      </c>
      <c r="AA28" s="712" t="s">
        <v>412</v>
      </c>
      <c r="AK28" s="962"/>
      <c r="AL28" s="838">
        <f>SUM(AL12:AL23)</f>
        <v>193253.5</v>
      </c>
      <c r="AN28" s="838"/>
      <c r="AO28" s="839">
        <f>+AO26+AO24</f>
        <v>5003.0778571428573</v>
      </c>
      <c r="AP28" s="712" t="s">
        <v>412</v>
      </c>
      <c r="AZ28" s="962"/>
      <c r="BA28" s="838">
        <f>SUM(BA12:BA23)</f>
        <v>198229.39</v>
      </c>
      <c r="BC28" s="838"/>
      <c r="BD28" s="839">
        <f>+BD26+BD24</f>
        <v>7011.416757142857</v>
      </c>
      <c r="BE28" s="712" t="s">
        <v>412</v>
      </c>
      <c r="BO28" s="962"/>
      <c r="BP28" s="838">
        <f>SUM(BP12:BP23)</f>
        <v>190873.8</v>
      </c>
      <c r="BR28" s="838"/>
      <c r="BS28" s="839">
        <f>+BS26+BS24</f>
        <v>4979.2808571428568</v>
      </c>
      <c r="BT28" s="712" t="s">
        <v>412</v>
      </c>
      <c r="CD28" s="962"/>
      <c r="CE28" s="838">
        <f>SUM(CE12:CE23)</f>
        <v>183735</v>
      </c>
      <c r="CG28" s="838"/>
      <c r="CH28" s="839">
        <f>+CH26+CH24</f>
        <v>4907.8928571428569</v>
      </c>
      <c r="CI28" s="712" t="s">
        <v>412</v>
      </c>
    </row>
    <row r="29" spans="1:88" ht="18" customHeight="1" thickTop="1" x14ac:dyDescent="0.3">
      <c r="H29" s="833"/>
      <c r="K29" s="833">
        <f>K28*61%</f>
        <v>3421.2276999999999</v>
      </c>
      <c r="L29" s="844">
        <v>0.61</v>
      </c>
      <c r="M29" s="712" t="s">
        <v>539</v>
      </c>
      <c r="W29" s="833"/>
      <c r="Z29" s="833">
        <f>Z28*60%</f>
        <v>3363.279</v>
      </c>
      <c r="AA29" s="844">
        <v>0.6</v>
      </c>
      <c r="AB29" s="712" t="s">
        <v>539</v>
      </c>
      <c r="AL29" s="833"/>
      <c r="AO29" s="833">
        <f>AO28*60%</f>
        <v>3001.8467142857144</v>
      </c>
      <c r="AP29" s="844">
        <v>0.6</v>
      </c>
      <c r="AQ29" s="712" t="s">
        <v>539</v>
      </c>
      <c r="BA29" s="833"/>
      <c r="BD29" s="833">
        <f>BD28*43%</f>
        <v>3014.9092055714286</v>
      </c>
      <c r="BE29" s="844">
        <v>0.43</v>
      </c>
      <c r="BF29" s="712" t="s">
        <v>539</v>
      </c>
      <c r="BP29" s="833"/>
      <c r="BS29" s="833">
        <f>BS28*60%</f>
        <v>2987.5685142857142</v>
      </c>
      <c r="BT29" s="844">
        <v>0.6</v>
      </c>
      <c r="BU29" s="712" t="s">
        <v>539</v>
      </c>
      <c r="CE29" s="833"/>
      <c r="CH29" s="833">
        <f>CH28*61%</f>
        <v>2993.8146428571426</v>
      </c>
      <c r="CI29" s="844">
        <v>0.61</v>
      </c>
      <c r="CJ29" s="712" t="s">
        <v>539</v>
      </c>
    </row>
    <row r="30" spans="1:88" ht="15" customHeight="1" thickBot="1" x14ac:dyDescent="0.35">
      <c r="H30" s="834"/>
      <c r="K30" s="841">
        <f>K28+K29</f>
        <v>9029.7976999999992</v>
      </c>
      <c r="L30" s="712" t="s">
        <v>414</v>
      </c>
      <c r="W30" s="834"/>
      <c r="Z30" s="841">
        <f>Z28+Z29</f>
        <v>8968.7440000000006</v>
      </c>
      <c r="AA30" s="712" t="s">
        <v>414</v>
      </c>
      <c r="AL30" s="834"/>
      <c r="AO30" s="841">
        <f>AO28+AO29</f>
        <v>8004.9245714285717</v>
      </c>
      <c r="AP30" s="712" t="s">
        <v>414</v>
      </c>
      <c r="BA30" s="834"/>
      <c r="BD30" s="841">
        <f>BD28+BD29</f>
        <v>10026.325962714285</v>
      </c>
      <c r="BE30" s="712" t="s">
        <v>414</v>
      </c>
      <c r="BP30" s="834"/>
      <c r="BS30" s="841">
        <f>BS28+BS29</f>
        <v>7966.8493714285705</v>
      </c>
      <c r="BT30" s="712" t="s">
        <v>414</v>
      </c>
      <c r="CE30" s="834"/>
      <c r="CH30" s="841">
        <f>CH28+CH29</f>
        <v>7901.7074999999995</v>
      </c>
      <c r="CI30" s="712" t="s">
        <v>414</v>
      </c>
    </row>
    <row r="31" spans="1:88" ht="15" customHeight="1" thickTop="1" x14ac:dyDescent="0.3"/>
    <row r="36" spans="2:58" ht="15" customHeight="1" x14ac:dyDescent="0.3">
      <c r="C36" s="802" t="s">
        <v>61</v>
      </c>
      <c r="D36" s="801" t="s">
        <v>351</v>
      </c>
      <c r="E36" s="712"/>
      <c r="R36" s="802" t="s">
        <v>61</v>
      </c>
      <c r="S36" s="801" t="s">
        <v>353</v>
      </c>
      <c r="T36" s="712"/>
      <c r="AG36" s="802" t="s">
        <v>61</v>
      </c>
      <c r="AH36" s="801" t="s">
        <v>367</v>
      </c>
      <c r="AI36" s="712"/>
      <c r="AV36" s="802" t="s">
        <v>61</v>
      </c>
      <c r="AW36" s="801" t="s">
        <v>384</v>
      </c>
      <c r="AX36" s="712"/>
    </row>
    <row r="37" spans="2:58" ht="15" customHeight="1" x14ac:dyDescent="0.3">
      <c r="C37" s="802" t="s">
        <v>62</v>
      </c>
      <c r="D37" s="801" t="str">
        <f>VLOOKUP(D36,LISTPROD[],2,FALSE)</f>
        <v>FUMARIA (Gotas)</v>
      </c>
      <c r="E37" s="712"/>
      <c r="R37" s="802" t="s">
        <v>62</v>
      </c>
      <c r="S37" s="801" t="str">
        <f>VLOOKUP(S36,LISTPROD[],2,FALSE)</f>
        <v>MELENA DE LEON (Gotas)</v>
      </c>
      <c r="T37" s="712"/>
      <c r="AG37" s="802" t="s">
        <v>62</v>
      </c>
      <c r="AH37" s="801" t="str">
        <f>VLOOKUP(AH36,LISTPROD[],2,FALSE)</f>
        <v>QUIEBRA BARRIGA (Gotas)</v>
      </c>
      <c r="AI37" s="712"/>
      <c r="AV37" s="802" t="s">
        <v>62</v>
      </c>
      <c r="AW37" s="801" t="str">
        <f>VLOOKUP(AW36,LISTPROD[],2,FALSE)</f>
        <v>VALERIANA (Gotas)</v>
      </c>
      <c r="AX37" s="712"/>
    </row>
    <row r="38" spans="2:58" ht="15" customHeight="1" x14ac:dyDescent="0.3">
      <c r="C38" s="802" t="s">
        <v>234</v>
      </c>
      <c r="D38" s="801" t="str">
        <f>VLOOKUP(D36,LISTPROD[],9,FALSE)</f>
        <v>25 ML</v>
      </c>
      <c r="E38" s="712"/>
      <c r="R38" s="802" t="s">
        <v>234</v>
      </c>
      <c r="S38" s="801" t="str">
        <f>VLOOKUP(S36,LISTPROD[],9,FALSE)</f>
        <v>25 ML</v>
      </c>
      <c r="T38" s="712"/>
      <c r="AG38" s="802" t="s">
        <v>234</v>
      </c>
      <c r="AH38" s="801" t="str">
        <f>VLOOKUP(AH36,LISTPROD[],9,FALSE)</f>
        <v>25 ML</v>
      </c>
      <c r="AI38" s="712"/>
      <c r="AV38" s="802" t="s">
        <v>234</v>
      </c>
      <c r="AW38" s="801" t="str">
        <f>VLOOKUP(AW36,LISTPROD[],9,FALSE)</f>
        <v>25 ML</v>
      </c>
      <c r="AX38" s="712"/>
    </row>
    <row r="39" spans="2:58" ht="15" customHeight="1" x14ac:dyDescent="0.3">
      <c r="C39" s="802" t="s">
        <v>239</v>
      </c>
      <c r="D39" s="801"/>
      <c r="E39" s="800"/>
      <c r="R39" s="802" t="s">
        <v>239</v>
      </c>
      <c r="S39" s="801"/>
      <c r="T39" s="800"/>
      <c r="AG39" s="802" t="s">
        <v>239</v>
      </c>
      <c r="AH39" s="801"/>
      <c r="AI39" s="800"/>
      <c r="AV39" s="802" t="s">
        <v>239</v>
      </c>
      <c r="AW39" s="801"/>
      <c r="AX39" s="800"/>
    </row>
    <row r="40" spans="2:58" ht="15" customHeight="1" x14ac:dyDescent="0.3">
      <c r="C40" s="893" t="s">
        <v>436</v>
      </c>
      <c r="D40" s="801">
        <f>25*F40</f>
        <v>2500</v>
      </c>
      <c r="E40" s="894" t="s">
        <v>437</v>
      </c>
      <c r="F40" s="720">
        <v>100</v>
      </c>
      <c r="R40" s="893" t="s">
        <v>436</v>
      </c>
      <c r="S40" s="801">
        <f>25*U40</f>
        <v>2500</v>
      </c>
      <c r="T40" s="894" t="s">
        <v>437</v>
      </c>
      <c r="U40" s="720">
        <v>100</v>
      </c>
      <c r="AG40" s="893" t="s">
        <v>436</v>
      </c>
      <c r="AH40" s="801">
        <f>25*AJ40</f>
        <v>2500</v>
      </c>
      <c r="AI40" s="894" t="s">
        <v>437</v>
      </c>
      <c r="AJ40" s="720">
        <v>100</v>
      </c>
      <c r="AV40" s="893" t="s">
        <v>436</v>
      </c>
      <c r="AW40" s="801">
        <f>25*AY40</f>
        <v>2500</v>
      </c>
      <c r="AX40" s="894" t="s">
        <v>437</v>
      </c>
      <c r="AY40" s="720">
        <v>100</v>
      </c>
    </row>
    <row r="41" spans="2:58" ht="15" customHeight="1" x14ac:dyDescent="0.3">
      <c r="C41" s="802" t="s">
        <v>238</v>
      </c>
      <c r="D41" s="712" t="s">
        <v>438</v>
      </c>
      <c r="E41" s="800"/>
      <c r="R41" s="802" t="s">
        <v>238</v>
      </c>
      <c r="S41" s="712" t="s">
        <v>438</v>
      </c>
      <c r="T41" s="800"/>
      <c r="AG41" s="802" t="s">
        <v>238</v>
      </c>
      <c r="AH41" s="712" t="s">
        <v>438</v>
      </c>
      <c r="AI41" s="800"/>
      <c r="AV41" s="802" t="s">
        <v>238</v>
      </c>
      <c r="AW41" s="712" t="s">
        <v>438</v>
      </c>
      <c r="AX41" s="800"/>
    </row>
    <row r="42" spans="2:58" ht="15" customHeight="1" thickBot="1" x14ac:dyDescent="0.35">
      <c r="C42" s="806"/>
      <c r="D42" s="806"/>
      <c r="E42" s="895"/>
      <c r="F42" s="800"/>
      <c r="R42" s="806"/>
      <c r="S42" s="806"/>
      <c r="T42" s="895"/>
      <c r="U42" s="800"/>
      <c r="AG42" s="806"/>
      <c r="AH42" s="806"/>
      <c r="AI42" s="895"/>
      <c r="AJ42" s="800"/>
      <c r="AV42" s="806"/>
      <c r="AW42" s="806"/>
      <c r="AX42" s="895"/>
      <c r="AY42" s="800"/>
    </row>
    <row r="43" spans="2:58" ht="15" customHeight="1" thickBot="1" x14ac:dyDescent="0.35">
      <c r="B43" s="722"/>
      <c r="C43" s="1507" t="s">
        <v>404</v>
      </c>
      <c r="D43" s="1508"/>
      <c r="E43" s="1508"/>
      <c r="F43" s="1508"/>
      <c r="G43" s="1509"/>
      <c r="H43" s="1510" t="s">
        <v>411</v>
      </c>
      <c r="I43" s="1512" t="s">
        <v>435</v>
      </c>
      <c r="J43" s="1513"/>
      <c r="K43" s="1514" t="s">
        <v>411</v>
      </c>
      <c r="L43" s="1503" t="s">
        <v>529</v>
      </c>
      <c r="M43" s="1504"/>
      <c r="Q43" s="722"/>
      <c r="R43" s="1507" t="s">
        <v>404</v>
      </c>
      <c r="S43" s="1508"/>
      <c r="T43" s="1508"/>
      <c r="U43" s="1508"/>
      <c r="V43" s="1509"/>
      <c r="W43" s="1510" t="s">
        <v>411</v>
      </c>
      <c r="X43" s="1512" t="s">
        <v>435</v>
      </c>
      <c r="Y43" s="1513"/>
      <c r="Z43" s="1514" t="s">
        <v>411</v>
      </c>
      <c r="AA43" s="1503" t="s">
        <v>529</v>
      </c>
      <c r="AB43" s="1504"/>
      <c r="AF43" s="722"/>
      <c r="AG43" s="1507" t="s">
        <v>404</v>
      </c>
      <c r="AH43" s="1508"/>
      <c r="AI43" s="1508"/>
      <c r="AJ43" s="1508"/>
      <c r="AK43" s="1509"/>
      <c r="AL43" s="1510" t="s">
        <v>411</v>
      </c>
      <c r="AM43" s="1512" t="s">
        <v>435</v>
      </c>
      <c r="AN43" s="1513"/>
      <c r="AO43" s="1514" t="s">
        <v>411</v>
      </c>
      <c r="AP43" s="1503" t="s">
        <v>529</v>
      </c>
      <c r="AQ43" s="1504"/>
      <c r="AU43" s="722"/>
      <c r="AV43" s="1507" t="s">
        <v>404</v>
      </c>
      <c r="AW43" s="1508"/>
      <c r="AX43" s="1508"/>
      <c r="AY43" s="1508"/>
      <c r="AZ43" s="1509"/>
      <c r="BA43" s="1510" t="s">
        <v>411</v>
      </c>
      <c r="BB43" s="1512" t="s">
        <v>435</v>
      </c>
      <c r="BC43" s="1513"/>
      <c r="BD43" s="1514" t="s">
        <v>411</v>
      </c>
      <c r="BE43" s="1503" t="s">
        <v>529</v>
      </c>
      <c r="BF43" s="1504"/>
    </row>
    <row r="44" spans="2:58" ht="41.25" customHeight="1" thickBot="1" x14ac:dyDescent="0.35">
      <c r="B44" s="896" t="s">
        <v>391</v>
      </c>
      <c r="C44" s="897" t="s">
        <v>398</v>
      </c>
      <c r="D44" s="898" t="s">
        <v>441</v>
      </c>
      <c r="E44" s="899" t="s">
        <v>399</v>
      </c>
      <c r="F44" s="900" t="s">
        <v>402</v>
      </c>
      <c r="G44" s="901" t="s">
        <v>399</v>
      </c>
      <c r="H44" s="1511"/>
      <c r="I44" s="902" t="s">
        <v>408</v>
      </c>
      <c r="J44" s="903" t="s">
        <v>415</v>
      </c>
      <c r="K44" s="1515"/>
      <c r="L44" s="904" t="s">
        <v>408</v>
      </c>
      <c r="M44" s="905" t="s">
        <v>415</v>
      </c>
      <c r="Q44" s="896" t="s">
        <v>391</v>
      </c>
      <c r="R44" s="897" t="s">
        <v>398</v>
      </c>
      <c r="S44" s="898" t="s">
        <v>441</v>
      </c>
      <c r="T44" s="899" t="s">
        <v>399</v>
      </c>
      <c r="U44" s="900" t="s">
        <v>402</v>
      </c>
      <c r="V44" s="901" t="s">
        <v>399</v>
      </c>
      <c r="W44" s="1511"/>
      <c r="X44" s="902" t="s">
        <v>408</v>
      </c>
      <c r="Y44" s="903" t="s">
        <v>415</v>
      </c>
      <c r="Z44" s="1515"/>
      <c r="AA44" s="904" t="s">
        <v>408</v>
      </c>
      <c r="AB44" s="905" t="s">
        <v>415</v>
      </c>
      <c r="AF44" s="896" t="s">
        <v>391</v>
      </c>
      <c r="AG44" s="897" t="s">
        <v>398</v>
      </c>
      <c r="AH44" s="898" t="s">
        <v>441</v>
      </c>
      <c r="AI44" s="899" t="s">
        <v>399</v>
      </c>
      <c r="AJ44" s="900" t="s">
        <v>402</v>
      </c>
      <c r="AK44" s="901" t="s">
        <v>399</v>
      </c>
      <c r="AL44" s="1511"/>
      <c r="AM44" s="902" t="s">
        <v>408</v>
      </c>
      <c r="AN44" s="903" t="s">
        <v>415</v>
      </c>
      <c r="AO44" s="1515"/>
      <c r="AP44" s="904" t="s">
        <v>408</v>
      </c>
      <c r="AQ44" s="905" t="s">
        <v>415</v>
      </c>
      <c r="AU44" s="896" t="s">
        <v>391</v>
      </c>
      <c r="AV44" s="897" t="s">
        <v>398</v>
      </c>
      <c r="AW44" s="898" t="s">
        <v>441</v>
      </c>
      <c r="AX44" s="899" t="s">
        <v>399</v>
      </c>
      <c r="AY44" s="900" t="s">
        <v>402</v>
      </c>
      <c r="AZ44" s="901" t="s">
        <v>399</v>
      </c>
      <c r="BA44" s="1511"/>
      <c r="BB44" s="902" t="s">
        <v>408</v>
      </c>
      <c r="BC44" s="903" t="s">
        <v>415</v>
      </c>
      <c r="BD44" s="1515"/>
      <c r="BE44" s="904" t="s">
        <v>408</v>
      </c>
      <c r="BF44" s="905" t="s">
        <v>415</v>
      </c>
    </row>
    <row r="45" spans="2:58" ht="24.95" customHeight="1" x14ac:dyDescent="0.3">
      <c r="B45" s="906" t="s">
        <v>510</v>
      </c>
      <c r="C45" s="907" t="s">
        <v>533</v>
      </c>
      <c r="D45" s="908">
        <v>25</v>
      </c>
      <c r="E45" s="909">
        <f>'Prec Materia Prima y Empaq'!$H$89</f>
        <v>50000</v>
      </c>
      <c r="F45" s="910">
        <f>E45*19%</f>
        <v>9500</v>
      </c>
      <c r="G45" s="911">
        <f>+F45+E45</f>
        <v>59500</v>
      </c>
      <c r="H45" s="912">
        <f>G45/D45*I45</f>
        <v>3570</v>
      </c>
      <c r="I45" s="913">
        <v>1.5</v>
      </c>
      <c r="J45" s="916" t="s">
        <v>56</v>
      </c>
      <c r="K45" s="819">
        <f t="shared" ref="K45:K51" si="25">G45/$D45*L45</f>
        <v>35.699999999999996</v>
      </c>
      <c r="L45" s="915">
        <f>I45/F40</f>
        <v>1.4999999999999999E-2</v>
      </c>
      <c r="M45" s="916" t="s">
        <v>56</v>
      </c>
      <c r="Q45" s="906" t="s">
        <v>510</v>
      </c>
      <c r="R45" s="907" t="s">
        <v>534</v>
      </c>
      <c r="S45" s="908">
        <v>25</v>
      </c>
      <c r="T45" s="909">
        <f>'Prec Materia Prima y Empaq'!$H$92</f>
        <v>50000</v>
      </c>
      <c r="U45" s="910">
        <f>T45*19%</f>
        <v>9500</v>
      </c>
      <c r="V45" s="911">
        <f>+U45+T45</f>
        <v>59500</v>
      </c>
      <c r="W45" s="912">
        <f>V45/S45*X45</f>
        <v>3570</v>
      </c>
      <c r="X45" s="913">
        <v>1.5</v>
      </c>
      <c r="Y45" s="916" t="s">
        <v>56</v>
      </c>
      <c r="Z45" s="819">
        <f t="shared" ref="Z45" si="26">V45/$D45*AA45</f>
        <v>35.699999999999996</v>
      </c>
      <c r="AA45" s="915">
        <f>X45/U40</f>
        <v>1.4999999999999999E-2</v>
      </c>
      <c r="AB45" s="916" t="s">
        <v>56</v>
      </c>
      <c r="AF45" s="906" t="s">
        <v>510</v>
      </c>
      <c r="AG45" s="907" t="s">
        <v>535</v>
      </c>
      <c r="AH45" s="908">
        <v>25</v>
      </c>
      <c r="AI45" s="909">
        <f>'Prec Materia Prima y Empaq'!$H$93</f>
        <v>50000</v>
      </c>
      <c r="AJ45" s="910">
        <f>AI45*19%</f>
        <v>9500</v>
      </c>
      <c r="AK45" s="911">
        <f>+AJ45+AI45</f>
        <v>59500</v>
      </c>
      <c r="AL45" s="912">
        <f>AK45/AH45*AM45</f>
        <v>4760</v>
      </c>
      <c r="AM45" s="913">
        <v>2</v>
      </c>
      <c r="AN45" s="916" t="s">
        <v>56</v>
      </c>
      <c r="AO45" s="819">
        <f t="shared" ref="AO45:AO51" si="27">AK45/$D45*AP45</f>
        <v>47.6</v>
      </c>
      <c r="AP45" s="915">
        <f>AM45/AJ40</f>
        <v>0.02</v>
      </c>
      <c r="AQ45" s="916" t="s">
        <v>56</v>
      </c>
      <c r="AU45" s="906" t="s">
        <v>510</v>
      </c>
      <c r="AV45" s="907" t="s">
        <v>531</v>
      </c>
      <c r="AW45" s="908">
        <v>25</v>
      </c>
      <c r="AX45" s="909">
        <f>'Prec Materia Prima y Empaq'!$H$91</f>
        <v>50000</v>
      </c>
      <c r="AY45" s="910">
        <f>AX45*19%</f>
        <v>9500</v>
      </c>
      <c r="AZ45" s="911">
        <f>+AY45+AX45</f>
        <v>59500</v>
      </c>
      <c r="BA45" s="963">
        <f>AZ45/AW45*BB45</f>
        <v>3570</v>
      </c>
      <c r="BB45" s="913">
        <v>1.5</v>
      </c>
      <c r="BC45" s="916" t="s">
        <v>56</v>
      </c>
      <c r="BD45" s="819">
        <f t="shared" ref="BD45:BD51" si="28">AZ45/$D45*BE45</f>
        <v>35.699999999999996</v>
      </c>
      <c r="BE45" s="915">
        <f>BB45/AY40</f>
        <v>1.4999999999999999E-2</v>
      </c>
      <c r="BF45" s="916" t="s">
        <v>56</v>
      </c>
    </row>
    <row r="46" spans="2:58" ht="24.95" customHeight="1" x14ac:dyDescent="0.3">
      <c r="B46" s="918" t="s">
        <v>510</v>
      </c>
      <c r="C46" s="717" t="s">
        <v>530</v>
      </c>
      <c r="D46" s="919">
        <v>25</v>
      </c>
      <c r="E46" s="818">
        <f>'Prec Materia Prima y Empaq'!$H$90</f>
        <v>50000</v>
      </c>
      <c r="F46" s="819">
        <f t="shared" ref="F46:F49" si="29">E46*19%</f>
        <v>9500</v>
      </c>
      <c r="G46" s="920">
        <f t="shared" ref="G46:G56" si="30">+F46+E46</f>
        <v>59500</v>
      </c>
      <c r="H46" s="820">
        <f t="shared" ref="H46:H51" si="31">G46/D46*I46</f>
        <v>3570</v>
      </c>
      <c r="I46" s="921">
        <v>1.5</v>
      </c>
      <c r="J46" s="923" t="s">
        <v>56</v>
      </c>
      <c r="K46" s="819">
        <f t="shared" si="25"/>
        <v>35.699999999999996</v>
      </c>
      <c r="L46" s="821">
        <f>I46/F40</f>
        <v>1.4999999999999999E-2</v>
      </c>
      <c r="M46" s="923" t="s">
        <v>56</v>
      </c>
      <c r="Q46" s="918" t="s">
        <v>510</v>
      </c>
      <c r="R46" s="717"/>
      <c r="S46" s="919"/>
      <c r="T46" s="818"/>
      <c r="U46" s="819"/>
      <c r="V46" s="920"/>
      <c r="W46" s="820"/>
      <c r="X46" s="921"/>
      <c r="Y46" s="923"/>
      <c r="Z46" s="924">
        <f t="shared" ref="Z46:Z51" si="32">V46/$D46*AA46</f>
        <v>0</v>
      </c>
      <c r="AA46" s="821">
        <f>X46/U40</f>
        <v>0</v>
      </c>
      <c r="AB46" s="923" t="s">
        <v>56</v>
      </c>
      <c r="AF46" s="918" t="s">
        <v>510</v>
      </c>
      <c r="AG46" s="717"/>
      <c r="AH46" s="919"/>
      <c r="AI46" s="818"/>
      <c r="AJ46" s="819"/>
      <c r="AK46" s="920"/>
      <c r="AL46" s="820"/>
      <c r="AM46" s="921"/>
      <c r="AN46" s="923"/>
      <c r="AO46" s="819">
        <f t="shared" si="27"/>
        <v>0</v>
      </c>
      <c r="AP46" s="821">
        <f>AM46/AJ40</f>
        <v>0</v>
      </c>
      <c r="AQ46" s="923" t="s">
        <v>56</v>
      </c>
      <c r="AU46" s="918" t="s">
        <v>510</v>
      </c>
      <c r="AV46" s="717"/>
      <c r="AW46" s="919"/>
      <c r="AX46" s="818"/>
      <c r="AY46" s="819"/>
      <c r="AZ46" s="920"/>
      <c r="BA46" s="820"/>
      <c r="BB46" s="921"/>
      <c r="BC46" s="923"/>
      <c r="BD46" s="819">
        <f t="shared" si="28"/>
        <v>0</v>
      </c>
      <c r="BE46" s="821">
        <f>BB46/AY40</f>
        <v>0</v>
      </c>
      <c r="BF46" s="923" t="s">
        <v>56</v>
      </c>
    </row>
    <row r="47" spans="2:58" ht="24.95" customHeight="1" x14ac:dyDescent="0.3">
      <c r="B47" s="918" t="s">
        <v>510</v>
      </c>
      <c r="C47" s="717" t="s">
        <v>317</v>
      </c>
      <c r="D47" s="919">
        <v>25</v>
      </c>
      <c r="E47" s="818">
        <f>'Prec Materia Prima y Empaq'!$H$78</f>
        <v>50000</v>
      </c>
      <c r="F47" s="819">
        <f t="shared" si="29"/>
        <v>9500</v>
      </c>
      <c r="G47" s="920">
        <f t="shared" si="30"/>
        <v>59500</v>
      </c>
      <c r="H47" s="820">
        <f t="shared" si="31"/>
        <v>3570</v>
      </c>
      <c r="I47" s="921">
        <v>1.5</v>
      </c>
      <c r="J47" s="923" t="s">
        <v>56</v>
      </c>
      <c r="K47" s="819">
        <f t="shared" si="25"/>
        <v>35.699999999999996</v>
      </c>
      <c r="L47" s="821">
        <f>I47/F40</f>
        <v>1.4999999999999999E-2</v>
      </c>
      <c r="M47" s="923" t="s">
        <v>56</v>
      </c>
      <c r="Q47" s="918" t="s">
        <v>510</v>
      </c>
      <c r="R47" s="717"/>
      <c r="S47" s="919"/>
      <c r="T47" s="818"/>
      <c r="U47" s="819"/>
      <c r="V47" s="920"/>
      <c r="W47" s="820"/>
      <c r="X47" s="921"/>
      <c r="Y47" s="923"/>
      <c r="Z47" s="924">
        <f t="shared" si="32"/>
        <v>0</v>
      </c>
      <c r="AA47" s="821">
        <f>X47/U40</f>
        <v>0</v>
      </c>
      <c r="AB47" s="923" t="s">
        <v>56</v>
      </c>
      <c r="AF47" s="918" t="s">
        <v>510</v>
      </c>
      <c r="AG47" s="717"/>
      <c r="AH47" s="919"/>
      <c r="AI47" s="818"/>
      <c r="AJ47" s="819"/>
      <c r="AK47" s="920"/>
      <c r="AL47" s="820"/>
      <c r="AM47" s="921"/>
      <c r="AN47" s="923"/>
      <c r="AO47" s="819">
        <f t="shared" si="27"/>
        <v>0</v>
      </c>
      <c r="AP47" s="821">
        <f>AM47/AJ40</f>
        <v>0</v>
      </c>
      <c r="AQ47" s="923" t="s">
        <v>56</v>
      </c>
      <c r="AU47" s="918" t="s">
        <v>510</v>
      </c>
      <c r="AV47" s="717"/>
      <c r="AW47" s="919"/>
      <c r="AX47" s="818"/>
      <c r="AY47" s="819"/>
      <c r="AZ47" s="920"/>
      <c r="BA47" s="820"/>
      <c r="BB47" s="921"/>
      <c r="BC47" s="923"/>
      <c r="BD47" s="819">
        <f t="shared" si="28"/>
        <v>0</v>
      </c>
      <c r="BE47" s="821">
        <f>BB47/AY40</f>
        <v>0</v>
      </c>
      <c r="BF47" s="923" t="s">
        <v>56</v>
      </c>
    </row>
    <row r="48" spans="2:58" ht="24.95" customHeight="1" x14ac:dyDescent="0.3">
      <c r="B48" s="918" t="s">
        <v>510</v>
      </c>
      <c r="C48" s="717" t="s">
        <v>318</v>
      </c>
      <c r="D48" s="919">
        <v>25</v>
      </c>
      <c r="E48" s="818">
        <f>'Prec Materia Prima y Empaq'!$H$79</f>
        <v>50000</v>
      </c>
      <c r="F48" s="819">
        <f t="shared" si="29"/>
        <v>9500</v>
      </c>
      <c r="G48" s="920">
        <f t="shared" si="30"/>
        <v>59500</v>
      </c>
      <c r="H48" s="820">
        <f t="shared" si="31"/>
        <v>3570</v>
      </c>
      <c r="I48" s="921">
        <v>1.5</v>
      </c>
      <c r="J48" s="923" t="s">
        <v>56</v>
      </c>
      <c r="K48" s="819">
        <f t="shared" si="25"/>
        <v>35.699999999999996</v>
      </c>
      <c r="L48" s="821">
        <f>I48/F40</f>
        <v>1.4999999999999999E-2</v>
      </c>
      <c r="M48" s="923" t="s">
        <v>56</v>
      </c>
      <c r="Q48" s="918" t="s">
        <v>510</v>
      </c>
      <c r="R48" s="717"/>
      <c r="S48" s="919"/>
      <c r="T48" s="818"/>
      <c r="U48" s="819"/>
      <c r="V48" s="920"/>
      <c r="W48" s="820"/>
      <c r="X48" s="921"/>
      <c r="Y48" s="923"/>
      <c r="Z48" s="924">
        <f t="shared" si="32"/>
        <v>0</v>
      </c>
      <c r="AA48" s="821">
        <f>X48/U40</f>
        <v>0</v>
      </c>
      <c r="AB48" s="923" t="s">
        <v>56</v>
      </c>
      <c r="AF48" s="918" t="s">
        <v>510</v>
      </c>
      <c r="AG48" s="717"/>
      <c r="AH48" s="919"/>
      <c r="AI48" s="818"/>
      <c r="AJ48" s="819"/>
      <c r="AK48" s="920"/>
      <c r="AL48" s="820"/>
      <c r="AM48" s="921"/>
      <c r="AN48" s="923"/>
      <c r="AO48" s="819">
        <f t="shared" si="27"/>
        <v>0</v>
      </c>
      <c r="AP48" s="821">
        <f>AM48/AJ40</f>
        <v>0</v>
      </c>
      <c r="AQ48" s="923" t="s">
        <v>56</v>
      </c>
      <c r="AU48" s="918" t="s">
        <v>510</v>
      </c>
      <c r="AV48" s="717"/>
      <c r="AW48" s="919"/>
      <c r="AX48" s="818"/>
      <c r="AY48" s="819"/>
      <c r="AZ48" s="920"/>
      <c r="BA48" s="820"/>
      <c r="BB48" s="921"/>
      <c r="BC48" s="923"/>
      <c r="BD48" s="819">
        <f t="shared" si="28"/>
        <v>0</v>
      </c>
      <c r="BE48" s="821">
        <f>BB48/AY40</f>
        <v>0</v>
      </c>
      <c r="BF48" s="923" t="s">
        <v>56</v>
      </c>
    </row>
    <row r="49" spans="2:80" ht="24.95" customHeight="1" x14ac:dyDescent="0.3">
      <c r="B49" s="918" t="s">
        <v>510</v>
      </c>
      <c r="C49" s="717" t="s">
        <v>319</v>
      </c>
      <c r="D49" s="919">
        <v>25</v>
      </c>
      <c r="E49" s="818">
        <f>'Prec Materia Prima y Empaq'!$H$80</f>
        <v>50000</v>
      </c>
      <c r="F49" s="819">
        <f t="shared" si="29"/>
        <v>9500</v>
      </c>
      <c r="G49" s="920">
        <f t="shared" si="30"/>
        <v>59500</v>
      </c>
      <c r="H49" s="820">
        <f t="shared" si="31"/>
        <v>3570</v>
      </c>
      <c r="I49" s="921">
        <v>1.5</v>
      </c>
      <c r="J49" s="923" t="s">
        <v>56</v>
      </c>
      <c r="K49" s="819">
        <f t="shared" si="25"/>
        <v>35.699999999999996</v>
      </c>
      <c r="L49" s="821">
        <f>I49/F40</f>
        <v>1.4999999999999999E-2</v>
      </c>
      <c r="M49" s="923" t="s">
        <v>56</v>
      </c>
      <c r="Q49" s="918" t="s">
        <v>510</v>
      </c>
      <c r="R49" s="717"/>
      <c r="S49" s="919"/>
      <c r="T49" s="818"/>
      <c r="U49" s="819"/>
      <c r="V49" s="920"/>
      <c r="W49" s="820"/>
      <c r="X49" s="921"/>
      <c r="Y49" s="923"/>
      <c r="Z49" s="924">
        <f t="shared" si="32"/>
        <v>0</v>
      </c>
      <c r="AA49" s="821">
        <f>X49/U40</f>
        <v>0</v>
      </c>
      <c r="AB49" s="923" t="s">
        <v>56</v>
      </c>
      <c r="AF49" s="918" t="s">
        <v>510</v>
      </c>
      <c r="AG49" s="717"/>
      <c r="AH49" s="919"/>
      <c r="AI49" s="818"/>
      <c r="AJ49" s="819"/>
      <c r="AK49" s="920"/>
      <c r="AL49" s="820"/>
      <c r="AM49" s="921"/>
      <c r="AN49" s="923"/>
      <c r="AO49" s="819">
        <f t="shared" si="27"/>
        <v>0</v>
      </c>
      <c r="AP49" s="821">
        <f>AM49/AJ40</f>
        <v>0</v>
      </c>
      <c r="AQ49" s="923" t="s">
        <v>56</v>
      </c>
      <c r="AU49" s="918" t="s">
        <v>510</v>
      </c>
      <c r="AV49" s="717"/>
      <c r="AW49" s="919"/>
      <c r="AX49" s="818"/>
      <c r="AY49" s="819"/>
      <c r="AZ49" s="920"/>
      <c r="BA49" s="820"/>
      <c r="BB49" s="921"/>
      <c r="BC49" s="923"/>
      <c r="BD49" s="819">
        <f t="shared" si="28"/>
        <v>0</v>
      </c>
      <c r="BE49" s="821">
        <f>BB49/AY40</f>
        <v>0</v>
      </c>
      <c r="BF49" s="923" t="s">
        <v>56</v>
      </c>
    </row>
    <row r="50" spans="2:80" ht="24.95" customHeight="1" x14ac:dyDescent="0.3">
      <c r="B50" s="918" t="s">
        <v>510</v>
      </c>
      <c r="C50" s="717" t="s">
        <v>320</v>
      </c>
      <c r="D50" s="919">
        <v>1000</v>
      </c>
      <c r="E50" s="818">
        <f>'Prec Materia Prima y Empaq'!$H$94</f>
        <v>7200</v>
      </c>
      <c r="F50" s="819">
        <v>0</v>
      </c>
      <c r="G50" s="920">
        <f t="shared" si="30"/>
        <v>7200</v>
      </c>
      <c r="H50" s="820">
        <f t="shared" si="31"/>
        <v>4320</v>
      </c>
      <c r="I50" s="921">
        <v>600</v>
      </c>
      <c r="J50" s="923" t="s">
        <v>56</v>
      </c>
      <c r="K50" s="819">
        <f t="shared" si="25"/>
        <v>43.2</v>
      </c>
      <c r="L50" s="821">
        <f>I50/F40</f>
        <v>6</v>
      </c>
      <c r="M50" s="923" t="s">
        <v>56</v>
      </c>
      <c r="Q50" s="918" t="s">
        <v>510</v>
      </c>
      <c r="R50" s="717" t="s">
        <v>320</v>
      </c>
      <c r="S50" s="919">
        <v>1000</v>
      </c>
      <c r="T50" s="818">
        <f>'Prec Materia Prima y Empaq'!$H$94</f>
        <v>7200</v>
      </c>
      <c r="U50" s="819">
        <v>0</v>
      </c>
      <c r="V50" s="920">
        <f t="shared" ref="V50:V56" si="33">+U50+T50</f>
        <v>7200</v>
      </c>
      <c r="W50" s="820">
        <f t="shared" ref="W50:W51" si="34">V50/S50*X50</f>
        <v>4320</v>
      </c>
      <c r="X50" s="921">
        <v>600</v>
      </c>
      <c r="Y50" s="923" t="s">
        <v>56</v>
      </c>
      <c r="Z50" s="819">
        <f t="shared" si="32"/>
        <v>43.2</v>
      </c>
      <c r="AA50" s="821">
        <f>X50/U40</f>
        <v>6</v>
      </c>
      <c r="AB50" s="923" t="s">
        <v>56</v>
      </c>
      <c r="AF50" s="918" t="s">
        <v>510</v>
      </c>
      <c r="AG50" s="717" t="s">
        <v>320</v>
      </c>
      <c r="AH50" s="919">
        <v>1000</v>
      </c>
      <c r="AI50" s="818">
        <f>'Prec Materia Prima y Empaq'!$H$94</f>
        <v>7200</v>
      </c>
      <c r="AJ50" s="819">
        <v>0</v>
      </c>
      <c r="AK50" s="920">
        <f t="shared" ref="AK50:AK56" si="35">+AJ50+AI50</f>
        <v>7200</v>
      </c>
      <c r="AL50" s="820">
        <f t="shared" ref="AL50:AL51" si="36">AK50/AH50*AM50</f>
        <v>8640</v>
      </c>
      <c r="AM50" s="921">
        <v>1200</v>
      </c>
      <c r="AN50" s="923" t="s">
        <v>56</v>
      </c>
      <c r="AO50" s="819">
        <f t="shared" si="27"/>
        <v>86.4</v>
      </c>
      <c r="AP50" s="821">
        <f>AM50/AJ40</f>
        <v>12</v>
      </c>
      <c r="AQ50" s="923" t="s">
        <v>56</v>
      </c>
      <c r="AU50" s="918" t="s">
        <v>510</v>
      </c>
      <c r="AV50" s="717" t="s">
        <v>320</v>
      </c>
      <c r="AW50" s="919">
        <v>1000</v>
      </c>
      <c r="AX50" s="818">
        <f>'Prec Materia Prima y Empaq'!$H$94</f>
        <v>7200</v>
      </c>
      <c r="AY50" s="819">
        <v>0</v>
      </c>
      <c r="AZ50" s="920">
        <f t="shared" ref="AZ50:AZ56" si="37">+AY50+AX50</f>
        <v>7200</v>
      </c>
      <c r="BA50" s="820">
        <f t="shared" ref="BA50:BA51" si="38">AZ50/AW50*BB50</f>
        <v>4320</v>
      </c>
      <c r="BB50" s="921">
        <v>600</v>
      </c>
      <c r="BC50" s="923" t="s">
        <v>56</v>
      </c>
      <c r="BD50" s="819">
        <f t="shared" si="28"/>
        <v>43.2</v>
      </c>
      <c r="BE50" s="821">
        <f>BB50/AY40</f>
        <v>6</v>
      </c>
      <c r="BF50" s="923" t="s">
        <v>56</v>
      </c>
    </row>
    <row r="51" spans="2:80" ht="24.95" customHeight="1" thickBot="1" x14ac:dyDescent="0.35">
      <c r="B51" s="964" t="s">
        <v>510</v>
      </c>
      <c r="C51" s="965" t="s">
        <v>321</v>
      </c>
      <c r="D51" s="966">
        <v>1000</v>
      </c>
      <c r="E51" s="818">
        <f>'Prec Materia Prima y Empaq'!$H$95</f>
        <v>300</v>
      </c>
      <c r="F51" s="967">
        <v>0</v>
      </c>
      <c r="G51" s="968">
        <f t="shared" si="30"/>
        <v>300</v>
      </c>
      <c r="H51" s="969">
        <f t="shared" si="31"/>
        <v>930</v>
      </c>
      <c r="I51" s="970">
        <v>3100</v>
      </c>
      <c r="J51" s="971" t="s">
        <v>56</v>
      </c>
      <c r="K51" s="819">
        <f t="shared" si="25"/>
        <v>9.2999999999999989</v>
      </c>
      <c r="L51" s="972">
        <f>I51/F40</f>
        <v>31</v>
      </c>
      <c r="M51" s="971" t="s">
        <v>56</v>
      </c>
      <c r="Q51" s="964" t="s">
        <v>510</v>
      </c>
      <c r="R51" s="965" t="s">
        <v>321</v>
      </c>
      <c r="S51" s="966">
        <v>1000</v>
      </c>
      <c r="T51" s="818">
        <f>'Prec Materia Prima y Empaq'!$H$95</f>
        <v>300</v>
      </c>
      <c r="U51" s="967">
        <v>0</v>
      </c>
      <c r="V51" s="968">
        <f t="shared" si="33"/>
        <v>300</v>
      </c>
      <c r="W51" s="969">
        <f t="shared" si="34"/>
        <v>930</v>
      </c>
      <c r="X51" s="970">
        <v>3100</v>
      </c>
      <c r="Y51" s="971" t="s">
        <v>56</v>
      </c>
      <c r="Z51" s="819">
        <f t="shared" si="32"/>
        <v>9.2999999999999989</v>
      </c>
      <c r="AA51" s="972">
        <f>X51/U40</f>
        <v>31</v>
      </c>
      <c r="AB51" s="971" t="s">
        <v>56</v>
      </c>
      <c r="AF51" s="964" t="s">
        <v>510</v>
      </c>
      <c r="AG51" s="965" t="s">
        <v>321</v>
      </c>
      <c r="AH51" s="966">
        <v>1000</v>
      </c>
      <c r="AI51" s="818">
        <f>'Prec Materia Prima y Empaq'!$H$95</f>
        <v>300</v>
      </c>
      <c r="AJ51" s="967">
        <v>0</v>
      </c>
      <c r="AK51" s="968">
        <f t="shared" si="35"/>
        <v>300</v>
      </c>
      <c r="AL51" s="969">
        <f t="shared" si="36"/>
        <v>1260</v>
      </c>
      <c r="AM51" s="970">
        <v>4200</v>
      </c>
      <c r="AN51" s="971" t="s">
        <v>56</v>
      </c>
      <c r="AO51" s="819">
        <f t="shared" si="27"/>
        <v>12.6</v>
      </c>
      <c r="AP51" s="972">
        <f>AM51/AJ40</f>
        <v>42</v>
      </c>
      <c r="AQ51" s="971" t="s">
        <v>56</v>
      </c>
      <c r="AU51" s="964" t="s">
        <v>510</v>
      </c>
      <c r="AV51" s="965" t="s">
        <v>321</v>
      </c>
      <c r="AW51" s="966">
        <v>1000</v>
      </c>
      <c r="AX51" s="818">
        <f>'Prec Materia Prima y Empaq'!$H$95</f>
        <v>300</v>
      </c>
      <c r="AY51" s="967">
        <v>0</v>
      </c>
      <c r="AZ51" s="968">
        <f t="shared" si="37"/>
        <v>300</v>
      </c>
      <c r="BA51" s="969">
        <f t="shared" si="38"/>
        <v>930</v>
      </c>
      <c r="BB51" s="970">
        <v>3100</v>
      </c>
      <c r="BC51" s="971" t="s">
        <v>56</v>
      </c>
      <c r="BD51" s="819">
        <f t="shared" si="28"/>
        <v>9.2999999999999989</v>
      </c>
      <c r="BE51" s="972">
        <f>BB51/AY40</f>
        <v>31</v>
      </c>
      <c r="BF51" s="971" t="s">
        <v>56</v>
      </c>
    </row>
    <row r="52" spans="2:80" ht="24.95" customHeight="1" x14ac:dyDescent="0.3">
      <c r="B52" s="906" t="s">
        <v>368</v>
      </c>
      <c r="C52" s="907" t="s">
        <v>375</v>
      </c>
      <c r="D52" s="939">
        <v>1</v>
      </c>
      <c r="E52" s="1505">
        <f>'Prec Materia Prima y Empaq'!H166:$H$166</f>
        <v>1025</v>
      </c>
      <c r="F52" s="917"/>
      <c r="G52" s="911">
        <f t="shared" si="30"/>
        <v>1025</v>
      </c>
      <c r="H52" s="973">
        <f>$G$19/$D$19*$I$19</f>
        <v>102500</v>
      </c>
      <c r="I52" s="917">
        <v>100</v>
      </c>
      <c r="J52" s="916" t="s">
        <v>393</v>
      </c>
      <c r="K52" s="943">
        <f>+E52</f>
        <v>1025</v>
      </c>
      <c r="L52" s="917"/>
      <c r="M52" s="916" t="s">
        <v>393</v>
      </c>
      <c r="Q52" s="906" t="s">
        <v>368</v>
      </c>
      <c r="R52" s="907" t="s">
        <v>375</v>
      </c>
      <c r="S52" s="939">
        <v>1</v>
      </c>
      <c r="T52" s="1505">
        <f>'Prec Materia Prima y Empaq'!H166:$H$166</f>
        <v>1025</v>
      </c>
      <c r="U52" s="917"/>
      <c r="V52" s="911">
        <f t="shared" si="33"/>
        <v>1025</v>
      </c>
      <c r="W52" s="973">
        <f>$G$19/$D$19*$I$19</f>
        <v>102500</v>
      </c>
      <c r="X52" s="917">
        <v>100</v>
      </c>
      <c r="Y52" s="916" t="s">
        <v>393</v>
      </c>
      <c r="Z52" s="943">
        <f>+T52</f>
        <v>1025</v>
      </c>
      <c r="AA52" s="917"/>
      <c r="AB52" s="916" t="s">
        <v>393</v>
      </c>
      <c r="AF52" s="906" t="s">
        <v>368</v>
      </c>
      <c r="AG52" s="907" t="s">
        <v>375</v>
      </c>
      <c r="AH52" s="939">
        <v>1</v>
      </c>
      <c r="AI52" s="1505">
        <f>'Prec Materia Prima y Empaq'!H166:$H$166</f>
        <v>1025</v>
      </c>
      <c r="AJ52" s="917"/>
      <c r="AK52" s="911">
        <f t="shared" si="35"/>
        <v>1025</v>
      </c>
      <c r="AL52" s="973">
        <f>$G$19/$D$19*$I$19</f>
        <v>102500</v>
      </c>
      <c r="AM52" s="917">
        <v>100</v>
      </c>
      <c r="AN52" s="916" t="s">
        <v>393</v>
      </c>
      <c r="AO52" s="943">
        <f>+AI52</f>
        <v>1025</v>
      </c>
      <c r="AP52" s="917"/>
      <c r="AQ52" s="916" t="s">
        <v>393</v>
      </c>
      <c r="AU52" s="906" t="s">
        <v>368</v>
      </c>
      <c r="AV52" s="907" t="s">
        <v>375</v>
      </c>
      <c r="AW52" s="939">
        <v>1</v>
      </c>
      <c r="AX52" s="1505">
        <f>'Prec Materia Prima y Empaq'!H166:$H$166</f>
        <v>1025</v>
      </c>
      <c r="AY52" s="917"/>
      <c r="AZ52" s="911">
        <f t="shared" si="37"/>
        <v>1025</v>
      </c>
      <c r="BA52" s="973">
        <f>$G$19/$D$19*$I$19</f>
        <v>102500</v>
      </c>
      <c r="BB52" s="917">
        <v>100</v>
      </c>
      <c r="BC52" s="916" t="s">
        <v>393</v>
      </c>
      <c r="BD52" s="943">
        <f>+AX52</f>
        <v>1025</v>
      </c>
      <c r="BE52" s="917"/>
      <c r="BF52" s="916" t="s">
        <v>393</v>
      </c>
    </row>
    <row r="53" spans="2:80" ht="24.95" customHeight="1" x14ac:dyDescent="0.3">
      <c r="B53" s="918" t="s">
        <v>368</v>
      </c>
      <c r="C53" s="717" t="s">
        <v>376</v>
      </c>
      <c r="D53" s="824"/>
      <c r="E53" s="1506"/>
      <c r="F53" s="714"/>
      <c r="G53" s="920">
        <f t="shared" si="30"/>
        <v>0</v>
      </c>
      <c r="H53" s="948"/>
      <c r="I53" s="714">
        <v>100</v>
      </c>
      <c r="J53" s="923" t="s">
        <v>393</v>
      </c>
      <c r="K53" s="949"/>
      <c r="L53" s="714"/>
      <c r="M53" s="923" t="s">
        <v>393</v>
      </c>
      <c r="Q53" s="918" t="s">
        <v>368</v>
      </c>
      <c r="R53" s="717" t="s">
        <v>376</v>
      </c>
      <c r="S53" s="824"/>
      <c r="T53" s="1506"/>
      <c r="U53" s="714"/>
      <c r="V53" s="920">
        <f t="shared" si="33"/>
        <v>0</v>
      </c>
      <c r="W53" s="948"/>
      <c r="X53" s="714">
        <v>100</v>
      </c>
      <c r="Y53" s="923" t="s">
        <v>393</v>
      </c>
      <c r="Z53" s="949"/>
      <c r="AA53" s="714"/>
      <c r="AB53" s="923" t="s">
        <v>393</v>
      </c>
      <c r="AF53" s="918" t="s">
        <v>368</v>
      </c>
      <c r="AG53" s="717" t="s">
        <v>376</v>
      </c>
      <c r="AH53" s="824"/>
      <c r="AI53" s="1506"/>
      <c r="AJ53" s="714"/>
      <c r="AK53" s="920">
        <f t="shared" si="35"/>
        <v>0</v>
      </c>
      <c r="AL53" s="948"/>
      <c r="AM53" s="714">
        <v>100</v>
      </c>
      <c r="AN53" s="923" t="s">
        <v>393</v>
      </c>
      <c r="AO53" s="949"/>
      <c r="AP53" s="714"/>
      <c r="AQ53" s="923" t="s">
        <v>393</v>
      </c>
      <c r="AU53" s="918" t="s">
        <v>368</v>
      </c>
      <c r="AV53" s="717" t="s">
        <v>376</v>
      </c>
      <c r="AW53" s="824"/>
      <c r="AX53" s="1506"/>
      <c r="AY53" s="714"/>
      <c r="AZ53" s="920">
        <f t="shared" si="37"/>
        <v>0</v>
      </c>
      <c r="BA53" s="948"/>
      <c r="BB53" s="714">
        <v>100</v>
      </c>
      <c r="BC53" s="923" t="s">
        <v>393</v>
      </c>
      <c r="BD53" s="949"/>
      <c r="BE53" s="714"/>
      <c r="BF53" s="923" t="s">
        <v>393</v>
      </c>
    </row>
    <row r="54" spans="2:80" ht="24.95" customHeight="1" x14ac:dyDescent="0.3">
      <c r="B54" s="918" t="s">
        <v>368</v>
      </c>
      <c r="C54" s="717" t="s">
        <v>377</v>
      </c>
      <c r="D54" s="824">
        <v>1</v>
      </c>
      <c r="E54" s="818">
        <f>'Prec Materia Prima y Empaq'!$H$168</f>
        <v>200</v>
      </c>
      <c r="F54" s="714"/>
      <c r="G54" s="920">
        <f t="shared" si="30"/>
        <v>200</v>
      </c>
      <c r="H54" s="950">
        <f>$G$21/$D$21*$I$21</f>
        <v>20000</v>
      </c>
      <c r="I54" s="714">
        <v>100</v>
      </c>
      <c r="J54" s="923" t="s">
        <v>393</v>
      </c>
      <c r="K54" s="949">
        <f>+E54</f>
        <v>200</v>
      </c>
      <c r="L54" s="714"/>
      <c r="M54" s="923" t="s">
        <v>393</v>
      </c>
      <c r="Q54" s="918" t="s">
        <v>368</v>
      </c>
      <c r="R54" s="717" t="s">
        <v>377</v>
      </c>
      <c r="S54" s="824">
        <v>1</v>
      </c>
      <c r="T54" s="818">
        <f>'Prec Materia Prima y Empaq'!$H$168</f>
        <v>200</v>
      </c>
      <c r="U54" s="714"/>
      <c r="V54" s="920">
        <f t="shared" si="33"/>
        <v>200</v>
      </c>
      <c r="W54" s="950">
        <f>$G$21/$D$21*$I$21</f>
        <v>20000</v>
      </c>
      <c r="X54" s="714">
        <v>100</v>
      </c>
      <c r="Y54" s="923" t="s">
        <v>393</v>
      </c>
      <c r="Z54" s="949">
        <f>+T54</f>
        <v>200</v>
      </c>
      <c r="AA54" s="714"/>
      <c r="AB54" s="923" t="s">
        <v>393</v>
      </c>
      <c r="AF54" s="918" t="s">
        <v>368</v>
      </c>
      <c r="AG54" s="717" t="s">
        <v>377</v>
      </c>
      <c r="AH54" s="824">
        <v>1</v>
      </c>
      <c r="AI54" s="818">
        <f>'Prec Materia Prima y Empaq'!$H$168</f>
        <v>200</v>
      </c>
      <c r="AJ54" s="714"/>
      <c r="AK54" s="920">
        <f t="shared" si="35"/>
        <v>200</v>
      </c>
      <c r="AL54" s="950">
        <f>$G$21/$D$21*$I$21</f>
        <v>20000</v>
      </c>
      <c r="AM54" s="714">
        <v>100</v>
      </c>
      <c r="AN54" s="923" t="s">
        <v>393</v>
      </c>
      <c r="AO54" s="949">
        <f>+AI54</f>
        <v>200</v>
      </c>
      <c r="AP54" s="714"/>
      <c r="AQ54" s="923" t="s">
        <v>393</v>
      </c>
      <c r="AU54" s="918" t="s">
        <v>368</v>
      </c>
      <c r="AV54" s="717" t="s">
        <v>377</v>
      </c>
      <c r="AW54" s="824">
        <v>1</v>
      </c>
      <c r="AX54" s="818">
        <f>'Prec Materia Prima y Empaq'!$H$168</f>
        <v>200</v>
      </c>
      <c r="AY54" s="714"/>
      <c r="AZ54" s="920">
        <f t="shared" si="37"/>
        <v>200</v>
      </c>
      <c r="BA54" s="950">
        <f>$G$21/$D$21*$I$21</f>
        <v>20000</v>
      </c>
      <c r="BB54" s="714">
        <v>100</v>
      </c>
      <c r="BC54" s="923" t="s">
        <v>393</v>
      </c>
      <c r="BD54" s="949">
        <f>+AX54</f>
        <v>200</v>
      </c>
      <c r="BE54" s="714"/>
      <c r="BF54" s="923" t="s">
        <v>393</v>
      </c>
    </row>
    <row r="55" spans="2:80" ht="24.95" customHeight="1" x14ac:dyDescent="0.3">
      <c r="B55" s="918" t="s">
        <v>368</v>
      </c>
      <c r="C55" s="717" t="s">
        <v>502</v>
      </c>
      <c r="D55" s="824">
        <v>1</v>
      </c>
      <c r="E55" s="818">
        <f>'Prec Materia Prima y Empaq'!$H$169</f>
        <v>350</v>
      </c>
      <c r="F55" s="714"/>
      <c r="G55" s="920">
        <f t="shared" si="30"/>
        <v>350</v>
      </c>
      <c r="H55" s="950">
        <f>$G$22/$D$22*$I$22</f>
        <v>35000</v>
      </c>
      <c r="I55" s="714">
        <v>100</v>
      </c>
      <c r="J55" s="923" t="s">
        <v>393</v>
      </c>
      <c r="K55" s="949">
        <f>+E55</f>
        <v>350</v>
      </c>
      <c r="L55" s="714"/>
      <c r="M55" s="923" t="s">
        <v>393</v>
      </c>
      <c r="Q55" s="918" t="s">
        <v>368</v>
      </c>
      <c r="R55" s="717" t="s">
        <v>502</v>
      </c>
      <c r="S55" s="824">
        <v>1</v>
      </c>
      <c r="T55" s="818">
        <f>'Prec Materia Prima y Empaq'!$H$169</f>
        <v>350</v>
      </c>
      <c r="U55" s="714"/>
      <c r="V55" s="920">
        <f t="shared" si="33"/>
        <v>350</v>
      </c>
      <c r="W55" s="950">
        <f>$G$22/$D$22*$I$22</f>
        <v>35000</v>
      </c>
      <c r="X55" s="714">
        <v>100</v>
      </c>
      <c r="Y55" s="923" t="s">
        <v>393</v>
      </c>
      <c r="Z55" s="949">
        <f>+T55</f>
        <v>350</v>
      </c>
      <c r="AA55" s="714"/>
      <c r="AB55" s="923" t="s">
        <v>393</v>
      </c>
      <c r="AF55" s="918" t="s">
        <v>368</v>
      </c>
      <c r="AG55" s="717" t="s">
        <v>502</v>
      </c>
      <c r="AH55" s="824">
        <v>1</v>
      </c>
      <c r="AI55" s="818">
        <f>'Prec Materia Prima y Empaq'!$H$169</f>
        <v>350</v>
      </c>
      <c r="AJ55" s="714"/>
      <c r="AK55" s="920">
        <f t="shared" si="35"/>
        <v>350</v>
      </c>
      <c r="AL55" s="950">
        <f>$G$22/$D$22*$I$22</f>
        <v>35000</v>
      </c>
      <c r="AM55" s="714">
        <v>100</v>
      </c>
      <c r="AN55" s="923" t="s">
        <v>393</v>
      </c>
      <c r="AO55" s="949">
        <f>+AI55</f>
        <v>350</v>
      </c>
      <c r="AP55" s="714"/>
      <c r="AQ55" s="923" t="s">
        <v>393</v>
      </c>
      <c r="AU55" s="918" t="s">
        <v>368</v>
      </c>
      <c r="AV55" s="717" t="s">
        <v>502</v>
      </c>
      <c r="AW55" s="824">
        <v>1</v>
      </c>
      <c r="AX55" s="818">
        <f>'Prec Materia Prima y Empaq'!$H$169</f>
        <v>350</v>
      </c>
      <c r="AY55" s="714"/>
      <c r="AZ55" s="920">
        <f t="shared" si="37"/>
        <v>350</v>
      </c>
      <c r="BA55" s="950">
        <f>$G$22/$D$22*$I$22</f>
        <v>35000</v>
      </c>
      <c r="BB55" s="714">
        <v>100</v>
      </c>
      <c r="BC55" s="923" t="s">
        <v>393</v>
      </c>
      <c r="BD55" s="949">
        <f>+AX55</f>
        <v>350</v>
      </c>
      <c r="BE55" s="714"/>
      <c r="BF55" s="923" t="s">
        <v>393</v>
      </c>
    </row>
    <row r="56" spans="2:80" ht="24.95" customHeight="1" thickBot="1" x14ac:dyDescent="0.35">
      <c r="B56" s="925" t="s">
        <v>368</v>
      </c>
      <c r="C56" s="926" t="s">
        <v>440</v>
      </c>
      <c r="D56" s="951">
        <v>1</v>
      </c>
      <c r="E56" s="936">
        <f>'Prec Materia Prima y Empaq'!$H$170</f>
        <v>200</v>
      </c>
      <c r="F56" s="935"/>
      <c r="G56" s="929">
        <f t="shared" si="30"/>
        <v>200</v>
      </c>
      <c r="H56" s="952">
        <f>$G$23/$D$23*$I$23</f>
        <v>20000</v>
      </c>
      <c r="I56" s="935">
        <v>100</v>
      </c>
      <c r="J56" s="934" t="s">
        <v>393</v>
      </c>
      <c r="K56" s="953">
        <f>+E56</f>
        <v>200</v>
      </c>
      <c r="L56" s="935"/>
      <c r="M56" s="934" t="s">
        <v>393</v>
      </c>
      <c r="Q56" s="925" t="s">
        <v>368</v>
      </c>
      <c r="R56" s="926" t="s">
        <v>440</v>
      </c>
      <c r="S56" s="951">
        <v>1</v>
      </c>
      <c r="T56" s="936">
        <f>'Prec Materia Prima y Empaq'!$H$170</f>
        <v>200</v>
      </c>
      <c r="U56" s="935"/>
      <c r="V56" s="929">
        <f t="shared" si="33"/>
        <v>200</v>
      </c>
      <c r="W56" s="952">
        <f>$G$23/$D$23*$I$23</f>
        <v>20000</v>
      </c>
      <c r="X56" s="935">
        <v>100</v>
      </c>
      <c r="Y56" s="934" t="s">
        <v>393</v>
      </c>
      <c r="Z56" s="953">
        <f>+T56</f>
        <v>200</v>
      </c>
      <c r="AA56" s="935"/>
      <c r="AB56" s="934" t="s">
        <v>393</v>
      </c>
      <c r="AF56" s="925" t="s">
        <v>368</v>
      </c>
      <c r="AG56" s="926" t="s">
        <v>440</v>
      </c>
      <c r="AH56" s="951">
        <v>1</v>
      </c>
      <c r="AI56" s="936">
        <f>'Prec Materia Prima y Empaq'!$H$170</f>
        <v>200</v>
      </c>
      <c r="AJ56" s="935"/>
      <c r="AK56" s="929">
        <f t="shared" si="35"/>
        <v>200</v>
      </c>
      <c r="AL56" s="952">
        <f>$G$23/$D$23*$I$23</f>
        <v>20000</v>
      </c>
      <c r="AM56" s="935">
        <v>100</v>
      </c>
      <c r="AN56" s="934" t="s">
        <v>393</v>
      </c>
      <c r="AO56" s="953">
        <f>+AI56</f>
        <v>200</v>
      </c>
      <c r="AP56" s="935"/>
      <c r="AQ56" s="934" t="s">
        <v>393</v>
      </c>
      <c r="AU56" s="925" t="s">
        <v>368</v>
      </c>
      <c r="AV56" s="926" t="s">
        <v>440</v>
      </c>
      <c r="AW56" s="951">
        <v>1</v>
      </c>
      <c r="AX56" s="936">
        <f>'Prec Materia Prima y Empaq'!$H$170</f>
        <v>200</v>
      </c>
      <c r="AY56" s="935"/>
      <c r="AZ56" s="929">
        <f t="shared" si="37"/>
        <v>200</v>
      </c>
      <c r="BA56" s="952">
        <f>$G$23/$D$23*$I$23</f>
        <v>20000</v>
      </c>
      <c r="BB56" s="935">
        <v>100</v>
      </c>
      <c r="BC56" s="934" t="s">
        <v>393</v>
      </c>
      <c r="BD56" s="953">
        <f>+AX56</f>
        <v>200</v>
      </c>
      <c r="BE56" s="935"/>
      <c r="BF56" s="934" t="s">
        <v>393</v>
      </c>
    </row>
    <row r="57" spans="2:80" ht="24.95" customHeight="1" thickBot="1" x14ac:dyDescent="0.35">
      <c r="B57" s="954"/>
      <c r="C57" s="955"/>
      <c r="D57" s="891"/>
      <c r="E57" s="836"/>
      <c r="G57" s="833"/>
      <c r="H57" s="833"/>
      <c r="K57" s="956">
        <f>SUM(K45:K56)</f>
        <v>2006</v>
      </c>
      <c r="L57" s="835" t="s">
        <v>454</v>
      </c>
      <c r="Q57" s="954"/>
      <c r="R57" s="955"/>
      <c r="S57" s="891"/>
      <c r="T57" s="836"/>
      <c r="V57" s="833"/>
      <c r="W57" s="833"/>
      <c r="Z57" s="956">
        <f>SUM(Z45:Z56)</f>
        <v>1863.2</v>
      </c>
      <c r="AA57" s="835" t="s">
        <v>454</v>
      </c>
      <c r="AF57" s="954"/>
      <c r="AG57" s="955"/>
      <c r="AH57" s="891"/>
      <c r="AI57" s="836"/>
      <c r="AK57" s="833"/>
      <c r="AL57" s="833"/>
      <c r="AO57" s="956">
        <f>SUM(AO45:AO56)</f>
        <v>1921.6</v>
      </c>
      <c r="AP57" s="835" t="s">
        <v>454</v>
      </c>
      <c r="AU57" s="954"/>
      <c r="AV57" s="955"/>
      <c r="AW57" s="891"/>
      <c r="AX57" s="836"/>
      <c r="AZ57" s="833"/>
      <c r="BA57" s="833"/>
      <c r="BD57" s="956">
        <f>SUM(BD45:BD56)</f>
        <v>1863.2</v>
      </c>
      <c r="BE57" s="835" t="s">
        <v>454</v>
      </c>
    </row>
    <row r="58" spans="2:80" ht="24.95" customHeight="1" thickTop="1" x14ac:dyDescent="0.3">
      <c r="B58" s="954"/>
      <c r="C58" s="955"/>
      <c r="D58" s="891"/>
      <c r="E58" s="836"/>
      <c r="G58" s="833"/>
      <c r="H58" s="833"/>
      <c r="Q58" s="954"/>
      <c r="R58" s="955"/>
      <c r="S58" s="891"/>
      <c r="T58" s="836"/>
      <c r="V58" s="833"/>
      <c r="W58" s="833"/>
      <c r="AF58" s="954"/>
      <c r="AG58" s="955"/>
      <c r="AH58" s="891"/>
      <c r="AI58" s="836"/>
      <c r="AK58" s="833"/>
      <c r="AL58" s="833"/>
      <c r="AU58" s="954"/>
      <c r="AV58" s="955"/>
      <c r="AW58" s="891"/>
      <c r="AX58" s="836"/>
      <c r="AZ58" s="833"/>
      <c r="BA58" s="833"/>
    </row>
    <row r="59" spans="2:80" s="879" customFormat="1" ht="24.95" customHeight="1" x14ac:dyDescent="0.3">
      <c r="B59" s="957"/>
      <c r="C59" s="878" t="s">
        <v>409</v>
      </c>
      <c r="D59" s="958"/>
      <c r="E59" s="959"/>
      <c r="F59" s="958"/>
      <c r="G59" s="881">
        <f>+'Gtos Varios'!I14</f>
        <v>3672.93</v>
      </c>
      <c r="H59" s="960"/>
      <c r="I59" s="958"/>
      <c r="J59" s="958"/>
      <c r="K59" s="960">
        <f>+'Gtos Varios'!I14</f>
        <v>3672.93</v>
      </c>
      <c r="L59" s="958"/>
      <c r="M59" s="961"/>
      <c r="O59" s="883"/>
      <c r="Q59" s="957"/>
      <c r="R59" s="878" t="s">
        <v>409</v>
      </c>
      <c r="S59" s="958"/>
      <c r="T59" s="959"/>
      <c r="U59" s="958"/>
      <c r="V59" s="881">
        <f>+'Gtos Varios'!I14</f>
        <v>3672.93</v>
      </c>
      <c r="W59" s="960"/>
      <c r="X59" s="958"/>
      <c r="Y59" s="958"/>
      <c r="Z59" s="960">
        <f>V59</f>
        <v>3672.93</v>
      </c>
      <c r="AA59" s="958"/>
      <c r="AB59" s="961"/>
      <c r="AD59" s="883"/>
      <c r="AF59" s="957"/>
      <c r="AG59" s="878" t="s">
        <v>409</v>
      </c>
      <c r="AH59" s="958"/>
      <c r="AI59" s="959"/>
      <c r="AJ59" s="958"/>
      <c r="AK59" s="881">
        <f>+'Gtos Varios'!I14</f>
        <v>3672.93</v>
      </c>
      <c r="AL59" s="960"/>
      <c r="AM59" s="958"/>
      <c r="AN59" s="958"/>
      <c r="AO59" s="960">
        <f>AK59</f>
        <v>3672.93</v>
      </c>
      <c r="AP59" s="958"/>
      <c r="AQ59" s="961"/>
      <c r="AS59" s="883"/>
      <c r="AU59" s="957"/>
      <c r="AV59" s="878" t="s">
        <v>409</v>
      </c>
      <c r="AW59" s="958"/>
      <c r="AX59" s="959"/>
      <c r="AY59" s="958"/>
      <c r="AZ59" s="881">
        <f>'Gtos Varios'!$B$22</f>
        <v>3070.542857142857</v>
      </c>
      <c r="BA59" s="960"/>
      <c r="BB59" s="958"/>
      <c r="BC59" s="958"/>
      <c r="BD59" s="960">
        <f>AZ59</f>
        <v>3070.542857142857</v>
      </c>
      <c r="BE59" s="958"/>
      <c r="BF59" s="961"/>
      <c r="BH59" s="883"/>
      <c r="BM59" s="974"/>
      <c r="BW59" s="883"/>
      <c r="CB59" s="974"/>
    </row>
    <row r="60" spans="2:80" ht="15" customHeight="1" x14ac:dyDescent="0.3">
      <c r="C60" s="894"/>
      <c r="D60" s="894"/>
      <c r="E60" s="836"/>
      <c r="R60" s="894"/>
      <c r="S60" s="894"/>
      <c r="T60" s="836"/>
      <c r="AG60" s="894"/>
      <c r="AH60" s="894"/>
      <c r="AI60" s="836"/>
      <c r="AV60" s="894"/>
      <c r="AW60" s="894"/>
      <c r="AX60" s="836"/>
    </row>
    <row r="61" spans="2:80" ht="15" customHeight="1" thickBot="1" x14ac:dyDescent="0.35">
      <c r="G61" s="962"/>
      <c r="H61" s="838">
        <f>SUM(H45:H56)</f>
        <v>200600</v>
      </c>
      <c r="J61" s="838"/>
      <c r="K61" s="839">
        <f>+K59+K57</f>
        <v>5678.93</v>
      </c>
      <c r="L61" s="712" t="s">
        <v>412</v>
      </c>
      <c r="V61" s="962"/>
      <c r="W61" s="838">
        <f>SUM(W45:W56)</f>
        <v>186320</v>
      </c>
      <c r="Y61" s="838"/>
      <c r="Z61" s="839">
        <f>+Z59+Z57</f>
        <v>5536.13</v>
      </c>
      <c r="AA61" s="712" t="s">
        <v>412</v>
      </c>
      <c r="AK61" s="962"/>
      <c r="AL61" s="838">
        <f>SUM(AL45:AL56)</f>
        <v>192160</v>
      </c>
      <c r="AN61" s="838"/>
      <c r="AO61" s="839">
        <f>+AO59+AO57</f>
        <v>5594.53</v>
      </c>
      <c r="AP61" s="712" t="s">
        <v>412</v>
      </c>
      <c r="AZ61" s="962"/>
      <c r="BA61" s="838">
        <f>SUM(BA45:BA56)</f>
        <v>186320</v>
      </c>
      <c r="BC61" s="838"/>
      <c r="BD61" s="839">
        <f>+BD59+BD57</f>
        <v>4933.7428571428572</v>
      </c>
      <c r="BE61" s="712" t="s">
        <v>412</v>
      </c>
    </row>
    <row r="62" spans="2:80" ht="15" customHeight="1" thickTop="1" x14ac:dyDescent="0.3">
      <c r="H62" s="833"/>
      <c r="K62" s="833">
        <f>K61*59%</f>
        <v>3350.5686999999998</v>
      </c>
      <c r="L62" s="844">
        <v>0.59</v>
      </c>
      <c r="M62" s="712" t="s">
        <v>539</v>
      </c>
      <c r="W62" s="833"/>
      <c r="Z62" s="833">
        <f>Z61*61%</f>
        <v>3377.0392999999999</v>
      </c>
      <c r="AA62" s="844">
        <v>0.61</v>
      </c>
      <c r="AB62" s="712" t="s">
        <v>539</v>
      </c>
      <c r="AL62" s="833"/>
      <c r="AO62" s="833">
        <f>AO61*61%</f>
        <v>3412.6632999999997</v>
      </c>
      <c r="AP62" s="844">
        <v>0.61</v>
      </c>
      <c r="AQ62" s="712" t="s">
        <v>539</v>
      </c>
      <c r="BA62" s="833"/>
      <c r="BD62" s="833">
        <f>BD61*61%</f>
        <v>3009.5831428571428</v>
      </c>
      <c r="BE62" s="844">
        <v>0.61</v>
      </c>
      <c r="BF62" s="712" t="s">
        <v>539</v>
      </c>
    </row>
    <row r="63" spans="2:80" ht="15" customHeight="1" thickBot="1" x14ac:dyDescent="0.35">
      <c r="H63" s="834"/>
      <c r="K63" s="841">
        <f>K61+K62</f>
        <v>9029.4987000000001</v>
      </c>
      <c r="L63" s="712" t="s">
        <v>414</v>
      </c>
      <c r="W63" s="834"/>
      <c r="Z63" s="841">
        <f>Z61+Z62</f>
        <v>8913.1692999999996</v>
      </c>
      <c r="AA63" s="712" t="s">
        <v>414</v>
      </c>
      <c r="AL63" s="834"/>
      <c r="AO63" s="841">
        <f>AO61+AO62</f>
        <v>9007.193299999999</v>
      </c>
      <c r="AP63" s="712" t="s">
        <v>414</v>
      </c>
      <c r="BA63" s="834"/>
      <c r="BD63" s="841">
        <f>BD61+BD62</f>
        <v>7943.326</v>
      </c>
      <c r="BE63" s="712" t="s">
        <v>414</v>
      </c>
    </row>
    <row r="64" spans="2:80" ht="15" customHeight="1" thickTop="1" x14ac:dyDescent="0.3"/>
    <row r="71" spans="2:13" ht="15" customHeight="1" x14ac:dyDescent="0.3">
      <c r="C71" s="802" t="s">
        <v>61</v>
      </c>
      <c r="D71" s="801" t="s">
        <v>116</v>
      </c>
      <c r="E71" s="712"/>
    </row>
    <row r="72" spans="2:13" ht="15" customHeight="1" x14ac:dyDescent="0.3">
      <c r="C72" s="802" t="s">
        <v>62</v>
      </c>
      <c r="D72" s="801" t="str">
        <f>VLOOKUP(D71,LISTPROD[],2,FALSE)</f>
        <v>ELIXIR (Gotas)</v>
      </c>
      <c r="E72" s="712"/>
    </row>
    <row r="73" spans="2:13" ht="15" customHeight="1" x14ac:dyDescent="0.3">
      <c r="C73" s="802" t="s">
        <v>234</v>
      </c>
      <c r="D73" s="801" t="str">
        <f>VLOOKUP(D71,LISTPROD[],9,FALSE)</f>
        <v>25 ML</v>
      </c>
      <c r="E73" s="712"/>
    </row>
    <row r="74" spans="2:13" ht="15" customHeight="1" x14ac:dyDescent="0.3">
      <c r="C74" s="802" t="s">
        <v>239</v>
      </c>
      <c r="D74" s="801"/>
      <c r="E74" s="800"/>
    </row>
    <row r="75" spans="2:13" ht="15" customHeight="1" x14ac:dyDescent="0.3">
      <c r="C75" s="893" t="s">
        <v>436</v>
      </c>
      <c r="D75" s="801">
        <f>25*F75</f>
        <v>2500</v>
      </c>
      <c r="E75" s="894" t="s">
        <v>437</v>
      </c>
      <c r="F75" s="720">
        <v>100</v>
      </c>
    </row>
    <row r="76" spans="2:13" ht="15" customHeight="1" x14ac:dyDescent="0.3">
      <c r="C76" s="802" t="s">
        <v>238</v>
      </c>
      <c r="D76" s="712" t="s">
        <v>438</v>
      </c>
      <c r="E76" s="800"/>
    </row>
    <row r="77" spans="2:13" ht="15" customHeight="1" thickBot="1" x14ac:dyDescent="0.35">
      <c r="C77" s="806"/>
      <c r="D77" s="806"/>
      <c r="E77" s="895"/>
      <c r="F77" s="800"/>
    </row>
    <row r="78" spans="2:13" ht="15" customHeight="1" thickBot="1" x14ac:dyDescent="0.35">
      <c r="B78" s="722"/>
      <c r="C78" s="1507" t="s">
        <v>404</v>
      </c>
      <c r="D78" s="1508"/>
      <c r="E78" s="1508"/>
      <c r="F78" s="1508"/>
      <c r="G78" s="1509"/>
      <c r="H78" s="1510" t="s">
        <v>411</v>
      </c>
      <c r="I78" s="1512" t="s">
        <v>435</v>
      </c>
      <c r="J78" s="1513"/>
      <c r="K78" s="1514" t="s">
        <v>411</v>
      </c>
      <c r="L78" s="1503" t="s">
        <v>529</v>
      </c>
      <c r="M78" s="1504"/>
    </row>
    <row r="79" spans="2:13" ht="37.5" customHeight="1" thickBot="1" x14ac:dyDescent="0.35">
      <c r="B79" s="896" t="s">
        <v>391</v>
      </c>
      <c r="C79" s="897" t="s">
        <v>398</v>
      </c>
      <c r="D79" s="898" t="s">
        <v>441</v>
      </c>
      <c r="E79" s="899" t="s">
        <v>399</v>
      </c>
      <c r="F79" s="900" t="s">
        <v>402</v>
      </c>
      <c r="G79" s="901" t="s">
        <v>399</v>
      </c>
      <c r="H79" s="1511"/>
      <c r="I79" s="902" t="s">
        <v>408</v>
      </c>
      <c r="J79" s="903" t="s">
        <v>415</v>
      </c>
      <c r="K79" s="1515"/>
      <c r="L79" s="904" t="s">
        <v>408</v>
      </c>
      <c r="M79" s="905" t="s">
        <v>415</v>
      </c>
    </row>
    <row r="80" spans="2:13" ht="15" customHeight="1" x14ac:dyDescent="0.3">
      <c r="B80" s="906" t="s">
        <v>510</v>
      </c>
      <c r="C80" s="907" t="s">
        <v>533</v>
      </c>
      <c r="D80" s="908">
        <v>25</v>
      </c>
      <c r="E80" s="909">
        <f>'Prec Materia Prima y Empaq'!$H$89</f>
        <v>50000</v>
      </c>
      <c r="F80" s="910">
        <f>E80*19%</f>
        <v>9500</v>
      </c>
      <c r="G80" s="911">
        <f>+F80+E80</f>
        <v>59500</v>
      </c>
      <c r="H80" s="912">
        <f>G80/D80*I80</f>
        <v>3570</v>
      </c>
      <c r="I80" s="913">
        <v>1.5</v>
      </c>
      <c r="J80" s="916" t="s">
        <v>56</v>
      </c>
      <c r="K80" s="819">
        <f t="shared" ref="K80:K86" si="39">G80/$D80*L80</f>
        <v>35.699999999999996</v>
      </c>
      <c r="L80" s="915">
        <f>I80/F75</f>
        <v>1.4999999999999999E-2</v>
      </c>
      <c r="M80" s="916" t="s">
        <v>56</v>
      </c>
    </row>
    <row r="81" spans="2:80" ht="15" customHeight="1" x14ac:dyDescent="0.3">
      <c r="B81" s="918" t="s">
        <v>510</v>
      </c>
      <c r="C81" s="717" t="s">
        <v>530</v>
      </c>
      <c r="D81" s="919">
        <v>25</v>
      </c>
      <c r="E81" s="818">
        <f>'Prec Materia Prima y Empaq'!$H$90</f>
        <v>50000</v>
      </c>
      <c r="F81" s="819">
        <f t="shared" ref="F81:F84" si="40">E81*19%</f>
        <v>9500</v>
      </c>
      <c r="G81" s="920">
        <f t="shared" ref="G81:G91" si="41">+F81+E81</f>
        <v>59500</v>
      </c>
      <c r="H81" s="820">
        <f t="shared" ref="H81:H86" si="42">G81/D81*I81</f>
        <v>3570</v>
      </c>
      <c r="I81" s="921">
        <v>1.5</v>
      </c>
      <c r="J81" s="923" t="s">
        <v>56</v>
      </c>
      <c r="K81" s="819">
        <f t="shared" si="39"/>
        <v>35.699999999999996</v>
      </c>
      <c r="L81" s="821">
        <f>I81/F75</f>
        <v>1.4999999999999999E-2</v>
      </c>
      <c r="M81" s="923" t="s">
        <v>56</v>
      </c>
    </row>
    <row r="82" spans="2:80" ht="15" customHeight="1" x14ac:dyDescent="0.3">
      <c r="B82" s="918" t="s">
        <v>510</v>
      </c>
      <c r="C82" s="717" t="s">
        <v>317</v>
      </c>
      <c r="D82" s="919">
        <v>25</v>
      </c>
      <c r="E82" s="818">
        <f>'Prec Materia Prima y Empaq'!$H$78</f>
        <v>50000</v>
      </c>
      <c r="F82" s="819">
        <f t="shared" si="40"/>
        <v>9500</v>
      </c>
      <c r="G82" s="920">
        <f t="shared" si="41"/>
        <v>59500</v>
      </c>
      <c r="H82" s="820">
        <f t="shared" si="42"/>
        <v>3570</v>
      </c>
      <c r="I82" s="921">
        <v>1.5</v>
      </c>
      <c r="J82" s="923" t="s">
        <v>56</v>
      </c>
      <c r="K82" s="819">
        <f t="shared" si="39"/>
        <v>35.699999999999996</v>
      </c>
      <c r="L82" s="821">
        <f>I82/F75</f>
        <v>1.4999999999999999E-2</v>
      </c>
      <c r="M82" s="923" t="s">
        <v>56</v>
      </c>
    </row>
    <row r="83" spans="2:80" ht="15" customHeight="1" x14ac:dyDescent="0.3">
      <c r="B83" s="918" t="s">
        <v>510</v>
      </c>
      <c r="C83" s="717" t="s">
        <v>318</v>
      </c>
      <c r="D83" s="919">
        <v>25</v>
      </c>
      <c r="E83" s="818">
        <f>'Prec Materia Prima y Empaq'!$H$79</f>
        <v>50000</v>
      </c>
      <c r="F83" s="819">
        <f t="shared" si="40"/>
        <v>9500</v>
      </c>
      <c r="G83" s="920">
        <f t="shared" si="41"/>
        <v>59500</v>
      </c>
      <c r="H83" s="820">
        <f t="shared" si="42"/>
        <v>3570</v>
      </c>
      <c r="I83" s="921">
        <v>1.5</v>
      </c>
      <c r="J83" s="923" t="s">
        <v>56</v>
      </c>
      <c r="K83" s="819">
        <f t="shared" si="39"/>
        <v>35.699999999999996</v>
      </c>
      <c r="L83" s="821">
        <f>I83/F75</f>
        <v>1.4999999999999999E-2</v>
      </c>
      <c r="M83" s="923" t="s">
        <v>56</v>
      </c>
    </row>
    <row r="84" spans="2:80" ht="15" customHeight="1" x14ac:dyDescent="0.3">
      <c r="B84" s="918" t="s">
        <v>510</v>
      </c>
      <c r="C84" s="717" t="s">
        <v>319</v>
      </c>
      <c r="D84" s="919">
        <v>25</v>
      </c>
      <c r="E84" s="818">
        <f>'Prec Materia Prima y Empaq'!$H$80</f>
        <v>50000</v>
      </c>
      <c r="F84" s="819">
        <f t="shared" si="40"/>
        <v>9500</v>
      </c>
      <c r="G84" s="920">
        <f t="shared" si="41"/>
        <v>59500</v>
      </c>
      <c r="H84" s="820">
        <f t="shared" si="42"/>
        <v>3570</v>
      </c>
      <c r="I84" s="921">
        <v>1.5</v>
      </c>
      <c r="J84" s="923" t="s">
        <v>56</v>
      </c>
      <c r="K84" s="819">
        <f t="shared" si="39"/>
        <v>35.699999999999996</v>
      </c>
      <c r="L84" s="821">
        <f>I84/F75</f>
        <v>1.4999999999999999E-2</v>
      </c>
      <c r="M84" s="923" t="s">
        <v>56</v>
      </c>
    </row>
    <row r="85" spans="2:80" ht="15" customHeight="1" x14ac:dyDescent="0.3">
      <c r="B85" s="918" t="s">
        <v>510</v>
      </c>
      <c r="C85" s="717" t="s">
        <v>320</v>
      </c>
      <c r="D85" s="919">
        <v>1000</v>
      </c>
      <c r="E85" s="818">
        <f>'Prec Materia Prima y Empaq'!$H$94</f>
        <v>7200</v>
      </c>
      <c r="F85" s="819">
        <v>0</v>
      </c>
      <c r="G85" s="920">
        <f t="shared" si="41"/>
        <v>7200</v>
      </c>
      <c r="H85" s="820">
        <f t="shared" si="42"/>
        <v>4320</v>
      </c>
      <c r="I85" s="921">
        <v>600</v>
      </c>
      <c r="J85" s="923" t="s">
        <v>56</v>
      </c>
      <c r="K85" s="819">
        <f t="shared" si="39"/>
        <v>43.2</v>
      </c>
      <c r="L85" s="821">
        <f>I85/F75</f>
        <v>6</v>
      </c>
      <c r="M85" s="923" t="s">
        <v>56</v>
      </c>
    </row>
    <row r="86" spans="2:80" ht="15" customHeight="1" thickBot="1" x14ac:dyDescent="0.35">
      <c r="B86" s="964" t="s">
        <v>510</v>
      </c>
      <c r="C86" s="965" t="s">
        <v>321</v>
      </c>
      <c r="D86" s="966">
        <v>1000</v>
      </c>
      <c r="E86" s="818">
        <f>'Prec Materia Prima y Empaq'!$H$95</f>
        <v>300</v>
      </c>
      <c r="F86" s="967">
        <v>0</v>
      </c>
      <c r="G86" s="968">
        <f t="shared" si="41"/>
        <v>300</v>
      </c>
      <c r="H86" s="969">
        <f t="shared" si="42"/>
        <v>930</v>
      </c>
      <c r="I86" s="970">
        <v>3100</v>
      </c>
      <c r="J86" s="971" t="s">
        <v>56</v>
      </c>
      <c r="K86" s="819">
        <f t="shared" si="39"/>
        <v>9.2999999999999989</v>
      </c>
      <c r="L86" s="972">
        <f>I86/F75</f>
        <v>31</v>
      </c>
      <c r="M86" s="971" t="s">
        <v>56</v>
      </c>
    </row>
    <row r="87" spans="2:80" ht="15" customHeight="1" x14ac:dyDescent="0.3">
      <c r="B87" s="906" t="s">
        <v>368</v>
      </c>
      <c r="C87" s="907" t="s">
        <v>375</v>
      </c>
      <c r="D87" s="939">
        <v>1</v>
      </c>
      <c r="E87" s="1505">
        <f>'Prec Materia Prima y Empaq'!H166:$H$166</f>
        <v>1025</v>
      </c>
      <c r="F87" s="917"/>
      <c r="G87" s="911">
        <f t="shared" si="41"/>
        <v>1025</v>
      </c>
      <c r="H87" s="973">
        <f>$G$19/$D$19*$I$19</f>
        <v>102500</v>
      </c>
      <c r="I87" s="917">
        <v>100</v>
      </c>
      <c r="J87" s="916" t="s">
        <v>393</v>
      </c>
      <c r="K87" s="943">
        <f>+E87</f>
        <v>1025</v>
      </c>
      <c r="L87" s="917"/>
      <c r="M87" s="916" t="s">
        <v>393</v>
      </c>
    </row>
    <row r="88" spans="2:80" ht="15" customHeight="1" x14ac:dyDescent="0.3">
      <c r="B88" s="918" t="s">
        <v>368</v>
      </c>
      <c r="C88" s="717" t="s">
        <v>376</v>
      </c>
      <c r="D88" s="824"/>
      <c r="E88" s="1506"/>
      <c r="F88" s="714"/>
      <c r="G88" s="920">
        <f t="shared" si="41"/>
        <v>0</v>
      </c>
      <c r="H88" s="948"/>
      <c r="I88" s="714">
        <v>100</v>
      </c>
      <c r="J88" s="923" t="s">
        <v>393</v>
      </c>
      <c r="K88" s="949"/>
      <c r="L88" s="714"/>
      <c r="M88" s="923" t="s">
        <v>393</v>
      </c>
    </row>
    <row r="89" spans="2:80" ht="15" customHeight="1" x14ac:dyDescent="0.3">
      <c r="B89" s="918" t="s">
        <v>368</v>
      </c>
      <c r="C89" s="717" t="s">
        <v>377</v>
      </c>
      <c r="D89" s="824">
        <v>1</v>
      </c>
      <c r="E89" s="818">
        <f>'Prec Materia Prima y Empaq'!$H$168</f>
        <v>200</v>
      </c>
      <c r="F89" s="714"/>
      <c r="G89" s="920">
        <f t="shared" si="41"/>
        <v>200</v>
      </c>
      <c r="H89" s="950">
        <f>$G$21/$D$21*$I$21</f>
        <v>20000</v>
      </c>
      <c r="I89" s="714">
        <v>100</v>
      </c>
      <c r="J89" s="923" t="s">
        <v>393</v>
      </c>
      <c r="K89" s="949">
        <f>+E89</f>
        <v>200</v>
      </c>
      <c r="L89" s="714"/>
      <c r="M89" s="923" t="s">
        <v>393</v>
      </c>
    </row>
    <row r="90" spans="2:80" ht="15" customHeight="1" x14ac:dyDescent="0.3">
      <c r="B90" s="918" t="s">
        <v>368</v>
      </c>
      <c r="C90" s="717" t="s">
        <v>502</v>
      </c>
      <c r="D90" s="824">
        <v>1</v>
      </c>
      <c r="E90" s="818">
        <f>'Prec Materia Prima y Empaq'!$H$169</f>
        <v>350</v>
      </c>
      <c r="F90" s="714"/>
      <c r="G90" s="920">
        <f t="shared" si="41"/>
        <v>350</v>
      </c>
      <c r="H90" s="950">
        <f>$G$22/$D$22*$I$22</f>
        <v>35000</v>
      </c>
      <c r="I90" s="714">
        <v>100</v>
      </c>
      <c r="J90" s="923" t="s">
        <v>393</v>
      </c>
      <c r="K90" s="949">
        <f>+E90</f>
        <v>350</v>
      </c>
      <c r="L90" s="714"/>
      <c r="M90" s="923" t="s">
        <v>393</v>
      </c>
    </row>
    <row r="91" spans="2:80" ht="15" customHeight="1" thickBot="1" x14ac:dyDescent="0.35">
      <c r="B91" s="925" t="s">
        <v>368</v>
      </c>
      <c r="C91" s="926" t="s">
        <v>440</v>
      </c>
      <c r="D91" s="951">
        <v>1</v>
      </c>
      <c r="E91" s="936">
        <f>'Prec Materia Prima y Empaq'!$H$170</f>
        <v>200</v>
      </c>
      <c r="F91" s="935"/>
      <c r="G91" s="929">
        <f t="shared" si="41"/>
        <v>200</v>
      </c>
      <c r="H91" s="952">
        <f>$G$23/$D$23*$I$23</f>
        <v>20000</v>
      </c>
      <c r="I91" s="935">
        <v>100</v>
      </c>
      <c r="J91" s="934" t="s">
        <v>393</v>
      </c>
      <c r="K91" s="953">
        <f>+E91</f>
        <v>200</v>
      </c>
      <c r="L91" s="935"/>
      <c r="M91" s="934" t="s">
        <v>393</v>
      </c>
    </row>
    <row r="92" spans="2:80" ht="15" customHeight="1" thickBot="1" x14ac:dyDescent="0.35">
      <c r="B92" s="954"/>
      <c r="C92" s="955"/>
      <c r="D92" s="891"/>
      <c r="E92" s="836"/>
      <c r="G92" s="833"/>
      <c r="H92" s="833"/>
      <c r="K92" s="956">
        <f>SUM(K80:K91)</f>
        <v>2006</v>
      </c>
      <c r="L92" s="835" t="s">
        <v>454</v>
      </c>
    </row>
    <row r="93" spans="2:80" ht="15" customHeight="1" thickTop="1" x14ac:dyDescent="0.3">
      <c r="B93" s="954"/>
      <c r="C93" s="955"/>
      <c r="D93" s="891"/>
      <c r="E93" s="836"/>
      <c r="G93" s="833"/>
      <c r="H93" s="833"/>
    </row>
    <row r="94" spans="2:80" s="879" customFormat="1" ht="15" customHeight="1" x14ac:dyDescent="0.3">
      <c r="B94" s="957"/>
      <c r="C94" s="878" t="s">
        <v>409</v>
      </c>
      <c r="D94" s="958"/>
      <c r="E94" s="959"/>
      <c r="F94" s="958"/>
      <c r="G94" s="881">
        <f>+'Gtos Varios'!I14</f>
        <v>3672.93</v>
      </c>
      <c r="H94" s="960"/>
      <c r="I94" s="958"/>
      <c r="J94" s="958"/>
      <c r="K94" s="960">
        <f>G94</f>
        <v>3672.93</v>
      </c>
      <c r="L94" s="958"/>
      <c r="M94" s="961"/>
      <c r="O94" s="883"/>
      <c r="T94" s="974"/>
      <c r="AD94" s="883"/>
      <c r="AI94" s="974"/>
      <c r="AS94" s="883"/>
      <c r="AX94" s="974"/>
      <c r="BH94" s="883"/>
      <c r="BM94" s="974"/>
      <c r="BW94" s="883"/>
      <c r="CB94" s="974"/>
    </row>
    <row r="95" spans="2:80" ht="15" customHeight="1" x14ac:dyDescent="0.3">
      <c r="C95" s="894"/>
      <c r="D95" s="894"/>
      <c r="E95" s="836"/>
    </row>
    <row r="96" spans="2:80" ht="15" customHeight="1" thickBot="1" x14ac:dyDescent="0.35">
      <c r="G96" s="962"/>
      <c r="H96" s="838">
        <f>SUM(H80:H91)</f>
        <v>200600</v>
      </c>
      <c r="J96" s="838"/>
      <c r="K96" s="839">
        <f>+K94+K92</f>
        <v>5678.93</v>
      </c>
      <c r="L96" s="712" t="s">
        <v>412</v>
      </c>
    </row>
    <row r="97" spans="2:13" ht="15" customHeight="1" thickTop="1" x14ac:dyDescent="0.3">
      <c r="H97" s="833"/>
      <c r="K97" s="833">
        <f>K96*59%</f>
        <v>3350.5686999999998</v>
      </c>
      <c r="L97" s="844">
        <v>0.59</v>
      </c>
      <c r="M97" s="712" t="s">
        <v>539</v>
      </c>
    </row>
    <row r="98" spans="2:13" ht="15" customHeight="1" thickBot="1" x14ac:dyDescent="0.35">
      <c r="H98" s="834"/>
      <c r="K98" s="841">
        <f>K96+K97</f>
        <v>9029.4987000000001</v>
      </c>
      <c r="L98" s="712" t="s">
        <v>414</v>
      </c>
    </row>
    <row r="99" spans="2:13" ht="15" customHeight="1" thickTop="1" x14ac:dyDescent="0.3"/>
    <row r="101" spans="2:13" ht="15" customHeight="1" x14ac:dyDescent="0.3">
      <c r="E101" s="712"/>
    </row>
    <row r="102" spans="2:13" ht="15" customHeight="1" x14ac:dyDescent="0.3">
      <c r="E102" s="712"/>
    </row>
    <row r="103" spans="2:13" ht="15" customHeight="1" x14ac:dyDescent="0.3">
      <c r="C103" s="802" t="s">
        <v>61</v>
      </c>
      <c r="D103" s="801" t="s">
        <v>213</v>
      </c>
      <c r="E103" s="712"/>
      <c r="F103" s="975"/>
      <c r="G103" s="975"/>
      <c r="H103" s="975"/>
      <c r="I103" s="975"/>
    </row>
    <row r="104" spans="2:13" ht="15" customHeight="1" x14ac:dyDescent="0.3">
      <c r="B104" s="803" t="s">
        <v>718</v>
      </c>
      <c r="C104" s="802" t="s">
        <v>62</v>
      </c>
      <c r="D104" s="801" t="str">
        <f>VLOOKUP(D103,LISTPROD[],2,FALSE)</f>
        <v>VISION PLUS (Gotas)</v>
      </c>
      <c r="E104" s="712"/>
      <c r="F104" s="975"/>
      <c r="G104" s="975"/>
      <c r="H104" s="975"/>
      <c r="I104" s="975"/>
    </row>
    <row r="105" spans="2:13" ht="15" customHeight="1" x14ac:dyDescent="0.3">
      <c r="C105" s="802" t="s">
        <v>234</v>
      </c>
      <c r="D105" s="801" t="str">
        <f>VLOOKUP(D103,LISTPROD[],9,FALSE)</f>
        <v>25 ML</v>
      </c>
      <c r="E105" s="712"/>
      <c r="F105" s="975"/>
      <c r="G105" s="975"/>
      <c r="H105" s="975"/>
      <c r="I105" s="975"/>
    </row>
    <row r="106" spans="2:13" ht="15" customHeight="1" x14ac:dyDescent="0.3">
      <c r="C106" s="802" t="s">
        <v>239</v>
      </c>
      <c r="D106" s="801"/>
      <c r="E106" s="800"/>
      <c r="F106" s="975"/>
      <c r="G106" s="975"/>
      <c r="H106" s="975"/>
      <c r="I106" s="975"/>
    </row>
    <row r="107" spans="2:13" ht="15" customHeight="1" x14ac:dyDescent="0.3">
      <c r="C107" s="893" t="s">
        <v>436</v>
      </c>
      <c r="D107" s="801">
        <f>25*F107</f>
        <v>2500</v>
      </c>
      <c r="E107" s="894" t="s">
        <v>437</v>
      </c>
      <c r="F107" s="720">
        <v>100</v>
      </c>
    </row>
    <row r="108" spans="2:13" ht="15" customHeight="1" x14ac:dyDescent="0.3">
      <c r="C108" s="802" t="s">
        <v>238</v>
      </c>
      <c r="D108" s="712" t="s">
        <v>438</v>
      </c>
      <c r="E108" s="800"/>
    </row>
    <row r="109" spans="2:13" ht="15" customHeight="1" thickBot="1" x14ac:dyDescent="0.35">
      <c r="C109" s="806"/>
      <c r="D109" s="806"/>
      <c r="E109" s="895"/>
      <c r="F109" s="800"/>
    </row>
    <row r="110" spans="2:13" ht="25.5" customHeight="1" thickBot="1" x14ac:dyDescent="0.35">
      <c r="B110" s="722"/>
      <c r="C110" s="1507" t="s">
        <v>404</v>
      </c>
      <c r="D110" s="1508"/>
      <c r="E110" s="1508"/>
      <c r="F110" s="1508"/>
      <c r="G110" s="1509"/>
      <c r="H110" s="1510" t="s">
        <v>411</v>
      </c>
      <c r="I110" s="1512" t="s">
        <v>435</v>
      </c>
      <c r="J110" s="1513"/>
      <c r="K110" s="1514" t="s">
        <v>411</v>
      </c>
      <c r="L110" s="1503" t="s">
        <v>529</v>
      </c>
      <c r="M110" s="1504"/>
    </row>
    <row r="111" spans="2:13" ht="15" customHeight="1" thickBot="1" x14ac:dyDescent="0.35">
      <c r="B111" s="896" t="s">
        <v>391</v>
      </c>
      <c r="C111" s="897" t="s">
        <v>398</v>
      </c>
      <c r="D111" s="898" t="s">
        <v>441</v>
      </c>
      <c r="E111" s="899" t="s">
        <v>399</v>
      </c>
      <c r="F111" s="900" t="s">
        <v>402</v>
      </c>
      <c r="G111" s="901" t="s">
        <v>399</v>
      </c>
      <c r="H111" s="1511"/>
      <c r="I111" s="902" t="s">
        <v>408</v>
      </c>
      <c r="J111" s="903" t="s">
        <v>415</v>
      </c>
      <c r="K111" s="1515"/>
      <c r="L111" s="904" t="s">
        <v>408</v>
      </c>
      <c r="M111" s="905" t="s">
        <v>415</v>
      </c>
    </row>
    <row r="112" spans="2:13" ht="22.5" customHeight="1" x14ac:dyDescent="0.3">
      <c r="B112" s="906" t="s">
        <v>510</v>
      </c>
      <c r="C112" s="907" t="s">
        <v>265</v>
      </c>
      <c r="D112" s="919">
        <v>1000</v>
      </c>
      <c r="E112" s="976">
        <f>'Prec Materia Prima y Empaq'!$H$16</f>
        <v>14000</v>
      </c>
      <c r="F112" s="910">
        <f>E112*19%</f>
        <v>2660</v>
      </c>
      <c r="G112" s="911">
        <f>+F112+E112</f>
        <v>16660</v>
      </c>
      <c r="H112" s="912">
        <f>G112/D112*I112</f>
        <v>2499</v>
      </c>
      <c r="I112" s="913">
        <v>150</v>
      </c>
      <c r="J112" s="916" t="s">
        <v>56</v>
      </c>
      <c r="K112" s="819">
        <f t="shared" ref="K112:K114" si="43">G112/$D112*L112</f>
        <v>24.990000000000002</v>
      </c>
      <c r="L112" s="915">
        <f>I112/F107</f>
        <v>1.5</v>
      </c>
      <c r="M112" s="916" t="s">
        <v>56</v>
      </c>
    </row>
    <row r="113" spans="2:80" ht="22.5" customHeight="1" x14ac:dyDescent="0.3">
      <c r="B113" s="918" t="s">
        <v>510</v>
      </c>
      <c r="C113" s="717" t="s">
        <v>259</v>
      </c>
      <c r="D113" s="919">
        <v>1000</v>
      </c>
      <c r="E113" s="843">
        <f>'Prec Materia Prima y Empaq'!$H$42</f>
        <v>63103</v>
      </c>
      <c r="F113" s="819">
        <f t="shared" ref="F113" si="44">E113*19%</f>
        <v>11989.57</v>
      </c>
      <c r="G113" s="920">
        <f t="shared" ref="G113:G119" si="45">+F113+E113</f>
        <v>75092.570000000007</v>
      </c>
      <c r="H113" s="820">
        <f t="shared" ref="H113:H114" si="46">G113/D113*I113</f>
        <v>75.092570000000009</v>
      </c>
      <c r="I113" s="921">
        <v>1</v>
      </c>
      <c r="J113" s="923" t="s">
        <v>54</v>
      </c>
      <c r="K113" s="819">
        <f t="shared" si="43"/>
        <v>0.75092570000000014</v>
      </c>
      <c r="L113" s="821">
        <f>I113/F107</f>
        <v>0.01</v>
      </c>
      <c r="M113" s="923" t="s">
        <v>56</v>
      </c>
    </row>
    <row r="114" spans="2:80" ht="24" customHeight="1" thickBot="1" x14ac:dyDescent="0.35">
      <c r="B114" s="964" t="s">
        <v>510</v>
      </c>
      <c r="C114" s="965" t="s">
        <v>321</v>
      </c>
      <c r="D114" s="966">
        <v>1000</v>
      </c>
      <c r="E114" s="818">
        <f>'Prec Materia Prima y Empaq'!$H$95</f>
        <v>300</v>
      </c>
      <c r="F114" s="967">
        <v>0</v>
      </c>
      <c r="G114" s="968">
        <f t="shared" si="45"/>
        <v>300</v>
      </c>
      <c r="H114" s="969">
        <f t="shared" si="46"/>
        <v>1500</v>
      </c>
      <c r="I114" s="970">
        <v>5000</v>
      </c>
      <c r="J114" s="971" t="s">
        <v>56</v>
      </c>
      <c r="K114" s="819">
        <f t="shared" si="43"/>
        <v>15</v>
      </c>
      <c r="L114" s="972">
        <f>I114/F107</f>
        <v>50</v>
      </c>
      <c r="M114" s="971" t="s">
        <v>56</v>
      </c>
    </row>
    <row r="115" spans="2:80" ht="36" customHeight="1" x14ac:dyDescent="0.3">
      <c r="B115" s="906" t="s">
        <v>368</v>
      </c>
      <c r="C115" s="907" t="s">
        <v>375</v>
      </c>
      <c r="D115" s="939">
        <v>1</v>
      </c>
      <c r="E115" s="1505">
        <f>'Prec Materia Prima y Empaq'!$H$166</f>
        <v>1025</v>
      </c>
      <c r="F115" s="917"/>
      <c r="G115" s="911">
        <f t="shared" si="45"/>
        <v>1025</v>
      </c>
      <c r="H115" s="973">
        <f>$G$19/$D$19*$I$19</f>
        <v>102500</v>
      </c>
      <c r="I115" s="917">
        <v>100</v>
      </c>
      <c r="J115" s="916" t="s">
        <v>393</v>
      </c>
      <c r="K115" s="943">
        <f>+E115</f>
        <v>1025</v>
      </c>
      <c r="L115" s="917"/>
      <c r="M115" s="916" t="s">
        <v>393</v>
      </c>
    </row>
    <row r="116" spans="2:80" ht="42.75" customHeight="1" x14ac:dyDescent="0.3">
      <c r="B116" s="918" t="s">
        <v>368</v>
      </c>
      <c r="C116" s="717" t="s">
        <v>376</v>
      </c>
      <c r="D116" s="824"/>
      <c r="E116" s="1506"/>
      <c r="F116" s="714"/>
      <c r="G116" s="920">
        <f t="shared" si="45"/>
        <v>0</v>
      </c>
      <c r="H116" s="948"/>
      <c r="I116" s="714">
        <v>100</v>
      </c>
      <c r="J116" s="923" t="s">
        <v>393</v>
      </c>
      <c r="K116" s="949"/>
      <c r="L116" s="714"/>
      <c r="M116" s="923" t="s">
        <v>393</v>
      </c>
    </row>
    <row r="117" spans="2:80" ht="15" customHeight="1" x14ac:dyDescent="0.3">
      <c r="B117" s="918" t="s">
        <v>368</v>
      </c>
      <c r="C117" s="717" t="s">
        <v>377</v>
      </c>
      <c r="D117" s="824">
        <v>1</v>
      </c>
      <c r="E117" s="818">
        <f>'Preci Comp Prod'!$N$47</f>
        <v>200</v>
      </c>
      <c r="F117" s="714"/>
      <c r="G117" s="920">
        <f t="shared" si="45"/>
        <v>200</v>
      </c>
      <c r="H117" s="950">
        <f>$G$21/$D$21*$I$21</f>
        <v>20000</v>
      </c>
      <c r="I117" s="714">
        <v>100</v>
      </c>
      <c r="J117" s="923" t="s">
        <v>393</v>
      </c>
      <c r="K117" s="949">
        <f>+E117</f>
        <v>200</v>
      </c>
      <c r="L117" s="714"/>
      <c r="M117" s="923" t="s">
        <v>393</v>
      </c>
    </row>
    <row r="118" spans="2:80" ht="15" customHeight="1" x14ac:dyDescent="0.3">
      <c r="B118" s="918" t="s">
        <v>368</v>
      </c>
      <c r="C118" s="717" t="s">
        <v>502</v>
      </c>
      <c r="D118" s="824">
        <v>1</v>
      </c>
      <c r="E118" s="818">
        <f>'Preci Comp Prod'!$N$48</f>
        <v>350</v>
      </c>
      <c r="F118" s="714"/>
      <c r="G118" s="920">
        <f t="shared" si="45"/>
        <v>350</v>
      </c>
      <c r="H118" s="950">
        <f>$G$22/$D$22*$I$22</f>
        <v>35000</v>
      </c>
      <c r="I118" s="714">
        <v>100</v>
      </c>
      <c r="J118" s="923" t="s">
        <v>393</v>
      </c>
      <c r="K118" s="949">
        <f>+E118</f>
        <v>350</v>
      </c>
      <c r="L118" s="714"/>
      <c r="M118" s="923" t="s">
        <v>393</v>
      </c>
    </row>
    <row r="119" spans="2:80" ht="15" customHeight="1" thickBot="1" x14ac:dyDescent="0.35">
      <c r="B119" s="925" t="s">
        <v>368</v>
      </c>
      <c r="C119" s="926" t="s">
        <v>440</v>
      </c>
      <c r="D119" s="951">
        <v>1</v>
      </c>
      <c r="E119" s="936">
        <f>'Preci Comp Prod'!$N$49</f>
        <v>200</v>
      </c>
      <c r="F119" s="935"/>
      <c r="G119" s="929">
        <f t="shared" si="45"/>
        <v>200</v>
      </c>
      <c r="H119" s="952">
        <f>$G$23/$D$23*$I$23</f>
        <v>20000</v>
      </c>
      <c r="I119" s="935">
        <v>100</v>
      </c>
      <c r="J119" s="934" t="s">
        <v>393</v>
      </c>
      <c r="K119" s="953">
        <f>+E119</f>
        <v>200</v>
      </c>
      <c r="L119" s="935"/>
      <c r="M119" s="934" t="s">
        <v>393</v>
      </c>
    </row>
    <row r="120" spans="2:80" ht="15" customHeight="1" thickBot="1" x14ac:dyDescent="0.35">
      <c r="B120" s="954"/>
      <c r="C120" s="955"/>
      <c r="D120" s="891"/>
      <c r="E120" s="836"/>
      <c r="G120" s="833"/>
      <c r="H120" s="833"/>
      <c r="K120" s="956">
        <f>SUM(K112:K119)</f>
        <v>1815.7409256999999</v>
      </c>
      <c r="L120" s="835" t="s">
        <v>454</v>
      </c>
    </row>
    <row r="121" spans="2:80" ht="15" customHeight="1" thickTop="1" x14ac:dyDescent="0.3">
      <c r="B121" s="954"/>
      <c r="C121" s="955"/>
      <c r="D121" s="891"/>
      <c r="E121" s="836"/>
      <c r="G121" s="833"/>
      <c r="H121" s="833"/>
    </row>
    <row r="122" spans="2:80" s="879" customFormat="1" ht="15" customHeight="1" x14ac:dyDescent="0.3">
      <c r="B122" s="957"/>
      <c r="C122" s="878" t="s">
        <v>409</v>
      </c>
      <c r="D122" s="958"/>
      <c r="E122" s="959"/>
      <c r="F122" s="958"/>
      <c r="G122" s="881">
        <f>+'Gtos Varios'!I14</f>
        <v>3672.93</v>
      </c>
      <c r="H122" s="960"/>
      <c r="I122" s="958"/>
      <c r="J122" s="958"/>
      <c r="K122" s="960">
        <f>G122</f>
        <v>3672.93</v>
      </c>
      <c r="L122" s="958"/>
      <c r="M122" s="961"/>
      <c r="O122" s="883"/>
      <c r="T122" s="974"/>
      <c r="AD122" s="883"/>
      <c r="AI122" s="974"/>
      <c r="AS122" s="883"/>
      <c r="AX122" s="974"/>
      <c r="BH122" s="883"/>
      <c r="BM122" s="974"/>
      <c r="BW122" s="883"/>
      <c r="CB122" s="974"/>
    </row>
    <row r="123" spans="2:80" ht="15" customHeight="1" x14ac:dyDescent="0.3">
      <c r="C123" s="894"/>
      <c r="D123" s="894"/>
      <c r="E123" s="836"/>
    </row>
    <row r="124" spans="2:80" ht="15" customHeight="1" thickBot="1" x14ac:dyDescent="0.35">
      <c r="G124" s="962"/>
      <c r="H124" s="838">
        <f>SUM(H109:H119)</f>
        <v>181574.09256999998</v>
      </c>
      <c r="J124" s="838"/>
      <c r="K124" s="839">
        <f>+K122+K120</f>
        <v>5488.6709257000002</v>
      </c>
      <c r="L124" s="712" t="s">
        <v>412</v>
      </c>
    </row>
    <row r="125" spans="2:80" ht="15" customHeight="1" thickTop="1" x14ac:dyDescent="0.3">
      <c r="H125" s="833"/>
      <c r="K125" s="833">
        <f>K124*59%</f>
        <v>3238.3158461630001</v>
      </c>
      <c r="L125" s="844">
        <v>0.59</v>
      </c>
      <c r="M125" s="712" t="s">
        <v>539</v>
      </c>
    </row>
    <row r="126" spans="2:80" ht="15" customHeight="1" thickBot="1" x14ac:dyDescent="0.35">
      <c r="H126" s="834"/>
      <c r="K126" s="841">
        <f>K124+K125</f>
        <v>8726.9867718630012</v>
      </c>
      <c r="L126" s="712" t="s">
        <v>414</v>
      </c>
    </row>
    <row r="127" spans="2:80" ht="15" customHeight="1" thickTop="1" x14ac:dyDescent="0.3"/>
    <row r="131" spans="2:13" ht="15" customHeight="1" x14ac:dyDescent="0.3">
      <c r="C131" s="802" t="s">
        <v>61</v>
      </c>
      <c r="D131" s="801" t="s">
        <v>104</v>
      </c>
      <c r="E131" s="712"/>
      <c r="F131" s="975"/>
      <c r="G131" s="975"/>
      <c r="H131" s="975"/>
      <c r="I131" s="975"/>
    </row>
    <row r="132" spans="2:13" ht="15" customHeight="1" x14ac:dyDescent="0.3">
      <c r="B132" s="803"/>
      <c r="C132" s="802" t="s">
        <v>62</v>
      </c>
      <c r="D132" s="801" t="str">
        <f>VLOOKUP(D131,LISTPROD[],2,FALSE)</f>
        <v>COLIRIO CUBANO (Gotas)</v>
      </c>
      <c r="E132" s="712"/>
      <c r="F132" s="975"/>
      <c r="G132" s="975"/>
      <c r="H132" s="975"/>
      <c r="I132" s="975"/>
    </row>
    <row r="133" spans="2:13" ht="15" customHeight="1" x14ac:dyDescent="0.3">
      <c r="C133" s="802" t="s">
        <v>234</v>
      </c>
      <c r="D133" s="801" t="str">
        <f>VLOOKUP(D131,LISTPROD[],9,FALSE)</f>
        <v>25 ML</v>
      </c>
      <c r="E133" s="712"/>
      <c r="F133" s="975"/>
      <c r="G133" s="975"/>
      <c r="H133" s="975"/>
      <c r="I133" s="975"/>
    </row>
    <row r="134" spans="2:13" ht="15" customHeight="1" x14ac:dyDescent="0.3">
      <c r="C134" s="802" t="s">
        <v>239</v>
      </c>
      <c r="D134" s="804"/>
      <c r="E134" s="800"/>
      <c r="F134" s="975"/>
      <c r="G134" s="975"/>
      <c r="H134" s="975"/>
      <c r="I134" s="975"/>
    </row>
    <row r="135" spans="2:13" ht="15" customHeight="1" x14ac:dyDescent="0.3">
      <c r="C135" s="893" t="s">
        <v>436</v>
      </c>
      <c r="D135" s="801">
        <f>25*F135</f>
        <v>2500</v>
      </c>
      <c r="E135" s="894" t="s">
        <v>437</v>
      </c>
      <c r="F135" s="720">
        <v>100</v>
      </c>
    </row>
    <row r="136" spans="2:13" ht="15" customHeight="1" x14ac:dyDescent="0.3">
      <c r="C136" s="802" t="s">
        <v>238</v>
      </c>
      <c r="D136" s="712" t="s">
        <v>438</v>
      </c>
      <c r="E136" s="800"/>
    </row>
    <row r="137" spans="2:13" ht="15" customHeight="1" thickBot="1" x14ac:dyDescent="0.35">
      <c r="C137" s="806"/>
      <c r="D137" s="806"/>
      <c r="E137" s="895"/>
      <c r="F137" s="800"/>
    </row>
    <row r="138" spans="2:13" ht="24" customHeight="1" thickBot="1" x14ac:dyDescent="0.35">
      <c r="B138" s="722"/>
      <c r="C138" s="1507" t="s">
        <v>404</v>
      </c>
      <c r="D138" s="1508"/>
      <c r="E138" s="1508"/>
      <c r="F138" s="1508"/>
      <c r="G138" s="1509"/>
      <c r="H138" s="1510" t="s">
        <v>411</v>
      </c>
      <c r="I138" s="1512" t="s">
        <v>435</v>
      </c>
      <c r="J138" s="1513"/>
      <c r="K138" s="1514" t="s">
        <v>411</v>
      </c>
      <c r="L138" s="1503" t="s">
        <v>529</v>
      </c>
      <c r="M138" s="1504"/>
    </row>
    <row r="139" spans="2:13" ht="31.5" customHeight="1" thickBot="1" x14ac:dyDescent="0.35">
      <c r="B139" s="896" t="s">
        <v>391</v>
      </c>
      <c r="C139" s="897" t="s">
        <v>398</v>
      </c>
      <c r="D139" s="898" t="s">
        <v>441</v>
      </c>
      <c r="E139" s="899" t="s">
        <v>399</v>
      </c>
      <c r="F139" s="900" t="s">
        <v>402</v>
      </c>
      <c r="G139" s="901" t="s">
        <v>399</v>
      </c>
      <c r="H139" s="1511"/>
      <c r="I139" s="902" t="s">
        <v>408</v>
      </c>
      <c r="J139" s="903" t="s">
        <v>415</v>
      </c>
      <c r="K139" s="1515"/>
      <c r="L139" s="904" t="s">
        <v>408</v>
      </c>
      <c r="M139" s="905" t="s">
        <v>415</v>
      </c>
    </row>
    <row r="140" spans="2:13" ht="36.75" customHeight="1" thickBot="1" x14ac:dyDescent="0.35">
      <c r="B140" s="906" t="s">
        <v>510</v>
      </c>
      <c r="C140" s="907" t="s">
        <v>785</v>
      </c>
      <c r="D140" s="966">
        <v>1000</v>
      </c>
      <c r="E140" s="976">
        <f>'Prec Materia Prima y Empaq'!$H$16</f>
        <v>14000</v>
      </c>
      <c r="F140" s="910">
        <f>E140*19%</f>
        <v>2660</v>
      </c>
      <c r="G140" s="911">
        <f>+F140+E140</f>
        <v>16660</v>
      </c>
      <c r="H140" s="912">
        <f>G140/D140*I140</f>
        <v>2082.5</v>
      </c>
      <c r="I140" s="977">
        <v>125</v>
      </c>
      <c r="J140" s="978" t="s">
        <v>56</v>
      </c>
      <c r="K140" s="819">
        <f t="shared" ref="K140:K142" si="47">G140/$D140*L140</f>
        <v>20.824999999999999</v>
      </c>
      <c r="L140" s="915">
        <f>I140/F135</f>
        <v>1.25</v>
      </c>
      <c r="M140" s="916" t="s">
        <v>56</v>
      </c>
    </row>
    <row r="141" spans="2:13" ht="22.5" customHeight="1" thickBot="1" x14ac:dyDescent="0.35">
      <c r="B141" s="918" t="s">
        <v>510</v>
      </c>
      <c r="C141" s="717" t="s">
        <v>259</v>
      </c>
      <c r="D141" s="966">
        <v>1000</v>
      </c>
      <c r="E141" s="843">
        <f>'Prec Materia Prima y Empaq'!$H$42</f>
        <v>63103</v>
      </c>
      <c r="F141" s="910">
        <f>E141*19%</f>
        <v>11989.57</v>
      </c>
      <c r="G141" s="920">
        <f>+F141+E141</f>
        <v>75092.570000000007</v>
      </c>
      <c r="H141" s="820">
        <f t="shared" ref="H141" si="48">G141/D141*I141</f>
        <v>75.092570000000009</v>
      </c>
      <c r="I141" s="979">
        <v>1</v>
      </c>
      <c r="J141" s="714" t="s">
        <v>56</v>
      </c>
      <c r="K141" s="819">
        <f t="shared" si="47"/>
        <v>0.75092570000000014</v>
      </c>
      <c r="L141" s="915">
        <f>I141/F135</f>
        <v>0.01</v>
      </c>
      <c r="M141" s="916" t="s">
        <v>56</v>
      </c>
    </row>
    <row r="142" spans="2:13" ht="15" customHeight="1" x14ac:dyDescent="0.3">
      <c r="B142" s="918" t="s">
        <v>510</v>
      </c>
      <c r="C142" s="717" t="s">
        <v>267</v>
      </c>
      <c r="D142" s="919">
        <v>1000</v>
      </c>
      <c r="E142" s="843"/>
      <c r="F142" s="819"/>
      <c r="G142" s="920"/>
      <c r="H142" s="820"/>
      <c r="I142" s="980"/>
      <c r="J142" s="714"/>
      <c r="K142" s="819">
        <f t="shared" si="47"/>
        <v>0</v>
      </c>
      <c r="L142" s="915"/>
      <c r="M142" s="916"/>
    </row>
    <row r="143" spans="2:13" ht="15" customHeight="1" x14ac:dyDescent="0.3">
      <c r="B143" s="918" t="s">
        <v>510</v>
      </c>
      <c r="C143" s="717"/>
      <c r="D143" s="919">
        <v>1000</v>
      </c>
      <c r="E143" s="843"/>
      <c r="F143" s="819"/>
      <c r="G143" s="920"/>
      <c r="H143" s="820"/>
      <c r="I143" s="980"/>
      <c r="J143" s="714"/>
      <c r="K143" s="819"/>
      <c r="L143" s="981"/>
      <c r="M143" s="941"/>
    </row>
    <row r="144" spans="2:13" ht="15" customHeight="1" x14ac:dyDescent="0.3">
      <c r="B144" s="918"/>
      <c r="C144" s="717"/>
      <c r="D144" s="919"/>
      <c r="E144" s="843"/>
      <c r="F144" s="819"/>
      <c r="G144" s="920"/>
      <c r="H144" s="820"/>
      <c r="I144" s="979"/>
      <c r="J144" s="714"/>
      <c r="K144" s="819"/>
      <c r="L144" s="981"/>
      <c r="M144" s="941"/>
    </row>
    <row r="145" spans="2:80" ht="15" customHeight="1" thickBot="1" x14ac:dyDescent="0.35">
      <c r="B145" s="918"/>
      <c r="C145" s="717"/>
      <c r="D145" s="919"/>
      <c r="E145" s="843"/>
      <c r="F145" s="819">
        <f t="shared" ref="F145" si="49">E145*19%</f>
        <v>0</v>
      </c>
      <c r="G145" s="920">
        <f t="shared" ref="G145" si="50">+F145+E145</f>
        <v>0</v>
      </c>
      <c r="H145" s="820"/>
      <c r="I145" s="979"/>
      <c r="J145" s="923"/>
      <c r="K145" s="924"/>
      <c r="L145" s="821"/>
      <c r="M145" s="923"/>
    </row>
    <row r="146" spans="2:80" ht="22.5" customHeight="1" x14ac:dyDescent="0.3">
      <c r="B146" s="906" t="s">
        <v>368</v>
      </c>
      <c r="C146" s="907" t="s">
        <v>375</v>
      </c>
      <c r="D146" s="939">
        <v>1</v>
      </c>
      <c r="E146" s="1505">
        <f>'Prec Materia Prima y Empaq'!$H$166</f>
        <v>1025</v>
      </c>
      <c r="F146" s="917"/>
      <c r="G146" s="911">
        <f t="shared" ref="G146:G150" si="51">+F146+E146</f>
        <v>1025</v>
      </c>
      <c r="H146" s="973">
        <f>$G$19/$D$19*$I$19</f>
        <v>102500</v>
      </c>
      <c r="I146" s="917">
        <v>100</v>
      </c>
      <c r="J146" s="916" t="s">
        <v>393</v>
      </c>
      <c r="K146" s="943">
        <f>+E146</f>
        <v>1025</v>
      </c>
      <c r="L146" s="917"/>
      <c r="M146" s="916" t="s">
        <v>393</v>
      </c>
    </row>
    <row r="147" spans="2:80" ht="28.5" customHeight="1" x14ac:dyDescent="0.3">
      <c r="B147" s="918" t="s">
        <v>368</v>
      </c>
      <c r="C147" s="717" t="s">
        <v>376</v>
      </c>
      <c r="D147" s="824"/>
      <c r="E147" s="1506"/>
      <c r="F147" s="714"/>
      <c r="G147" s="920">
        <f t="shared" si="51"/>
        <v>0</v>
      </c>
      <c r="H147" s="948"/>
      <c r="I147" s="714">
        <v>100</v>
      </c>
      <c r="J147" s="923" t="s">
        <v>393</v>
      </c>
      <c r="K147" s="949"/>
      <c r="L147" s="714"/>
      <c r="M147" s="923" t="s">
        <v>393</v>
      </c>
    </row>
    <row r="148" spans="2:80" ht="15" customHeight="1" x14ac:dyDescent="0.3">
      <c r="B148" s="918" t="s">
        <v>368</v>
      </c>
      <c r="C148" s="717" t="s">
        <v>377</v>
      </c>
      <c r="D148" s="824">
        <v>1</v>
      </c>
      <c r="E148" s="818">
        <f>'Preci Comp Prod'!$N$47</f>
        <v>200</v>
      </c>
      <c r="F148" s="714"/>
      <c r="G148" s="920">
        <f t="shared" si="51"/>
        <v>200</v>
      </c>
      <c r="H148" s="950">
        <f>$G$21/$D$21*$I$21</f>
        <v>20000</v>
      </c>
      <c r="I148" s="714">
        <v>100</v>
      </c>
      <c r="J148" s="923" t="s">
        <v>393</v>
      </c>
      <c r="K148" s="949">
        <f>+E148</f>
        <v>200</v>
      </c>
      <c r="L148" s="714"/>
      <c r="M148" s="923" t="s">
        <v>393</v>
      </c>
    </row>
    <row r="149" spans="2:80" ht="15" customHeight="1" x14ac:dyDescent="0.3">
      <c r="B149" s="918" t="s">
        <v>368</v>
      </c>
      <c r="C149" s="717" t="s">
        <v>502</v>
      </c>
      <c r="D149" s="824">
        <v>1</v>
      </c>
      <c r="E149" s="818">
        <f>'Preci Comp Prod'!$N$48</f>
        <v>350</v>
      </c>
      <c r="F149" s="714"/>
      <c r="G149" s="920">
        <f t="shared" si="51"/>
        <v>350</v>
      </c>
      <c r="H149" s="950">
        <f>$G$22/$D$22*$I$22</f>
        <v>35000</v>
      </c>
      <c r="I149" s="714">
        <v>100</v>
      </c>
      <c r="J149" s="923" t="s">
        <v>393</v>
      </c>
      <c r="K149" s="949">
        <f>+E149</f>
        <v>350</v>
      </c>
      <c r="L149" s="714"/>
      <c r="M149" s="923" t="s">
        <v>393</v>
      </c>
    </row>
    <row r="150" spans="2:80" ht="30.75" customHeight="1" thickBot="1" x14ac:dyDescent="0.35">
      <c r="B150" s="925" t="s">
        <v>368</v>
      </c>
      <c r="C150" s="926" t="s">
        <v>440</v>
      </c>
      <c r="D150" s="951">
        <v>1</v>
      </c>
      <c r="E150" s="936">
        <f>'Preci Comp Prod'!$N$49</f>
        <v>200</v>
      </c>
      <c r="F150" s="935"/>
      <c r="G150" s="929">
        <f t="shared" si="51"/>
        <v>200</v>
      </c>
      <c r="H150" s="952">
        <f>$G$23/$D$23*$I$23</f>
        <v>20000</v>
      </c>
      <c r="I150" s="935">
        <v>100</v>
      </c>
      <c r="J150" s="934" t="s">
        <v>393</v>
      </c>
      <c r="K150" s="953">
        <f>+E150</f>
        <v>200</v>
      </c>
      <c r="L150" s="935"/>
      <c r="M150" s="934" t="s">
        <v>393</v>
      </c>
    </row>
    <row r="151" spans="2:80" ht="15" customHeight="1" thickBot="1" x14ac:dyDescent="0.35">
      <c r="B151" s="954"/>
      <c r="C151" s="955"/>
      <c r="D151" s="891"/>
      <c r="E151" s="836"/>
      <c r="G151" s="833"/>
      <c r="H151" s="833"/>
      <c r="K151" s="956">
        <f>SUM(K140:K150)</f>
        <v>1796.5759257</v>
      </c>
      <c r="L151" s="835" t="s">
        <v>454</v>
      </c>
    </row>
    <row r="152" spans="2:80" ht="15" customHeight="1" thickTop="1" x14ac:dyDescent="0.3">
      <c r="B152" s="954"/>
      <c r="C152" s="955"/>
      <c r="D152" s="891"/>
      <c r="E152" s="836"/>
      <c r="G152" s="833"/>
      <c r="H152" s="833"/>
    </row>
    <row r="153" spans="2:80" s="992" customFormat="1" ht="15" customHeight="1" x14ac:dyDescent="0.3">
      <c r="B153" s="985"/>
      <c r="C153" s="986" t="s">
        <v>409</v>
      </c>
      <c r="D153" s="987"/>
      <c r="E153" s="988"/>
      <c r="F153" s="987"/>
      <c r="G153" s="989">
        <f>+'Gtos Varios'!I14</f>
        <v>3672.93</v>
      </c>
      <c r="H153" s="990"/>
      <c r="I153" s="987"/>
      <c r="J153" s="987"/>
      <c r="K153" s="990">
        <f>G153</f>
        <v>3672.93</v>
      </c>
      <c r="L153" s="987"/>
      <c r="M153" s="991"/>
      <c r="O153" s="993"/>
      <c r="T153" s="994"/>
      <c r="AD153" s="993"/>
      <c r="AI153" s="994"/>
      <c r="AS153" s="993"/>
      <c r="AX153" s="994"/>
      <c r="BH153" s="993"/>
      <c r="BM153" s="994"/>
      <c r="BW153" s="993"/>
      <c r="CB153" s="994"/>
    </row>
    <row r="154" spans="2:80" ht="15" customHeight="1" x14ac:dyDescent="0.3">
      <c r="C154" s="894"/>
      <c r="D154" s="894"/>
      <c r="E154" s="836"/>
    </row>
    <row r="155" spans="2:80" ht="15" customHeight="1" thickBot="1" x14ac:dyDescent="0.35">
      <c r="G155" s="962"/>
      <c r="H155" s="838">
        <f>SUM(H137:H150)</f>
        <v>179657.59256999998</v>
      </c>
      <c r="J155" s="838"/>
      <c r="K155" s="839">
        <f>+K153+K151</f>
        <v>5469.5059256999994</v>
      </c>
      <c r="L155" s="712" t="s">
        <v>412</v>
      </c>
    </row>
    <row r="156" spans="2:80" ht="15" customHeight="1" thickTop="1" x14ac:dyDescent="0.3">
      <c r="H156" s="833"/>
      <c r="K156" s="854">
        <f>K155*62%</f>
        <v>3391.0936739339995</v>
      </c>
      <c r="L156" s="844">
        <v>0.62</v>
      </c>
      <c r="M156" s="712" t="s">
        <v>539</v>
      </c>
    </row>
    <row r="157" spans="2:80" ht="15" customHeight="1" thickBot="1" x14ac:dyDescent="0.35">
      <c r="H157" s="834"/>
      <c r="K157" s="841">
        <f>K155+K156</f>
        <v>8860.5995996339989</v>
      </c>
      <c r="L157" s="712" t="s">
        <v>414</v>
      </c>
    </row>
    <row r="158" spans="2:80" ht="15" customHeight="1" thickTop="1" x14ac:dyDescent="0.3"/>
    <row r="162" spans="2:13" ht="15" customHeight="1" x14ac:dyDescent="0.3">
      <c r="C162" s="802" t="s">
        <v>61</v>
      </c>
      <c r="D162" s="801" t="s">
        <v>105</v>
      </c>
      <c r="E162" s="712"/>
      <c r="F162" s="975"/>
      <c r="G162" s="975"/>
      <c r="H162" s="975"/>
      <c r="I162" s="975"/>
    </row>
    <row r="163" spans="2:13" ht="15" customHeight="1" x14ac:dyDescent="0.3">
      <c r="B163" s="803"/>
      <c r="C163" s="802" t="s">
        <v>62</v>
      </c>
      <c r="D163" s="801" t="str">
        <f>VLOOKUP(D162,LISTPROD[],2,FALSE)</f>
        <v>COLIRIO SABILA Y ZANAHORIA (Gotas)</v>
      </c>
      <c r="E163" s="712"/>
      <c r="F163" s="975"/>
      <c r="G163" s="975"/>
      <c r="H163" s="975"/>
      <c r="I163" s="975"/>
    </row>
    <row r="164" spans="2:13" ht="15" customHeight="1" x14ac:dyDescent="0.3">
      <c r="C164" s="802" t="s">
        <v>234</v>
      </c>
      <c r="D164" s="801" t="str">
        <f>VLOOKUP(D162,LISTPROD[],9,FALSE)</f>
        <v>25 ML</v>
      </c>
      <c r="E164" s="712"/>
      <c r="F164" s="975"/>
      <c r="G164" s="975"/>
      <c r="H164" s="975"/>
      <c r="I164" s="975"/>
    </row>
    <row r="165" spans="2:13" ht="15" customHeight="1" x14ac:dyDescent="0.3">
      <c r="C165" s="802" t="s">
        <v>239</v>
      </c>
      <c r="D165" s="804"/>
      <c r="E165" s="800"/>
      <c r="F165" s="975"/>
      <c r="G165" s="975"/>
      <c r="H165" s="975"/>
      <c r="I165" s="975"/>
    </row>
    <row r="166" spans="2:13" ht="15" customHeight="1" x14ac:dyDescent="0.3">
      <c r="C166" s="893" t="s">
        <v>436</v>
      </c>
      <c r="D166" s="801">
        <f>25*F166</f>
        <v>2500</v>
      </c>
      <c r="E166" s="894" t="s">
        <v>437</v>
      </c>
      <c r="F166" s="720">
        <v>100</v>
      </c>
    </row>
    <row r="167" spans="2:13" ht="15" customHeight="1" x14ac:dyDescent="0.3">
      <c r="C167" s="802" t="s">
        <v>238</v>
      </c>
      <c r="D167" s="712" t="s">
        <v>438</v>
      </c>
      <c r="E167" s="800"/>
    </row>
    <row r="168" spans="2:13" ht="15" customHeight="1" thickBot="1" x14ac:dyDescent="0.35">
      <c r="C168" s="806"/>
      <c r="D168" s="806"/>
      <c r="E168" s="895"/>
      <c r="F168" s="800"/>
    </row>
    <row r="169" spans="2:13" ht="24" customHeight="1" thickBot="1" x14ac:dyDescent="0.35">
      <c r="B169" s="722"/>
      <c r="C169" s="1507" t="s">
        <v>404</v>
      </c>
      <c r="D169" s="1508"/>
      <c r="E169" s="1508"/>
      <c r="F169" s="1508"/>
      <c r="G169" s="1509"/>
      <c r="H169" s="1510" t="s">
        <v>411</v>
      </c>
      <c r="I169" s="1512" t="s">
        <v>435</v>
      </c>
      <c r="J169" s="1513"/>
      <c r="K169" s="1514" t="s">
        <v>411</v>
      </c>
      <c r="L169" s="1503" t="s">
        <v>529</v>
      </c>
      <c r="M169" s="1504"/>
    </row>
    <row r="170" spans="2:13" ht="31.5" customHeight="1" thickBot="1" x14ac:dyDescent="0.35">
      <c r="B170" s="896" t="s">
        <v>391</v>
      </c>
      <c r="C170" s="897" t="s">
        <v>398</v>
      </c>
      <c r="D170" s="898" t="s">
        <v>441</v>
      </c>
      <c r="E170" s="899" t="s">
        <v>399</v>
      </c>
      <c r="F170" s="900" t="s">
        <v>402</v>
      </c>
      <c r="G170" s="901" t="s">
        <v>399</v>
      </c>
      <c r="H170" s="1511"/>
      <c r="I170" s="902" t="s">
        <v>408</v>
      </c>
      <c r="J170" s="903" t="s">
        <v>415</v>
      </c>
      <c r="K170" s="1515"/>
      <c r="L170" s="904" t="s">
        <v>408</v>
      </c>
      <c r="M170" s="905" t="s">
        <v>415</v>
      </c>
    </row>
    <row r="171" spans="2:13" ht="36.75" customHeight="1" thickBot="1" x14ac:dyDescent="0.35">
      <c r="B171" s="906" t="s">
        <v>510</v>
      </c>
      <c r="C171" s="907" t="s">
        <v>785</v>
      </c>
      <c r="D171" s="966">
        <v>1000</v>
      </c>
      <c r="E171" s="976">
        <f>'Prec Materia Prima y Empaq'!$H$16</f>
        <v>14000</v>
      </c>
      <c r="F171" s="910">
        <f>E171*19%</f>
        <v>2660</v>
      </c>
      <c r="G171" s="911">
        <f>+F171+E171</f>
        <v>16660</v>
      </c>
      <c r="H171" s="912">
        <f>G171/D171*I171</f>
        <v>2082.5</v>
      </c>
      <c r="I171" s="977">
        <v>125</v>
      </c>
      <c r="J171" s="978" t="s">
        <v>56</v>
      </c>
      <c r="K171" s="819">
        <f>G171/$D171*L171</f>
        <v>20.824999999999999</v>
      </c>
      <c r="L171" s="915">
        <f>I171/F166</f>
        <v>1.25</v>
      </c>
      <c r="M171" s="916" t="s">
        <v>56</v>
      </c>
    </row>
    <row r="172" spans="2:13" ht="22.5" customHeight="1" thickBot="1" x14ac:dyDescent="0.35">
      <c r="B172" s="918" t="s">
        <v>510</v>
      </c>
      <c r="C172" s="717" t="s">
        <v>259</v>
      </c>
      <c r="D172" s="966">
        <v>1000</v>
      </c>
      <c r="E172" s="843">
        <f>'Prec Materia Prima y Empaq'!$H$42</f>
        <v>63103</v>
      </c>
      <c r="F172" s="910">
        <f>E172*19%</f>
        <v>11989.57</v>
      </c>
      <c r="G172" s="920">
        <f>+F172+E172</f>
        <v>75092.570000000007</v>
      </c>
      <c r="H172" s="820">
        <f t="shared" ref="H172" si="52">G172/D172*I172</f>
        <v>75.092570000000009</v>
      </c>
      <c r="I172" s="979">
        <v>1</v>
      </c>
      <c r="J172" s="714" t="s">
        <v>56</v>
      </c>
      <c r="K172" s="819">
        <f t="shared" ref="K172:K173" si="53">G172/$D172*L172</f>
        <v>0.75092570000000014</v>
      </c>
      <c r="L172" s="915">
        <f>I172/F166</f>
        <v>0.01</v>
      </c>
      <c r="M172" s="916" t="s">
        <v>56</v>
      </c>
    </row>
    <row r="173" spans="2:13" ht="15" customHeight="1" x14ac:dyDescent="0.3">
      <c r="B173" s="918" t="s">
        <v>510</v>
      </c>
      <c r="C173" s="717" t="s">
        <v>267</v>
      </c>
      <c r="D173" s="919">
        <v>1000</v>
      </c>
      <c r="E173" s="843"/>
      <c r="F173" s="819"/>
      <c r="G173" s="920"/>
      <c r="H173" s="820"/>
      <c r="I173" s="980"/>
      <c r="J173" s="714"/>
      <c r="K173" s="819">
        <f t="shared" si="53"/>
        <v>0</v>
      </c>
      <c r="L173" s="915"/>
      <c r="M173" s="916"/>
    </row>
    <row r="174" spans="2:13" ht="15" customHeight="1" x14ac:dyDescent="0.3">
      <c r="B174" s="918" t="s">
        <v>510</v>
      </c>
      <c r="C174" s="717"/>
      <c r="D174" s="919">
        <v>1000</v>
      </c>
      <c r="E174" s="843"/>
      <c r="F174" s="819"/>
      <c r="G174" s="920"/>
      <c r="H174" s="820"/>
      <c r="I174" s="980"/>
      <c r="J174" s="714"/>
      <c r="K174" s="819"/>
      <c r="L174" s="981"/>
      <c r="M174" s="941"/>
    </row>
    <row r="175" spans="2:13" ht="15" customHeight="1" x14ac:dyDescent="0.3">
      <c r="B175" s="918"/>
      <c r="C175" s="717"/>
      <c r="D175" s="919"/>
      <c r="E175" s="843"/>
      <c r="F175" s="819"/>
      <c r="G175" s="920"/>
      <c r="H175" s="820"/>
      <c r="I175" s="979"/>
      <c r="J175" s="714"/>
      <c r="K175" s="819"/>
      <c r="L175" s="981"/>
      <c r="M175" s="941"/>
    </row>
    <row r="176" spans="2:13" ht="15" customHeight="1" thickBot="1" x14ac:dyDescent="0.35">
      <c r="B176" s="918"/>
      <c r="C176" s="717"/>
      <c r="D176" s="919"/>
      <c r="E176" s="843"/>
      <c r="F176" s="819">
        <f t="shared" ref="F176" si="54">E176*19%</f>
        <v>0</v>
      </c>
      <c r="G176" s="920">
        <f t="shared" ref="G176:G181" si="55">+F176+E176</f>
        <v>0</v>
      </c>
      <c r="H176" s="820"/>
      <c r="I176" s="979"/>
      <c r="J176" s="923"/>
      <c r="K176" s="924"/>
      <c r="L176" s="821"/>
      <c r="M176" s="923"/>
    </row>
    <row r="177" spans="2:13" ht="19.5" customHeight="1" x14ac:dyDescent="0.3">
      <c r="B177" s="906" t="s">
        <v>368</v>
      </c>
      <c r="C177" s="907" t="s">
        <v>375</v>
      </c>
      <c r="D177" s="939">
        <v>1</v>
      </c>
      <c r="E177" s="1505">
        <f>'Prec Materia Prima y Empaq'!$H$166</f>
        <v>1025</v>
      </c>
      <c r="F177" s="917"/>
      <c r="G177" s="911">
        <f t="shared" si="55"/>
        <v>1025</v>
      </c>
      <c r="H177" s="973">
        <f>$G$19/$D$19*$I$19</f>
        <v>102500</v>
      </c>
      <c r="I177" s="917">
        <v>100</v>
      </c>
      <c r="J177" s="916" t="s">
        <v>393</v>
      </c>
      <c r="K177" s="943">
        <f>+E177</f>
        <v>1025</v>
      </c>
      <c r="L177" s="917"/>
      <c r="M177" s="916" t="s">
        <v>393</v>
      </c>
    </row>
    <row r="178" spans="2:13" ht="22.5" customHeight="1" x14ac:dyDescent="0.3">
      <c r="B178" s="918" t="s">
        <v>368</v>
      </c>
      <c r="C178" s="717" t="s">
        <v>376</v>
      </c>
      <c r="D178" s="824"/>
      <c r="E178" s="1506"/>
      <c r="F178" s="714"/>
      <c r="G178" s="920">
        <f t="shared" si="55"/>
        <v>0</v>
      </c>
      <c r="H178" s="948"/>
      <c r="I178" s="714">
        <v>100</v>
      </c>
      <c r="J178" s="923" t="s">
        <v>393</v>
      </c>
      <c r="K178" s="949"/>
      <c r="L178" s="714"/>
      <c r="M178" s="923" t="s">
        <v>393</v>
      </c>
    </row>
    <row r="179" spans="2:13" ht="15" customHeight="1" x14ac:dyDescent="0.3">
      <c r="B179" s="918" t="s">
        <v>368</v>
      </c>
      <c r="C179" s="717" t="s">
        <v>377</v>
      </c>
      <c r="D179" s="824">
        <v>1</v>
      </c>
      <c r="E179" s="818">
        <f>'Preci Comp Prod'!$N$47</f>
        <v>200</v>
      </c>
      <c r="F179" s="714"/>
      <c r="G179" s="920">
        <f t="shared" si="55"/>
        <v>200</v>
      </c>
      <c r="H179" s="950">
        <f>$G$21/$D$21*$I$21</f>
        <v>20000</v>
      </c>
      <c r="I179" s="714">
        <v>100</v>
      </c>
      <c r="J179" s="923" t="s">
        <v>393</v>
      </c>
      <c r="K179" s="949">
        <f>+E179</f>
        <v>200</v>
      </c>
      <c r="L179" s="714"/>
      <c r="M179" s="923" t="s">
        <v>393</v>
      </c>
    </row>
    <row r="180" spans="2:13" ht="15" customHeight="1" x14ac:dyDescent="0.3">
      <c r="B180" s="918" t="s">
        <v>368</v>
      </c>
      <c r="C180" s="717" t="s">
        <v>502</v>
      </c>
      <c r="D180" s="824">
        <v>1</v>
      </c>
      <c r="E180" s="818">
        <f>'Preci Comp Prod'!$N$48</f>
        <v>350</v>
      </c>
      <c r="F180" s="714"/>
      <c r="G180" s="920">
        <f t="shared" si="55"/>
        <v>350</v>
      </c>
      <c r="H180" s="950">
        <f>$G$22/$D$22*$I$22</f>
        <v>35000</v>
      </c>
      <c r="I180" s="714">
        <v>100</v>
      </c>
      <c r="J180" s="923" t="s">
        <v>393</v>
      </c>
      <c r="K180" s="949">
        <f>+E180</f>
        <v>350</v>
      </c>
      <c r="L180" s="714"/>
      <c r="M180" s="923" t="s">
        <v>393</v>
      </c>
    </row>
    <row r="181" spans="2:13" ht="30.75" customHeight="1" thickBot="1" x14ac:dyDescent="0.35">
      <c r="B181" s="925" t="s">
        <v>368</v>
      </c>
      <c r="C181" s="926" t="s">
        <v>440</v>
      </c>
      <c r="D181" s="951">
        <v>1</v>
      </c>
      <c r="E181" s="936">
        <f>'Preci Comp Prod'!$N$49</f>
        <v>200</v>
      </c>
      <c r="F181" s="935"/>
      <c r="G181" s="929">
        <f t="shared" si="55"/>
        <v>200</v>
      </c>
      <c r="H181" s="952">
        <f>$G$23/$D$23*$I$23</f>
        <v>20000</v>
      </c>
      <c r="I181" s="935">
        <v>100</v>
      </c>
      <c r="J181" s="934" t="s">
        <v>393</v>
      </c>
      <c r="K181" s="953">
        <f>+E181</f>
        <v>200</v>
      </c>
      <c r="L181" s="935"/>
      <c r="M181" s="934" t="s">
        <v>393</v>
      </c>
    </row>
    <row r="182" spans="2:13" ht="15" customHeight="1" thickBot="1" x14ac:dyDescent="0.35">
      <c r="B182" s="954"/>
      <c r="C182" s="955"/>
      <c r="D182" s="891"/>
      <c r="E182" s="836"/>
      <c r="G182" s="833"/>
      <c r="H182" s="833"/>
      <c r="K182" s="956">
        <f>SUM(K171:K181)</f>
        <v>1796.5759257</v>
      </c>
      <c r="L182" s="835" t="s">
        <v>454</v>
      </c>
    </row>
    <row r="183" spans="2:13" ht="15" customHeight="1" thickTop="1" x14ac:dyDescent="0.3">
      <c r="B183" s="954"/>
      <c r="C183" s="955"/>
      <c r="D183" s="891"/>
      <c r="E183" s="836"/>
      <c r="G183" s="833"/>
      <c r="H183" s="833"/>
    </row>
    <row r="184" spans="2:13" ht="15" customHeight="1" x14ac:dyDescent="0.3">
      <c r="B184" s="922"/>
      <c r="C184" s="986" t="s">
        <v>409</v>
      </c>
      <c r="D184" s="987"/>
      <c r="E184" s="988"/>
      <c r="F184" s="987"/>
      <c r="G184" s="989">
        <f>+'Gtos Varios'!I14</f>
        <v>3672.93</v>
      </c>
      <c r="H184" s="990"/>
      <c r="I184" s="987"/>
      <c r="J184" s="987"/>
      <c r="K184" s="990">
        <f>G184</f>
        <v>3672.93</v>
      </c>
      <c r="L184" s="982"/>
      <c r="M184" s="983"/>
    </row>
    <row r="185" spans="2:13" ht="15" customHeight="1" x14ac:dyDescent="0.3">
      <c r="C185" s="894"/>
      <c r="D185" s="894"/>
      <c r="E185" s="836"/>
    </row>
    <row r="186" spans="2:13" ht="15" customHeight="1" thickBot="1" x14ac:dyDescent="0.35">
      <c r="G186" s="962"/>
      <c r="H186" s="838">
        <f>SUM(H168:H181)</f>
        <v>179657.59256999998</v>
      </c>
      <c r="J186" s="838"/>
      <c r="K186" s="839">
        <f>+K184+K182</f>
        <v>5469.5059256999994</v>
      </c>
      <c r="L186" s="712" t="s">
        <v>412</v>
      </c>
    </row>
    <row r="187" spans="2:13" ht="15" customHeight="1" thickTop="1" x14ac:dyDescent="0.3">
      <c r="H187" s="833"/>
      <c r="K187" s="854">
        <f>K186*62%</f>
        <v>3391.0936739339995</v>
      </c>
      <c r="L187" s="844">
        <v>0.62</v>
      </c>
      <c r="M187" s="712" t="s">
        <v>539</v>
      </c>
    </row>
    <row r="188" spans="2:13" ht="15" customHeight="1" thickBot="1" x14ac:dyDescent="0.35">
      <c r="H188" s="834"/>
      <c r="K188" s="841">
        <f>K186+K187</f>
        <v>8860.5995996339989</v>
      </c>
      <c r="L188" s="712" t="s">
        <v>414</v>
      </c>
    </row>
    <row r="189" spans="2:13" ht="15" customHeight="1" thickTop="1" x14ac:dyDescent="0.3"/>
    <row r="193" spans="2:13" ht="15" customHeight="1" x14ac:dyDescent="0.3">
      <c r="C193" s="802" t="s">
        <v>61</v>
      </c>
      <c r="D193" s="801" t="s">
        <v>213</v>
      </c>
      <c r="E193" s="712"/>
      <c r="F193" s="975"/>
      <c r="G193" s="975"/>
      <c r="H193" s="975"/>
      <c r="I193" s="975"/>
    </row>
    <row r="194" spans="2:13" ht="15" customHeight="1" x14ac:dyDescent="0.3">
      <c r="B194" s="803"/>
      <c r="C194" s="802" t="s">
        <v>62</v>
      </c>
      <c r="D194" s="801" t="str">
        <f>VLOOKUP(D193,LISTPROD[],2,FALSE)</f>
        <v>VISION PLUS (Gotas)</v>
      </c>
      <c r="E194" s="712"/>
      <c r="F194" s="975"/>
      <c r="G194" s="975"/>
      <c r="H194" s="975"/>
      <c r="I194" s="975"/>
    </row>
    <row r="195" spans="2:13" ht="15" customHeight="1" x14ac:dyDescent="0.3">
      <c r="C195" s="802" t="s">
        <v>234</v>
      </c>
      <c r="D195" s="801" t="str">
        <f>VLOOKUP(D193,LISTPROD[],9,FALSE)</f>
        <v>25 ML</v>
      </c>
      <c r="E195" s="712"/>
      <c r="F195" s="975"/>
      <c r="G195" s="975"/>
      <c r="H195" s="975"/>
      <c r="I195" s="975"/>
    </row>
    <row r="196" spans="2:13" ht="15" customHeight="1" x14ac:dyDescent="0.3">
      <c r="C196" s="802" t="s">
        <v>239</v>
      </c>
      <c r="D196" s="804"/>
      <c r="E196" s="800"/>
      <c r="F196" s="975"/>
      <c r="G196" s="975"/>
      <c r="H196" s="975"/>
      <c r="I196" s="975"/>
    </row>
    <row r="197" spans="2:13" ht="15" customHeight="1" x14ac:dyDescent="0.3">
      <c r="C197" s="893" t="s">
        <v>436</v>
      </c>
      <c r="D197" s="801">
        <f>25*F197</f>
        <v>2500</v>
      </c>
      <c r="E197" s="894" t="s">
        <v>437</v>
      </c>
      <c r="F197" s="720">
        <v>100</v>
      </c>
    </row>
    <row r="198" spans="2:13" ht="15" customHeight="1" x14ac:dyDescent="0.3">
      <c r="C198" s="802" t="s">
        <v>238</v>
      </c>
      <c r="D198" s="712" t="s">
        <v>438</v>
      </c>
      <c r="E198" s="800"/>
    </row>
    <row r="199" spans="2:13" ht="15" customHeight="1" thickBot="1" x14ac:dyDescent="0.35">
      <c r="C199" s="806"/>
      <c r="D199" s="806"/>
      <c r="E199" s="895"/>
      <c r="F199" s="800"/>
    </row>
    <row r="200" spans="2:13" ht="24" customHeight="1" thickBot="1" x14ac:dyDescent="0.35">
      <c r="B200" s="722"/>
      <c r="C200" s="1507" t="s">
        <v>404</v>
      </c>
      <c r="D200" s="1508"/>
      <c r="E200" s="1508"/>
      <c r="F200" s="1508"/>
      <c r="G200" s="1509"/>
      <c r="H200" s="1510" t="s">
        <v>411</v>
      </c>
      <c r="I200" s="1512" t="s">
        <v>435</v>
      </c>
      <c r="J200" s="1513"/>
      <c r="K200" s="1514" t="s">
        <v>411</v>
      </c>
      <c r="L200" s="1503" t="s">
        <v>529</v>
      </c>
      <c r="M200" s="1504"/>
    </row>
    <row r="201" spans="2:13" ht="31.5" customHeight="1" thickBot="1" x14ac:dyDescent="0.35">
      <c r="B201" s="896" t="s">
        <v>391</v>
      </c>
      <c r="C201" s="897" t="s">
        <v>398</v>
      </c>
      <c r="D201" s="898" t="s">
        <v>441</v>
      </c>
      <c r="E201" s="899" t="s">
        <v>399</v>
      </c>
      <c r="F201" s="900" t="s">
        <v>402</v>
      </c>
      <c r="G201" s="901" t="s">
        <v>399</v>
      </c>
      <c r="H201" s="1511"/>
      <c r="I201" s="902" t="s">
        <v>408</v>
      </c>
      <c r="J201" s="903" t="s">
        <v>415</v>
      </c>
      <c r="K201" s="1515"/>
      <c r="L201" s="904" t="s">
        <v>408</v>
      </c>
      <c r="M201" s="905" t="s">
        <v>415</v>
      </c>
    </row>
    <row r="202" spans="2:13" ht="36.75" customHeight="1" thickBot="1" x14ac:dyDescent="0.35">
      <c r="B202" s="906" t="s">
        <v>510</v>
      </c>
      <c r="C202" s="907" t="s">
        <v>785</v>
      </c>
      <c r="D202" s="966">
        <v>1000</v>
      </c>
      <c r="E202" s="976">
        <f>'Prec Materia Prima y Empaq'!$H$16</f>
        <v>14000</v>
      </c>
      <c r="F202" s="910">
        <f>E202*19%</f>
        <v>2660</v>
      </c>
      <c r="G202" s="911">
        <f>+F202+E202</f>
        <v>16660</v>
      </c>
      <c r="H202" s="912">
        <f>G202/D202*I202</f>
        <v>2082.5</v>
      </c>
      <c r="I202" s="977">
        <v>125</v>
      </c>
      <c r="J202" s="978" t="s">
        <v>56</v>
      </c>
      <c r="K202" s="819">
        <f t="shared" ref="K202:K204" si="56">G202/$D202*L202</f>
        <v>20.824999999999999</v>
      </c>
      <c r="L202" s="915">
        <f>I202/F197</f>
        <v>1.25</v>
      </c>
      <c r="M202" s="916" t="s">
        <v>56</v>
      </c>
    </row>
    <row r="203" spans="2:13" ht="22.5" customHeight="1" thickBot="1" x14ac:dyDescent="0.35">
      <c r="B203" s="918" t="s">
        <v>510</v>
      </c>
      <c r="C203" s="717" t="s">
        <v>259</v>
      </c>
      <c r="D203" s="966">
        <v>1000</v>
      </c>
      <c r="E203" s="843">
        <f>'Prec Materia Prima y Empaq'!$H$42</f>
        <v>63103</v>
      </c>
      <c r="F203" s="910">
        <f>E203*19%</f>
        <v>11989.57</v>
      </c>
      <c r="G203" s="920">
        <f>+F203+E203</f>
        <v>75092.570000000007</v>
      </c>
      <c r="H203" s="820">
        <f t="shared" ref="H203" si="57">G203/D203*I203</f>
        <v>75.092570000000009</v>
      </c>
      <c r="I203" s="979">
        <v>1</v>
      </c>
      <c r="J203" s="714" t="s">
        <v>56</v>
      </c>
      <c r="K203" s="819">
        <f t="shared" si="56"/>
        <v>0.75092570000000014</v>
      </c>
      <c r="L203" s="915">
        <f>I203/F197</f>
        <v>0.01</v>
      </c>
      <c r="M203" s="916" t="s">
        <v>56</v>
      </c>
    </row>
    <row r="204" spans="2:13" ht="15" customHeight="1" x14ac:dyDescent="0.3">
      <c r="B204" s="918" t="s">
        <v>510</v>
      </c>
      <c r="C204" s="717" t="s">
        <v>267</v>
      </c>
      <c r="D204" s="919">
        <v>1000</v>
      </c>
      <c r="E204" s="843"/>
      <c r="F204" s="819"/>
      <c r="G204" s="920"/>
      <c r="H204" s="820"/>
      <c r="I204" s="980"/>
      <c r="J204" s="714"/>
      <c r="K204" s="819">
        <f t="shared" si="56"/>
        <v>0</v>
      </c>
      <c r="L204" s="915"/>
      <c r="M204" s="916"/>
    </row>
    <row r="205" spans="2:13" ht="15" customHeight="1" x14ac:dyDescent="0.3">
      <c r="B205" s="918" t="s">
        <v>510</v>
      </c>
      <c r="C205" s="717"/>
      <c r="D205" s="919">
        <v>1000</v>
      </c>
      <c r="E205" s="843"/>
      <c r="F205" s="819"/>
      <c r="G205" s="920"/>
      <c r="H205" s="820"/>
      <c r="I205" s="980"/>
      <c r="J205" s="714"/>
      <c r="K205" s="819"/>
      <c r="L205" s="981"/>
      <c r="M205" s="941"/>
    </row>
    <row r="206" spans="2:13" ht="15" customHeight="1" x14ac:dyDescent="0.3">
      <c r="B206" s="918"/>
      <c r="C206" s="717"/>
      <c r="D206" s="919"/>
      <c r="E206" s="843"/>
      <c r="F206" s="819"/>
      <c r="G206" s="920"/>
      <c r="H206" s="820"/>
      <c r="I206" s="979"/>
      <c r="J206" s="714"/>
      <c r="K206" s="819"/>
      <c r="L206" s="981"/>
      <c r="M206" s="941"/>
    </row>
    <row r="207" spans="2:13" ht="15" customHeight="1" thickBot="1" x14ac:dyDescent="0.35">
      <c r="B207" s="918"/>
      <c r="C207" s="717"/>
      <c r="D207" s="919"/>
      <c r="E207" s="843"/>
      <c r="F207" s="819">
        <f t="shared" ref="F207" si="58">E207*19%</f>
        <v>0</v>
      </c>
      <c r="G207" s="920">
        <f t="shared" ref="G207:G212" si="59">+F207+E207</f>
        <v>0</v>
      </c>
      <c r="H207" s="820"/>
      <c r="I207" s="979"/>
      <c r="J207" s="923"/>
      <c r="K207" s="924"/>
      <c r="L207" s="821"/>
      <c r="M207" s="923"/>
    </row>
    <row r="208" spans="2:13" ht="22.5" customHeight="1" x14ac:dyDescent="0.3">
      <c r="B208" s="906" t="s">
        <v>368</v>
      </c>
      <c r="C208" s="907" t="s">
        <v>375</v>
      </c>
      <c r="D208" s="939">
        <v>1</v>
      </c>
      <c r="E208" s="1505">
        <f>'Prec Materia Prima y Empaq'!$H$166</f>
        <v>1025</v>
      </c>
      <c r="F208" s="917"/>
      <c r="G208" s="911">
        <f t="shared" si="59"/>
        <v>1025</v>
      </c>
      <c r="H208" s="973">
        <f>$G$19/$D$19*$I$19</f>
        <v>102500</v>
      </c>
      <c r="I208" s="917">
        <v>100</v>
      </c>
      <c r="J208" s="916" t="s">
        <v>393</v>
      </c>
      <c r="K208" s="943">
        <f>+E208</f>
        <v>1025</v>
      </c>
      <c r="L208" s="917"/>
      <c r="M208" s="916" t="s">
        <v>393</v>
      </c>
    </row>
    <row r="209" spans="2:13" ht="28.5" customHeight="1" x14ac:dyDescent="0.3">
      <c r="B209" s="918" t="s">
        <v>368</v>
      </c>
      <c r="C209" s="717" t="s">
        <v>376</v>
      </c>
      <c r="D209" s="824"/>
      <c r="E209" s="1506"/>
      <c r="F209" s="714"/>
      <c r="G209" s="920">
        <f t="shared" si="59"/>
        <v>0</v>
      </c>
      <c r="H209" s="948"/>
      <c r="I209" s="714">
        <v>100</v>
      </c>
      <c r="J209" s="923" t="s">
        <v>393</v>
      </c>
      <c r="K209" s="949"/>
      <c r="L209" s="714"/>
      <c r="M209" s="923" t="s">
        <v>393</v>
      </c>
    </row>
    <row r="210" spans="2:13" ht="15" customHeight="1" x14ac:dyDescent="0.3">
      <c r="B210" s="918" t="s">
        <v>368</v>
      </c>
      <c r="C210" s="717" t="s">
        <v>377</v>
      </c>
      <c r="D210" s="824">
        <v>1</v>
      </c>
      <c r="E210" s="818">
        <f>'Preci Comp Prod'!$N$47</f>
        <v>200</v>
      </c>
      <c r="F210" s="714"/>
      <c r="G210" s="920">
        <f t="shared" si="59"/>
        <v>200</v>
      </c>
      <c r="H210" s="950">
        <f>$G$21/$D$21*$I$21</f>
        <v>20000</v>
      </c>
      <c r="I210" s="714">
        <v>100</v>
      </c>
      <c r="J210" s="923" t="s">
        <v>393</v>
      </c>
      <c r="K210" s="949">
        <f>+E210</f>
        <v>200</v>
      </c>
      <c r="L210" s="714"/>
      <c r="M210" s="923" t="s">
        <v>393</v>
      </c>
    </row>
    <row r="211" spans="2:13" ht="15" customHeight="1" x14ac:dyDescent="0.3">
      <c r="B211" s="918" t="s">
        <v>368</v>
      </c>
      <c r="C211" s="717" t="s">
        <v>502</v>
      </c>
      <c r="D211" s="824">
        <v>1</v>
      </c>
      <c r="E211" s="818">
        <f>'Preci Comp Prod'!$N$48</f>
        <v>350</v>
      </c>
      <c r="F211" s="714"/>
      <c r="G211" s="920">
        <f t="shared" si="59"/>
        <v>350</v>
      </c>
      <c r="H211" s="950">
        <f>$G$22/$D$22*$I$22</f>
        <v>35000</v>
      </c>
      <c r="I211" s="714">
        <v>100</v>
      </c>
      <c r="J211" s="923" t="s">
        <v>393</v>
      </c>
      <c r="K211" s="949">
        <f>+E211</f>
        <v>350</v>
      </c>
      <c r="L211" s="714"/>
      <c r="M211" s="923" t="s">
        <v>393</v>
      </c>
    </row>
    <row r="212" spans="2:13" ht="30.75" customHeight="1" thickBot="1" x14ac:dyDescent="0.35">
      <c r="B212" s="925" t="s">
        <v>368</v>
      </c>
      <c r="C212" s="926" t="s">
        <v>440</v>
      </c>
      <c r="D212" s="951">
        <v>1</v>
      </c>
      <c r="E212" s="936">
        <f>'Preci Comp Prod'!$N$49</f>
        <v>200</v>
      </c>
      <c r="F212" s="935"/>
      <c r="G212" s="929">
        <f t="shared" si="59"/>
        <v>200</v>
      </c>
      <c r="H212" s="952">
        <f>$G$23/$D$23*$I$23</f>
        <v>20000</v>
      </c>
      <c r="I212" s="935">
        <v>100</v>
      </c>
      <c r="J212" s="934" t="s">
        <v>393</v>
      </c>
      <c r="K212" s="953">
        <f>+E212</f>
        <v>200</v>
      </c>
      <c r="L212" s="935"/>
      <c r="M212" s="934" t="s">
        <v>393</v>
      </c>
    </row>
    <row r="213" spans="2:13" ht="15" customHeight="1" thickBot="1" x14ac:dyDescent="0.35">
      <c r="B213" s="954"/>
      <c r="C213" s="955"/>
      <c r="D213" s="891"/>
      <c r="E213" s="836"/>
      <c r="G213" s="833"/>
      <c r="H213" s="833"/>
      <c r="K213" s="956">
        <f>SUM(K202:K212)</f>
        <v>1796.5759257</v>
      </c>
      <c r="L213" s="835" t="s">
        <v>454</v>
      </c>
    </row>
    <row r="214" spans="2:13" ht="15" customHeight="1" thickTop="1" x14ac:dyDescent="0.3">
      <c r="B214" s="954"/>
      <c r="C214" s="955"/>
      <c r="D214" s="891"/>
      <c r="E214" s="836"/>
      <c r="G214" s="833"/>
      <c r="H214" s="833"/>
    </row>
    <row r="215" spans="2:13" ht="15" customHeight="1" x14ac:dyDescent="0.3">
      <c r="B215" s="922"/>
      <c r="C215" s="986" t="s">
        <v>409</v>
      </c>
      <c r="D215" s="987"/>
      <c r="E215" s="988"/>
      <c r="F215" s="987"/>
      <c r="G215" s="989">
        <f>+'Gtos Varios'!I14</f>
        <v>3672.93</v>
      </c>
      <c r="H215" s="990"/>
      <c r="I215" s="987"/>
      <c r="J215" s="987"/>
      <c r="K215" s="990">
        <f>G215</f>
        <v>3672.93</v>
      </c>
      <c r="L215" s="982"/>
      <c r="M215" s="983"/>
    </row>
    <row r="216" spans="2:13" ht="15" customHeight="1" x14ac:dyDescent="0.3">
      <c r="C216" s="894"/>
      <c r="D216" s="894"/>
      <c r="E216" s="836"/>
    </row>
    <row r="217" spans="2:13" ht="15" customHeight="1" thickBot="1" x14ac:dyDescent="0.35">
      <c r="G217" s="962"/>
      <c r="H217" s="838">
        <f>SUM(H199:H212)</f>
        <v>179657.59256999998</v>
      </c>
      <c r="J217" s="838"/>
      <c r="K217" s="839">
        <f>+K215+K213</f>
        <v>5469.5059256999994</v>
      </c>
      <c r="L217" s="712" t="s">
        <v>412</v>
      </c>
    </row>
    <row r="218" spans="2:13" ht="15" customHeight="1" thickTop="1" x14ac:dyDescent="0.3">
      <c r="H218" s="833"/>
      <c r="K218" s="854">
        <f>K217*62%</f>
        <v>3391.0936739339995</v>
      </c>
      <c r="L218" s="844">
        <v>0.62</v>
      </c>
      <c r="M218" s="712" t="s">
        <v>539</v>
      </c>
    </row>
    <row r="219" spans="2:13" ht="15" customHeight="1" thickBot="1" x14ac:dyDescent="0.35">
      <c r="H219" s="834"/>
      <c r="K219" s="841">
        <f>K217+K218</f>
        <v>8860.5995996339989</v>
      </c>
      <c r="L219" s="712" t="s">
        <v>414</v>
      </c>
    </row>
    <row r="220" spans="2:13" ht="15" customHeight="1" thickTop="1" x14ac:dyDescent="0.3"/>
    <row r="223" spans="2:13" ht="15" customHeight="1" x14ac:dyDescent="0.3">
      <c r="C223" s="802" t="s">
        <v>61</v>
      </c>
      <c r="D223" s="801" t="s">
        <v>138</v>
      </c>
      <c r="E223" s="712"/>
      <c r="F223" s="975"/>
      <c r="G223" s="975"/>
      <c r="H223" s="975"/>
      <c r="I223" s="975"/>
    </row>
    <row r="224" spans="2:13" ht="15" customHeight="1" x14ac:dyDescent="0.3">
      <c r="B224" s="803"/>
      <c r="C224" s="802" t="s">
        <v>62</v>
      </c>
      <c r="D224" s="801" t="str">
        <f>VLOOKUP(D223,LISTPROD[],2,FALSE)</f>
        <v>GOTAS MILAGROSAS</v>
      </c>
      <c r="E224" s="712"/>
      <c r="F224" s="975"/>
      <c r="G224" s="975"/>
      <c r="H224" s="975"/>
      <c r="I224" s="975"/>
    </row>
    <row r="225" spans="2:13" ht="15" customHeight="1" x14ac:dyDescent="0.3">
      <c r="C225" s="802" t="s">
        <v>234</v>
      </c>
      <c r="D225" s="801" t="str">
        <f>VLOOKUP(D223,LISTPROD[],9,FALSE)</f>
        <v>25 ML</v>
      </c>
      <c r="E225" s="712"/>
      <c r="F225" s="975"/>
      <c r="G225" s="975"/>
      <c r="H225" s="975"/>
      <c r="I225" s="975"/>
    </row>
    <row r="226" spans="2:13" ht="15" customHeight="1" x14ac:dyDescent="0.3">
      <c r="C226" s="802" t="s">
        <v>239</v>
      </c>
      <c r="D226" s="804"/>
      <c r="E226" s="800"/>
      <c r="F226" s="975"/>
      <c r="G226" s="975"/>
      <c r="H226" s="975"/>
      <c r="I226" s="975"/>
    </row>
    <row r="227" spans="2:13" ht="15" customHeight="1" x14ac:dyDescent="0.3">
      <c r="C227" s="893" t="s">
        <v>436</v>
      </c>
      <c r="D227" s="801">
        <f>25*F227</f>
        <v>2500</v>
      </c>
      <c r="E227" s="894" t="s">
        <v>437</v>
      </c>
      <c r="F227" s="720">
        <v>100</v>
      </c>
    </row>
    <row r="228" spans="2:13" ht="15" customHeight="1" x14ac:dyDescent="0.3">
      <c r="C228" s="802" t="s">
        <v>238</v>
      </c>
      <c r="D228" s="712" t="s">
        <v>438</v>
      </c>
      <c r="E228" s="800"/>
    </row>
    <row r="229" spans="2:13" ht="15" customHeight="1" thickBot="1" x14ac:dyDescent="0.35">
      <c r="C229" s="806"/>
      <c r="D229" s="806"/>
      <c r="E229" s="895"/>
      <c r="F229" s="800"/>
    </row>
    <row r="230" spans="2:13" ht="24" customHeight="1" thickBot="1" x14ac:dyDescent="0.35">
      <c r="B230" s="722"/>
      <c r="C230" s="1507" t="s">
        <v>404</v>
      </c>
      <c r="D230" s="1508"/>
      <c r="E230" s="1508"/>
      <c r="F230" s="1508"/>
      <c r="G230" s="1509"/>
      <c r="H230" s="1510" t="s">
        <v>411</v>
      </c>
      <c r="I230" s="1512" t="s">
        <v>435</v>
      </c>
      <c r="J230" s="1513"/>
      <c r="K230" s="1514" t="s">
        <v>411</v>
      </c>
      <c r="L230" s="1503" t="s">
        <v>529</v>
      </c>
      <c r="M230" s="1504"/>
    </row>
    <row r="231" spans="2:13" ht="31.5" customHeight="1" thickBot="1" x14ac:dyDescent="0.35">
      <c r="B231" s="896" t="s">
        <v>391</v>
      </c>
      <c r="C231" s="897" t="s">
        <v>398</v>
      </c>
      <c r="D231" s="898" t="s">
        <v>441</v>
      </c>
      <c r="E231" s="899" t="s">
        <v>399</v>
      </c>
      <c r="F231" s="900" t="s">
        <v>402</v>
      </c>
      <c r="G231" s="901" t="s">
        <v>399</v>
      </c>
      <c r="H231" s="1511"/>
      <c r="I231" s="902" t="s">
        <v>408</v>
      </c>
      <c r="J231" s="903" t="s">
        <v>415</v>
      </c>
      <c r="K231" s="1515"/>
      <c r="L231" s="904" t="s">
        <v>408</v>
      </c>
      <c r="M231" s="905" t="s">
        <v>415</v>
      </c>
    </row>
    <row r="232" spans="2:13" ht="36.75" customHeight="1" thickBot="1" x14ac:dyDescent="0.35">
      <c r="B232" s="906" t="s">
        <v>510</v>
      </c>
      <c r="C232" s="907" t="s">
        <v>785</v>
      </c>
      <c r="D232" s="966">
        <v>1000</v>
      </c>
      <c r="E232" s="976">
        <f>'Prec Materia Prima y Empaq'!$H$16</f>
        <v>14000</v>
      </c>
      <c r="F232" s="910">
        <f>E232*19%</f>
        <v>2660</v>
      </c>
      <c r="G232" s="911">
        <f>+F232+E232</f>
        <v>16660</v>
      </c>
      <c r="H232" s="912">
        <f>G232/D232*I232</f>
        <v>2082.5</v>
      </c>
      <c r="I232" s="977">
        <v>125</v>
      </c>
      <c r="J232" s="978" t="s">
        <v>56</v>
      </c>
      <c r="K232" s="819">
        <f t="shared" ref="K232:K234" si="60">G232/$D232*L232</f>
        <v>20.824999999999999</v>
      </c>
      <c r="L232" s="915">
        <f>I232/F227</f>
        <v>1.25</v>
      </c>
      <c r="M232" s="916" t="s">
        <v>56</v>
      </c>
    </row>
    <row r="233" spans="2:13" ht="22.5" customHeight="1" thickBot="1" x14ac:dyDescent="0.35">
      <c r="B233" s="918" t="s">
        <v>510</v>
      </c>
      <c r="C233" s="717" t="s">
        <v>259</v>
      </c>
      <c r="D233" s="966">
        <v>1000</v>
      </c>
      <c r="E233" s="843">
        <f>'Prec Materia Prima y Empaq'!$H$42</f>
        <v>63103</v>
      </c>
      <c r="F233" s="910">
        <f>E233*19%</f>
        <v>11989.57</v>
      </c>
      <c r="G233" s="920">
        <f>+F233+E233</f>
        <v>75092.570000000007</v>
      </c>
      <c r="H233" s="820">
        <f t="shared" ref="H233" si="61">G233/D233*I233</f>
        <v>75.092570000000009</v>
      </c>
      <c r="I233" s="979">
        <v>1</v>
      </c>
      <c r="J233" s="714" t="s">
        <v>56</v>
      </c>
      <c r="K233" s="819">
        <f t="shared" si="60"/>
        <v>0.75092570000000014</v>
      </c>
      <c r="L233" s="915">
        <f>I233/F227</f>
        <v>0.01</v>
      </c>
      <c r="M233" s="916" t="s">
        <v>56</v>
      </c>
    </row>
    <row r="234" spans="2:13" ht="15" customHeight="1" x14ac:dyDescent="0.3">
      <c r="B234" s="918" t="s">
        <v>510</v>
      </c>
      <c r="C234" s="717" t="s">
        <v>267</v>
      </c>
      <c r="D234" s="919">
        <v>1000</v>
      </c>
      <c r="E234" s="843"/>
      <c r="F234" s="819"/>
      <c r="G234" s="920"/>
      <c r="H234" s="820"/>
      <c r="I234" s="980"/>
      <c r="J234" s="714"/>
      <c r="K234" s="819">
        <f t="shared" si="60"/>
        <v>0</v>
      </c>
      <c r="L234" s="915"/>
      <c r="M234" s="916"/>
    </row>
    <row r="235" spans="2:13" ht="15" customHeight="1" x14ac:dyDescent="0.3">
      <c r="B235" s="918" t="s">
        <v>510</v>
      </c>
      <c r="C235" s="717"/>
      <c r="D235" s="919">
        <v>1000</v>
      </c>
      <c r="E235" s="843"/>
      <c r="F235" s="819"/>
      <c r="G235" s="920"/>
      <c r="H235" s="820"/>
      <c r="I235" s="980"/>
      <c r="J235" s="714"/>
      <c r="K235" s="819"/>
      <c r="L235" s="981"/>
      <c r="M235" s="941"/>
    </row>
    <row r="236" spans="2:13" ht="15" customHeight="1" x14ac:dyDescent="0.3">
      <c r="B236" s="918"/>
      <c r="C236" s="717"/>
      <c r="D236" s="919"/>
      <c r="E236" s="843"/>
      <c r="F236" s="819"/>
      <c r="G236" s="920"/>
      <c r="H236" s="820"/>
      <c r="I236" s="979"/>
      <c r="J236" s="714"/>
      <c r="K236" s="819"/>
      <c r="L236" s="981"/>
      <c r="M236" s="941"/>
    </row>
    <row r="237" spans="2:13" ht="15" customHeight="1" thickBot="1" x14ac:dyDescent="0.35">
      <c r="B237" s="918"/>
      <c r="C237" s="717"/>
      <c r="D237" s="919"/>
      <c r="E237" s="843"/>
      <c r="F237" s="819">
        <f t="shared" ref="F237" si="62">E237*19%</f>
        <v>0</v>
      </c>
      <c r="G237" s="920">
        <f t="shared" ref="G237:G242" si="63">+F237+E237</f>
        <v>0</v>
      </c>
      <c r="H237" s="820"/>
      <c r="I237" s="979"/>
      <c r="J237" s="923"/>
      <c r="K237" s="924"/>
      <c r="L237" s="821"/>
      <c r="M237" s="923"/>
    </row>
    <row r="238" spans="2:13" ht="22.5" customHeight="1" x14ac:dyDescent="0.3">
      <c r="B238" s="906" t="s">
        <v>368</v>
      </c>
      <c r="C238" s="907" t="s">
        <v>375</v>
      </c>
      <c r="D238" s="939">
        <v>1</v>
      </c>
      <c r="E238" s="1505">
        <f>'Prec Materia Prima y Empaq'!$H$166</f>
        <v>1025</v>
      </c>
      <c r="F238" s="917"/>
      <c r="G238" s="911">
        <f t="shared" si="63"/>
        <v>1025</v>
      </c>
      <c r="H238" s="973">
        <f>$G$19/$D$19*$I$19</f>
        <v>102500</v>
      </c>
      <c r="I238" s="917">
        <v>100</v>
      </c>
      <c r="J238" s="916" t="s">
        <v>393</v>
      </c>
      <c r="K238" s="943">
        <f>+E238</f>
        <v>1025</v>
      </c>
      <c r="L238" s="917"/>
      <c r="M238" s="916" t="s">
        <v>393</v>
      </c>
    </row>
    <row r="239" spans="2:13" ht="28.5" customHeight="1" x14ac:dyDescent="0.3">
      <c r="B239" s="918" t="s">
        <v>368</v>
      </c>
      <c r="C239" s="717" t="s">
        <v>376</v>
      </c>
      <c r="D239" s="824"/>
      <c r="E239" s="1506"/>
      <c r="F239" s="714"/>
      <c r="G239" s="920">
        <f t="shared" si="63"/>
        <v>0</v>
      </c>
      <c r="H239" s="948"/>
      <c r="I239" s="714">
        <v>100</v>
      </c>
      <c r="J239" s="923" t="s">
        <v>393</v>
      </c>
      <c r="K239" s="949"/>
      <c r="L239" s="714"/>
      <c r="M239" s="923" t="s">
        <v>393</v>
      </c>
    </row>
    <row r="240" spans="2:13" ht="15" customHeight="1" x14ac:dyDescent="0.3">
      <c r="B240" s="918" t="s">
        <v>368</v>
      </c>
      <c r="C240" s="717" t="s">
        <v>377</v>
      </c>
      <c r="D240" s="824">
        <v>1</v>
      </c>
      <c r="E240" s="818">
        <f>'Preci Comp Prod'!$N$47</f>
        <v>200</v>
      </c>
      <c r="F240" s="714"/>
      <c r="G240" s="920">
        <f t="shared" si="63"/>
        <v>200</v>
      </c>
      <c r="H240" s="950">
        <f>$G$21/$D$21*$I$21</f>
        <v>20000</v>
      </c>
      <c r="I240" s="714">
        <v>100</v>
      </c>
      <c r="J240" s="923" t="s">
        <v>393</v>
      </c>
      <c r="K240" s="949">
        <f>+E240</f>
        <v>200</v>
      </c>
      <c r="L240" s="714"/>
      <c r="M240" s="923" t="s">
        <v>393</v>
      </c>
    </row>
    <row r="241" spans="2:13" ht="15" customHeight="1" x14ac:dyDescent="0.3">
      <c r="B241" s="918" t="s">
        <v>368</v>
      </c>
      <c r="C241" s="717" t="s">
        <v>502</v>
      </c>
      <c r="D241" s="824">
        <v>1</v>
      </c>
      <c r="E241" s="818">
        <f>'Preci Comp Prod'!$N$48</f>
        <v>350</v>
      </c>
      <c r="F241" s="714"/>
      <c r="G241" s="920">
        <f t="shared" si="63"/>
        <v>350</v>
      </c>
      <c r="H241" s="950">
        <f>$G$22/$D$22*$I$22</f>
        <v>35000</v>
      </c>
      <c r="I241" s="714">
        <v>100</v>
      </c>
      <c r="J241" s="923" t="s">
        <v>393</v>
      </c>
      <c r="K241" s="949">
        <f>+E241</f>
        <v>350</v>
      </c>
      <c r="L241" s="714"/>
      <c r="M241" s="923" t="s">
        <v>393</v>
      </c>
    </row>
    <row r="242" spans="2:13" ht="30.75" customHeight="1" thickBot="1" x14ac:dyDescent="0.35">
      <c r="B242" s="925" t="s">
        <v>368</v>
      </c>
      <c r="C242" s="926" t="s">
        <v>440</v>
      </c>
      <c r="D242" s="951">
        <v>1</v>
      </c>
      <c r="E242" s="936">
        <f>'Preci Comp Prod'!$N$49</f>
        <v>200</v>
      </c>
      <c r="F242" s="935"/>
      <c r="G242" s="929">
        <f t="shared" si="63"/>
        <v>200</v>
      </c>
      <c r="H242" s="952">
        <f>$G$23/$D$23*$I$23</f>
        <v>20000</v>
      </c>
      <c r="I242" s="935">
        <v>100</v>
      </c>
      <c r="J242" s="934" t="s">
        <v>393</v>
      </c>
      <c r="K242" s="953">
        <f>+E242</f>
        <v>200</v>
      </c>
      <c r="L242" s="935"/>
      <c r="M242" s="934" t="s">
        <v>393</v>
      </c>
    </row>
    <row r="243" spans="2:13" ht="15" customHeight="1" thickBot="1" x14ac:dyDescent="0.35">
      <c r="B243" s="954"/>
      <c r="C243" s="955"/>
      <c r="D243" s="891"/>
      <c r="E243" s="836"/>
      <c r="G243" s="833"/>
      <c r="H243" s="833"/>
      <c r="K243" s="956">
        <f>SUM(K232:K242)</f>
        <v>1796.5759257</v>
      </c>
      <c r="L243" s="835" t="s">
        <v>454</v>
      </c>
    </row>
    <row r="244" spans="2:13" ht="15" customHeight="1" thickTop="1" x14ac:dyDescent="0.3">
      <c r="B244" s="954"/>
      <c r="C244" s="955"/>
      <c r="D244" s="891"/>
      <c r="E244" s="836"/>
      <c r="G244" s="833"/>
      <c r="H244" s="833"/>
    </row>
    <row r="245" spans="2:13" ht="15" customHeight="1" x14ac:dyDescent="0.3">
      <c r="B245" s="922"/>
      <c r="C245" s="986" t="s">
        <v>409</v>
      </c>
      <c r="D245" s="987"/>
      <c r="E245" s="988"/>
      <c r="F245" s="987"/>
      <c r="G245" s="989">
        <f>+'Gtos Varios'!I14</f>
        <v>3672.93</v>
      </c>
      <c r="H245" s="990"/>
      <c r="I245" s="987"/>
      <c r="J245" s="987"/>
      <c r="K245" s="990">
        <f>G245</f>
        <v>3672.93</v>
      </c>
      <c r="L245" s="982"/>
      <c r="M245" s="983"/>
    </row>
    <row r="246" spans="2:13" ht="15" customHeight="1" x14ac:dyDescent="0.3">
      <c r="C246" s="894"/>
      <c r="D246" s="894"/>
      <c r="E246" s="836"/>
    </row>
    <row r="247" spans="2:13" ht="15" customHeight="1" thickBot="1" x14ac:dyDescent="0.35">
      <c r="G247" s="962"/>
      <c r="H247" s="838">
        <f>SUM(H229:H242)</f>
        <v>179657.59256999998</v>
      </c>
      <c r="J247" s="838"/>
      <c r="K247" s="839">
        <f>+K245+K243</f>
        <v>5469.5059256999994</v>
      </c>
      <c r="L247" s="712" t="s">
        <v>412</v>
      </c>
    </row>
    <row r="248" spans="2:13" ht="15" customHeight="1" thickTop="1" x14ac:dyDescent="0.3">
      <c r="H248" s="833"/>
      <c r="K248" s="854">
        <f>K247*62%</f>
        <v>3391.0936739339995</v>
      </c>
      <c r="L248" s="844">
        <v>0.62</v>
      </c>
      <c r="M248" s="712" t="s">
        <v>539</v>
      </c>
    </row>
    <row r="249" spans="2:13" ht="15" customHeight="1" thickBot="1" x14ac:dyDescent="0.35">
      <c r="H249" s="834"/>
      <c r="K249" s="841">
        <f>K247+K248</f>
        <v>8860.5995996339989</v>
      </c>
      <c r="L249" s="712" t="s">
        <v>414</v>
      </c>
    </row>
    <row r="250" spans="2:13" ht="15" customHeight="1" thickTop="1" x14ac:dyDescent="0.3"/>
    <row r="251" spans="2:13" ht="15" customHeight="1" x14ac:dyDescent="0.3">
      <c r="B251" s="863"/>
      <c r="C251" s="863"/>
      <c r="D251" s="863"/>
    </row>
    <row r="252" spans="2:13" ht="15" customHeight="1" x14ac:dyDescent="0.3">
      <c r="B252" s="863"/>
      <c r="C252" s="984" t="s">
        <v>61</v>
      </c>
      <c r="D252" s="864" t="s">
        <v>164</v>
      </c>
      <c r="E252" s="712"/>
      <c r="F252" s="975"/>
      <c r="G252" s="975"/>
      <c r="H252" s="975"/>
      <c r="I252" s="975"/>
    </row>
    <row r="253" spans="2:13" ht="15" customHeight="1" x14ac:dyDescent="0.3">
      <c r="B253" s="863"/>
      <c r="C253" s="984" t="s">
        <v>62</v>
      </c>
      <c r="D253" s="864" t="str">
        <f>VLOOKUP(D252,LISTPROD[],2,FALSE)</f>
        <v>NUTRI OCULAR GOTAS Y PASTAS</v>
      </c>
      <c r="E253" s="712"/>
      <c r="F253" s="975"/>
      <c r="G253" s="975"/>
      <c r="H253" s="975"/>
      <c r="I253" s="975"/>
    </row>
    <row r="254" spans="2:13" ht="15" customHeight="1" x14ac:dyDescent="0.3">
      <c r="B254" s="863"/>
      <c r="C254" s="984" t="s">
        <v>234</v>
      </c>
      <c r="D254" s="864">
        <f>VLOOKUP(D252,LISTPROD[],9,FALSE)</f>
        <v>0</v>
      </c>
      <c r="E254" s="712"/>
      <c r="F254" s="975"/>
      <c r="G254" s="975"/>
      <c r="H254" s="975"/>
      <c r="I254" s="975"/>
    </row>
    <row r="255" spans="2:13" ht="15" customHeight="1" x14ac:dyDescent="0.3">
      <c r="B255" s="863"/>
      <c r="C255" s="984" t="s">
        <v>239</v>
      </c>
      <c r="D255" s="864"/>
      <c r="E255" s="800"/>
      <c r="F255" s="975"/>
      <c r="G255" s="975"/>
      <c r="H255" s="975"/>
      <c r="I255" s="975"/>
    </row>
    <row r="256" spans="2:13" ht="15" customHeight="1" x14ac:dyDescent="0.3">
      <c r="C256" s="893" t="s">
        <v>436</v>
      </c>
      <c r="D256" s="801">
        <f>25*F256</f>
        <v>2500</v>
      </c>
      <c r="E256" s="894" t="s">
        <v>437</v>
      </c>
      <c r="F256" s="720">
        <v>100</v>
      </c>
    </row>
    <row r="257" spans="2:14" ht="15" customHeight="1" x14ac:dyDescent="0.3">
      <c r="C257" s="802" t="s">
        <v>238</v>
      </c>
      <c r="D257" s="712" t="s">
        <v>438</v>
      </c>
      <c r="E257" s="800"/>
    </row>
    <row r="258" spans="2:14" ht="15" customHeight="1" thickBot="1" x14ac:dyDescent="0.35">
      <c r="C258" s="806"/>
      <c r="D258" s="806"/>
      <c r="E258" s="895"/>
      <c r="F258" s="800"/>
    </row>
    <row r="259" spans="2:14" ht="24" customHeight="1" thickBot="1" x14ac:dyDescent="0.35">
      <c r="B259" s="722"/>
      <c r="C259" s="1507" t="s">
        <v>404</v>
      </c>
      <c r="D259" s="1508"/>
      <c r="E259" s="1508"/>
      <c r="F259" s="1508"/>
      <c r="G259" s="1509"/>
      <c r="H259" s="1510" t="s">
        <v>411</v>
      </c>
      <c r="I259" s="1512" t="s">
        <v>435</v>
      </c>
      <c r="J259" s="1513"/>
      <c r="K259" s="1514" t="s">
        <v>411</v>
      </c>
      <c r="L259" s="1503" t="s">
        <v>529</v>
      </c>
      <c r="M259" s="1504"/>
    </row>
    <row r="260" spans="2:14" ht="31.5" customHeight="1" thickBot="1" x14ac:dyDescent="0.35">
      <c r="B260" s="896" t="s">
        <v>391</v>
      </c>
      <c r="C260" s="897" t="s">
        <v>398</v>
      </c>
      <c r="D260" s="898" t="s">
        <v>441</v>
      </c>
      <c r="E260" s="899" t="s">
        <v>399</v>
      </c>
      <c r="F260" s="900" t="s">
        <v>402</v>
      </c>
      <c r="G260" s="901" t="s">
        <v>399</v>
      </c>
      <c r="H260" s="1511"/>
      <c r="I260" s="902" t="s">
        <v>408</v>
      </c>
      <c r="J260" s="903" t="s">
        <v>415</v>
      </c>
      <c r="K260" s="1515"/>
      <c r="L260" s="904" t="s">
        <v>408</v>
      </c>
      <c r="M260" s="905" t="s">
        <v>415</v>
      </c>
    </row>
    <row r="261" spans="2:14" ht="36.75" customHeight="1" thickBot="1" x14ac:dyDescent="0.35">
      <c r="B261" s="906" t="s">
        <v>510</v>
      </c>
      <c r="C261" s="907" t="s">
        <v>785</v>
      </c>
      <c r="D261" s="966">
        <v>1000</v>
      </c>
      <c r="E261" s="976">
        <f>'Prec Materia Prima y Empaq'!$H$16</f>
        <v>14000</v>
      </c>
      <c r="F261" s="910">
        <f>E261*19%</f>
        <v>2660</v>
      </c>
      <c r="G261" s="911">
        <f>+F261+E261</f>
        <v>16660</v>
      </c>
      <c r="H261" s="912">
        <f>G261/D261*I261</f>
        <v>2082.5</v>
      </c>
      <c r="I261" s="977">
        <v>125</v>
      </c>
      <c r="J261" s="978" t="s">
        <v>56</v>
      </c>
      <c r="K261" s="819">
        <f t="shared" ref="K261:K263" si="64">G261/$D261*L261</f>
        <v>20.824999999999999</v>
      </c>
      <c r="L261" s="915">
        <f>I261/F256</f>
        <v>1.25</v>
      </c>
      <c r="M261" s="916" t="s">
        <v>56</v>
      </c>
    </row>
    <row r="262" spans="2:14" ht="22.5" customHeight="1" thickBot="1" x14ac:dyDescent="0.35">
      <c r="B262" s="918" t="s">
        <v>510</v>
      </c>
      <c r="C262" s="717" t="s">
        <v>259</v>
      </c>
      <c r="D262" s="966">
        <v>1000</v>
      </c>
      <c r="E262" s="843">
        <f>'Prec Materia Prima y Empaq'!$H$42</f>
        <v>63103</v>
      </c>
      <c r="F262" s="910">
        <f>E262*19%</f>
        <v>11989.57</v>
      </c>
      <c r="G262" s="920">
        <f>+F262+E262</f>
        <v>75092.570000000007</v>
      </c>
      <c r="H262" s="820">
        <f t="shared" ref="H262" si="65">G262/D262*I262</f>
        <v>75.092570000000009</v>
      </c>
      <c r="I262" s="979">
        <v>1</v>
      </c>
      <c r="J262" s="714" t="s">
        <v>56</v>
      </c>
      <c r="K262" s="819">
        <f t="shared" si="64"/>
        <v>0.75092570000000014</v>
      </c>
      <c r="L262" s="915">
        <f>I262/F256</f>
        <v>0.01</v>
      </c>
      <c r="M262" s="916" t="s">
        <v>56</v>
      </c>
    </row>
    <row r="263" spans="2:14" ht="15" customHeight="1" x14ac:dyDescent="0.3">
      <c r="B263" s="918" t="s">
        <v>510</v>
      </c>
      <c r="C263" s="715" t="s">
        <v>611</v>
      </c>
      <c r="D263" s="919"/>
      <c r="E263" s="843"/>
      <c r="F263" s="819"/>
      <c r="G263" s="920"/>
      <c r="H263" s="820"/>
      <c r="I263" s="980"/>
      <c r="J263" s="714"/>
      <c r="K263" s="819" t="e">
        <f t="shared" si="64"/>
        <v>#DIV/0!</v>
      </c>
      <c r="L263" s="915"/>
      <c r="M263" s="916"/>
      <c r="N263" s="863" t="s">
        <v>1062</v>
      </c>
    </row>
    <row r="264" spans="2:14" ht="15" customHeight="1" x14ac:dyDescent="0.3">
      <c r="B264" s="918" t="s">
        <v>510</v>
      </c>
      <c r="C264" s="717"/>
      <c r="D264" s="919"/>
      <c r="E264" s="843"/>
      <c r="F264" s="819"/>
      <c r="G264" s="920"/>
      <c r="H264" s="820"/>
      <c r="I264" s="980"/>
      <c r="J264" s="714"/>
      <c r="K264" s="819"/>
      <c r="L264" s="981"/>
      <c r="M264" s="941"/>
    </row>
    <row r="265" spans="2:14" ht="15" customHeight="1" x14ac:dyDescent="0.3">
      <c r="B265" s="918"/>
      <c r="C265" s="717"/>
      <c r="D265" s="919"/>
      <c r="E265" s="843"/>
      <c r="F265" s="819"/>
      <c r="G265" s="920"/>
      <c r="H265" s="820"/>
      <c r="I265" s="979"/>
      <c r="J265" s="714"/>
      <c r="K265" s="819"/>
      <c r="L265" s="981"/>
      <c r="M265" s="941"/>
    </row>
    <row r="266" spans="2:14" ht="15" customHeight="1" thickBot="1" x14ac:dyDescent="0.35">
      <c r="B266" s="918"/>
      <c r="C266" s="717"/>
      <c r="D266" s="919"/>
      <c r="E266" s="843"/>
      <c r="F266" s="819">
        <f t="shared" ref="F266" si="66">E266*19%</f>
        <v>0</v>
      </c>
      <c r="G266" s="920">
        <f t="shared" ref="G266:G271" si="67">+F266+E266</f>
        <v>0</v>
      </c>
      <c r="H266" s="820"/>
      <c r="I266" s="979"/>
      <c r="J266" s="923"/>
      <c r="K266" s="924"/>
      <c r="L266" s="821"/>
      <c r="M266" s="923"/>
    </row>
    <row r="267" spans="2:14" ht="22.5" customHeight="1" x14ac:dyDescent="0.3">
      <c r="B267" s="906" t="s">
        <v>368</v>
      </c>
      <c r="C267" s="907" t="s">
        <v>375</v>
      </c>
      <c r="D267" s="939">
        <v>1</v>
      </c>
      <c r="E267" s="1505">
        <f>'Prec Materia Prima y Empaq'!$H$166</f>
        <v>1025</v>
      </c>
      <c r="F267" s="917"/>
      <c r="G267" s="911">
        <f t="shared" si="67"/>
        <v>1025</v>
      </c>
      <c r="H267" s="973">
        <f>$G$19/$D$19*$I$19</f>
        <v>102500</v>
      </c>
      <c r="I267" s="917">
        <v>100</v>
      </c>
      <c r="J267" s="916" t="s">
        <v>393</v>
      </c>
      <c r="K267" s="943">
        <f>+E267</f>
        <v>1025</v>
      </c>
      <c r="L267" s="917"/>
      <c r="M267" s="916" t="s">
        <v>393</v>
      </c>
    </row>
    <row r="268" spans="2:14" ht="28.5" customHeight="1" x14ac:dyDescent="0.3">
      <c r="B268" s="918" t="s">
        <v>368</v>
      </c>
      <c r="C268" s="717" t="s">
        <v>376</v>
      </c>
      <c r="D268" s="824"/>
      <c r="E268" s="1506"/>
      <c r="F268" s="714"/>
      <c r="G268" s="920">
        <f t="shared" si="67"/>
        <v>0</v>
      </c>
      <c r="H268" s="948"/>
      <c r="I268" s="714">
        <v>100</v>
      </c>
      <c r="J268" s="923" t="s">
        <v>393</v>
      </c>
      <c r="K268" s="949"/>
      <c r="L268" s="714"/>
      <c r="M268" s="923" t="s">
        <v>393</v>
      </c>
    </row>
    <row r="269" spans="2:14" ht="15" customHeight="1" x14ac:dyDescent="0.3">
      <c r="B269" s="918" t="s">
        <v>368</v>
      </c>
      <c r="C269" s="717" t="s">
        <v>377</v>
      </c>
      <c r="D269" s="824">
        <v>1</v>
      </c>
      <c r="E269" s="818">
        <f>'Preci Comp Prod'!$N$47</f>
        <v>200</v>
      </c>
      <c r="F269" s="714"/>
      <c r="G269" s="920">
        <f t="shared" si="67"/>
        <v>200</v>
      </c>
      <c r="H269" s="950">
        <f>$G$21/$D$21*$I$21</f>
        <v>20000</v>
      </c>
      <c r="I269" s="714">
        <v>100</v>
      </c>
      <c r="J269" s="923" t="s">
        <v>393</v>
      </c>
      <c r="K269" s="949">
        <f>+E269</f>
        <v>200</v>
      </c>
      <c r="L269" s="714"/>
      <c r="M269" s="923" t="s">
        <v>393</v>
      </c>
    </row>
    <row r="270" spans="2:14" ht="15" customHeight="1" x14ac:dyDescent="0.3">
      <c r="B270" s="918" t="s">
        <v>368</v>
      </c>
      <c r="C270" s="717" t="s">
        <v>502</v>
      </c>
      <c r="D270" s="824">
        <v>1</v>
      </c>
      <c r="E270" s="818">
        <f>'Preci Comp Prod'!$N$48</f>
        <v>350</v>
      </c>
      <c r="F270" s="714"/>
      <c r="G270" s="920">
        <f t="shared" si="67"/>
        <v>350</v>
      </c>
      <c r="H270" s="950">
        <f>$G$22/$D$22*$I$22</f>
        <v>35000</v>
      </c>
      <c r="I270" s="714">
        <v>100</v>
      </c>
      <c r="J270" s="923" t="s">
        <v>393</v>
      </c>
      <c r="K270" s="949">
        <f>+E270</f>
        <v>350</v>
      </c>
      <c r="L270" s="714"/>
      <c r="M270" s="923" t="s">
        <v>393</v>
      </c>
    </row>
    <row r="271" spans="2:14" ht="30.75" customHeight="1" thickBot="1" x14ac:dyDescent="0.35">
      <c r="B271" s="925" t="s">
        <v>368</v>
      </c>
      <c r="C271" s="926" t="s">
        <v>440</v>
      </c>
      <c r="D271" s="951">
        <v>1</v>
      </c>
      <c r="E271" s="936">
        <f>'Preci Comp Prod'!$N$49</f>
        <v>200</v>
      </c>
      <c r="F271" s="935"/>
      <c r="G271" s="929">
        <f t="shared" si="67"/>
        <v>200</v>
      </c>
      <c r="H271" s="952">
        <f>$G$23/$D$23*$I$23</f>
        <v>20000</v>
      </c>
      <c r="I271" s="935">
        <v>100</v>
      </c>
      <c r="J271" s="934" t="s">
        <v>393</v>
      </c>
      <c r="K271" s="953">
        <f>+E271</f>
        <v>200</v>
      </c>
      <c r="L271" s="935"/>
      <c r="M271" s="934" t="s">
        <v>393</v>
      </c>
    </row>
    <row r="272" spans="2:14" ht="15" customHeight="1" thickBot="1" x14ac:dyDescent="0.35">
      <c r="B272" s="954"/>
      <c r="C272" s="955"/>
      <c r="D272" s="891"/>
      <c r="E272" s="836"/>
      <c r="G272" s="833"/>
      <c r="H272" s="833"/>
      <c r="K272" s="956" t="e">
        <f>SUM(K261:K271)</f>
        <v>#DIV/0!</v>
      </c>
      <c r="L272" s="835" t="s">
        <v>454</v>
      </c>
    </row>
    <row r="273" spans="2:13" ht="15" customHeight="1" thickTop="1" x14ac:dyDescent="0.3">
      <c r="B273" s="954"/>
      <c r="C273" s="955"/>
      <c r="D273" s="891"/>
      <c r="E273" s="836"/>
      <c r="G273" s="833"/>
      <c r="H273" s="833"/>
    </row>
    <row r="274" spans="2:13" ht="15" customHeight="1" x14ac:dyDescent="0.3">
      <c r="B274" s="922"/>
      <c r="C274" s="986" t="s">
        <v>409</v>
      </c>
      <c r="D274" s="987"/>
      <c r="E274" s="988"/>
      <c r="F274" s="987"/>
      <c r="G274" s="989">
        <f>+'Gtos Varios'!I14</f>
        <v>3672.93</v>
      </c>
      <c r="H274" s="990"/>
      <c r="I274" s="987"/>
      <c r="J274" s="987"/>
      <c r="K274" s="990">
        <f>G274</f>
        <v>3672.93</v>
      </c>
      <c r="L274" s="982"/>
      <c r="M274" s="983"/>
    </row>
    <row r="275" spans="2:13" ht="15" customHeight="1" x14ac:dyDescent="0.3">
      <c r="C275" s="894"/>
      <c r="D275" s="894"/>
      <c r="E275" s="836"/>
    </row>
    <row r="276" spans="2:13" ht="15" customHeight="1" thickBot="1" x14ac:dyDescent="0.35">
      <c r="G276" s="962"/>
      <c r="H276" s="838">
        <f>SUM(H258:H271)</f>
        <v>179657.59256999998</v>
      </c>
      <c r="J276" s="838"/>
      <c r="K276" s="839" t="e">
        <f>+K274+K272</f>
        <v>#DIV/0!</v>
      </c>
      <c r="L276" s="712" t="s">
        <v>412</v>
      </c>
    </row>
    <row r="277" spans="2:13" ht="15" customHeight="1" thickTop="1" x14ac:dyDescent="0.3">
      <c r="H277" s="833"/>
      <c r="K277" s="854" t="e">
        <f>K276*62%</f>
        <v>#DIV/0!</v>
      </c>
      <c r="L277" s="844">
        <v>0.62</v>
      </c>
      <c r="M277" s="712" t="s">
        <v>539</v>
      </c>
    </row>
    <row r="278" spans="2:13" ht="15" customHeight="1" thickBot="1" x14ac:dyDescent="0.35">
      <c r="H278" s="834"/>
      <c r="K278" s="841" t="e">
        <f>K276+K277</f>
        <v>#DIV/0!</v>
      </c>
      <c r="L278" s="712" t="s">
        <v>414</v>
      </c>
    </row>
    <row r="279" spans="2:13" ht="15" customHeight="1" thickTop="1" x14ac:dyDescent="0.3"/>
  </sheetData>
  <mergeCells count="102">
    <mergeCell ref="AX52:AX53"/>
    <mergeCell ref="C78:G78"/>
    <mergeCell ref="H78:H79"/>
    <mergeCell ref="I78:J78"/>
    <mergeCell ref="K78:K79"/>
    <mergeCell ref="L78:M78"/>
    <mergeCell ref="AO43:AO44"/>
    <mergeCell ref="AP43:AQ43"/>
    <mergeCell ref="AI52:AI53"/>
    <mergeCell ref="AV43:AZ43"/>
    <mergeCell ref="AA43:AB43"/>
    <mergeCell ref="T52:T53"/>
    <mergeCell ref="AG43:AK43"/>
    <mergeCell ref="AL43:AL44"/>
    <mergeCell ref="AM43:AN43"/>
    <mergeCell ref="E52:E53"/>
    <mergeCell ref="R43:V43"/>
    <mergeCell ref="W43:W44"/>
    <mergeCell ref="X43:Y43"/>
    <mergeCell ref="Z43:Z44"/>
    <mergeCell ref="AM10:AN10"/>
    <mergeCell ref="AO10:AO11"/>
    <mergeCell ref="Z10:Z11"/>
    <mergeCell ref="AA10:AB10"/>
    <mergeCell ref="BD10:BD11"/>
    <mergeCell ref="C10:G10"/>
    <mergeCell ref="I10:J10"/>
    <mergeCell ref="BE43:BF43"/>
    <mergeCell ref="BA43:BA44"/>
    <mergeCell ref="BB43:BC43"/>
    <mergeCell ref="BD43:BD44"/>
    <mergeCell ref="L10:M10"/>
    <mergeCell ref="CH10:CH11"/>
    <mergeCell ref="CI10:CJ10"/>
    <mergeCell ref="CB19:CB20"/>
    <mergeCell ref="BQ10:BR10"/>
    <mergeCell ref="BS10:BS11"/>
    <mergeCell ref="BT10:BU10"/>
    <mergeCell ref="BM19:BM20"/>
    <mergeCell ref="BZ10:CD10"/>
    <mergeCell ref="BP10:BP11"/>
    <mergeCell ref="BK10:BO10"/>
    <mergeCell ref="K138:K139"/>
    <mergeCell ref="C110:G110"/>
    <mergeCell ref="H110:H111"/>
    <mergeCell ref="I110:J110"/>
    <mergeCell ref="K110:K111"/>
    <mergeCell ref="L110:M110"/>
    <mergeCell ref="CE10:CE11"/>
    <mergeCell ref="CF10:CG10"/>
    <mergeCell ref="BE10:BF10"/>
    <mergeCell ref="AX19:AX20"/>
    <mergeCell ref="E19:E20"/>
    <mergeCell ref="H10:H11"/>
    <mergeCell ref="K10:K11"/>
    <mergeCell ref="T19:T20"/>
    <mergeCell ref="AG10:AK10"/>
    <mergeCell ref="R10:V10"/>
    <mergeCell ref="W10:W11"/>
    <mergeCell ref="X10:Y10"/>
    <mergeCell ref="AP10:AQ10"/>
    <mergeCell ref="AI19:AI20"/>
    <mergeCell ref="AV10:AZ10"/>
    <mergeCell ref="BA10:BA11"/>
    <mergeCell ref="BB10:BC10"/>
    <mergeCell ref="AL10:AL11"/>
    <mergeCell ref="E87:E88"/>
    <mergeCell ref="C43:G43"/>
    <mergeCell ref="H43:H44"/>
    <mergeCell ref="I43:J43"/>
    <mergeCell ref="K43:K44"/>
    <mergeCell ref="L43:M43"/>
    <mergeCell ref="L200:M200"/>
    <mergeCell ref="E208:E209"/>
    <mergeCell ref="E177:E178"/>
    <mergeCell ref="C200:G200"/>
    <mergeCell ref="H200:H201"/>
    <mergeCell ref="I200:J200"/>
    <mergeCell ref="K200:K201"/>
    <mergeCell ref="C169:G169"/>
    <mergeCell ref="H169:H170"/>
    <mergeCell ref="I169:J169"/>
    <mergeCell ref="K169:K170"/>
    <mergeCell ref="L169:M169"/>
    <mergeCell ref="L138:M138"/>
    <mergeCell ref="E146:E147"/>
    <mergeCell ref="E115:E116"/>
    <mergeCell ref="C138:G138"/>
    <mergeCell ref="H138:H139"/>
    <mergeCell ref="I138:J138"/>
    <mergeCell ref="L259:M259"/>
    <mergeCell ref="E267:E268"/>
    <mergeCell ref="E238:E239"/>
    <mergeCell ref="C259:G259"/>
    <mergeCell ref="H259:H260"/>
    <mergeCell ref="I259:J259"/>
    <mergeCell ref="K259:K260"/>
    <mergeCell ref="C230:G230"/>
    <mergeCell ref="H230:H231"/>
    <mergeCell ref="I230:J230"/>
    <mergeCell ref="K230:K231"/>
    <mergeCell ref="L230:M23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F6E2-AEA9-4591-AAA9-71A942FED927}">
  <sheetPr>
    <tabColor rgb="FF00B0F0"/>
  </sheetPr>
  <dimension ref="A1:CD215"/>
  <sheetViews>
    <sheetView showGridLines="0" zoomScale="60" zoomScaleNormal="60" workbookViewId="0">
      <selection activeCell="U26" sqref="U26"/>
    </sheetView>
  </sheetViews>
  <sheetFormatPr baseColWidth="10" defaultRowHeight="15" customHeight="1" x14ac:dyDescent="0.25"/>
  <cols>
    <col min="1" max="1" width="16.7109375" customWidth="1"/>
    <col min="2" max="2" width="17" customWidth="1"/>
    <col min="3" max="3" width="19.42578125" customWidth="1"/>
    <col min="4" max="4" width="17.5703125" style="105" customWidth="1"/>
    <col min="5" max="5" width="15.5703125" customWidth="1"/>
    <col min="6" max="6" width="19.85546875" customWidth="1"/>
    <col min="7" max="7" width="19.7109375" customWidth="1"/>
    <col min="12" max="12" width="16" style="243" customWidth="1"/>
    <col min="13" max="13" width="11.42578125" style="177"/>
    <col min="15" max="15" width="12.5703125" customWidth="1"/>
    <col min="16" max="16" width="17" customWidth="1"/>
    <col min="17" max="17" width="19.42578125" customWidth="1"/>
    <col min="18" max="18" width="17.5703125" style="105" customWidth="1"/>
    <col min="19" max="19" width="15.5703125" customWidth="1"/>
    <col min="20" max="20" width="19.85546875" customWidth="1"/>
    <col min="21" max="21" width="19.7109375" customWidth="1"/>
    <col min="27" max="27" width="11.42578125" style="22"/>
    <col min="29" max="29" width="12.5703125" customWidth="1"/>
    <col min="30" max="30" width="17" customWidth="1"/>
    <col min="31" max="31" width="19.42578125" customWidth="1"/>
    <col min="32" max="32" width="17.5703125" style="105" customWidth="1"/>
    <col min="33" max="33" width="15.5703125" customWidth="1"/>
    <col min="34" max="34" width="19.85546875" customWidth="1"/>
    <col min="35" max="35" width="19.7109375" customWidth="1"/>
    <col min="41" max="41" width="11.42578125" style="22"/>
    <col min="43" max="43" width="12.5703125" customWidth="1"/>
    <col min="44" max="44" width="17" customWidth="1"/>
    <col min="45" max="45" width="19.42578125" customWidth="1"/>
    <col min="46" max="46" width="17.5703125" style="105" customWidth="1"/>
    <col min="47" max="47" width="15.5703125" customWidth="1"/>
    <col min="48" max="48" width="18.28515625" customWidth="1"/>
    <col min="49" max="49" width="19.7109375" customWidth="1"/>
    <col min="55" max="55" width="11.42578125" style="22"/>
    <col min="57" max="57" width="12.5703125" customWidth="1"/>
    <col min="58" max="58" width="17" customWidth="1"/>
    <col min="59" max="59" width="19.42578125" customWidth="1"/>
    <col min="60" max="60" width="17.5703125" style="105" customWidth="1"/>
    <col min="61" max="61" width="15.5703125" customWidth="1"/>
    <col min="62" max="62" width="20" customWidth="1"/>
    <col min="63" max="63" width="19.7109375" customWidth="1"/>
    <col min="69" max="69" width="11.42578125" style="22"/>
    <col min="71" max="71" width="12.5703125" customWidth="1"/>
    <col min="72" max="72" width="17" customWidth="1"/>
    <col min="73" max="73" width="19.42578125" customWidth="1"/>
    <col min="74" max="74" width="17.5703125" style="105" customWidth="1"/>
    <col min="75" max="75" width="15.5703125" customWidth="1"/>
    <col min="76" max="76" width="20" customWidth="1"/>
    <col min="77" max="77" width="19.7109375" customWidth="1"/>
  </cols>
  <sheetData>
    <row r="1" spans="1:82" ht="15" customHeight="1" x14ac:dyDescent="0.25">
      <c r="C1" s="105" t="s">
        <v>406</v>
      </c>
      <c r="D1" t="s">
        <v>407</v>
      </c>
      <c r="Q1" s="105" t="s">
        <v>406</v>
      </c>
      <c r="R1" t="s">
        <v>407</v>
      </c>
      <c r="AE1" s="105" t="s">
        <v>406</v>
      </c>
      <c r="AF1" t="s">
        <v>407</v>
      </c>
      <c r="AS1" s="105" t="s">
        <v>406</v>
      </c>
      <c r="AT1" t="s">
        <v>407</v>
      </c>
      <c r="BG1" s="105" t="s">
        <v>406</v>
      </c>
      <c r="BH1" t="s">
        <v>407</v>
      </c>
      <c r="BU1" s="105" t="s">
        <v>406</v>
      </c>
      <c r="BV1" t="s">
        <v>407</v>
      </c>
    </row>
    <row r="2" spans="1:82" ht="15" customHeight="1" x14ac:dyDescent="0.25">
      <c r="C2" s="105"/>
      <c r="D2"/>
      <c r="Q2" s="105"/>
      <c r="R2"/>
      <c r="AE2" s="105"/>
      <c r="AF2"/>
      <c r="AS2" s="105"/>
      <c r="AT2"/>
      <c r="BG2" s="105"/>
      <c r="BH2"/>
      <c r="BU2" s="105"/>
      <c r="BV2"/>
    </row>
    <row r="3" spans="1:82" ht="15" customHeight="1" x14ac:dyDescent="0.25">
      <c r="B3" s="100" t="s">
        <v>61</v>
      </c>
      <c r="C3" s="1" t="s">
        <v>386</v>
      </c>
      <c r="D3"/>
      <c r="P3" s="100" t="s">
        <v>61</v>
      </c>
      <c r="Q3" s="1" t="s">
        <v>93</v>
      </c>
      <c r="R3"/>
      <c r="AD3" s="100" t="s">
        <v>61</v>
      </c>
      <c r="AE3" s="1" t="s">
        <v>121</v>
      </c>
      <c r="AF3"/>
      <c r="AR3" s="100" t="s">
        <v>61</v>
      </c>
      <c r="AS3" s="1" t="s">
        <v>96</v>
      </c>
      <c r="AT3"/>
      <c r="BF3" s="100" t="s">
        <v>61</v>
      </c>
      <c r="BG3" s="1" t="s">
        <v>192</v>
      </c>
      <c r="BH3"/>
      <c r="BT3" s="100" t="s">
        <v>61</v>
      </c>
      <c r="BU3" s="1" t="s">
        <v>220</v>
      </c>
      <c r="BV3"/>
    </row>
    <row r="4" spans="1:82" ht="15" customHeight="1" x14ac:dyDescent="0.25">
      <c r="B4" s="100" t="s">
        <v>62</v>
      </c>
      <c r="C4" s="1" t="str">
        <f>VLOOKUP(C3,LISTPROD[],2,FALSE)</f>
        <v>CALENDULA (Capsulas)</v>
      </c>
      <c r="D4"/>
      <c r="P4" s="100" t="s">
        <v>62</v>
      </c>
      <c r="Q4" s="1" t="str">
        <f>VLOOKUP(Q3,LISTPROD[],2,FALSE)</f>
        <v>CARDO MARIANO (Capsulas)</v>
      </c>
      <c r="R4"/>
      <c r="AD4" s="100" t="s">
        <v>62</v>
      </c>
      <c r="AE4" s="1" t="str">
        <f>VLOOKUP(AE3,LISTPROD[],2,FALSE)</f>
        <v>FENOGRECO (Capsulas)</v>
      </c>
      <c r="AF4"/>
      <c r="AR4" s="100" t="s">
        <v>62</v>
      </c>
      <c r="AS4" s="1" t="str">
        <f>VLOOKUP(AS3,LISTPROD[],2,FALSE)</f>
        <v>CATUAMA (Capsulas)</v>
      </c>
      <c r="AT4"/>
      <c r="BF4" s="100" t="s">
        <v>62</v>
      </c>
      <c r="BG4" s="1" t="str">
        <f>VLOOKUP(BG3,LISTPROD[],2,FALSE)</f>
        <v>SAW PALMETO (Capsulas)</v>
      </c>
      <c r="BH4"/>
      <c r="BT4" s="100" t="s">
        <v>62</v>
      </c>
      <c r="BU4" s="1" t="str">
        <f>VLOOKUP(BU3,LISTPROD[],2,FALSE)</f>
        <v>CITRATO DE MAGNESIO (Capsulas)</v>
      </c>
      <c r="BV4"/>
    </row>
    <row r="5" spans="1:82" ht="15" customHeight="1" x14ac:dyDescent="0.25">
      <c r="B5" s="100" t="s">
        <v>234</v>
      </c>
      <c r="C5" s="1" t="str">
        <f>VLOOKUP(C3,LISTPROD[],9,FALSE)</f>
        <v>CAPSULAS 60 UND</v>
      </c>
      <c r="D5"/>
      <c r="P5" s="100" t="s">
        <v>234</v>
      </c>
      <c r="Q5" s="1" t="str">
        <f>VLOOKUP(Q3,LISTPROD[],9,FALSE)</f>
        <v>CAPSULAS 60 UND</v>
      </c>
      <c r="R5"/>
      <c r="AD5" s="100" t="s">
        <v>234</v>
      </c>
      <c r="AE5" s="1" t="str">
        <f>VLOOKUP(AE3,LISTPROD[],9,FALSE)</f>
        <v>CAPSULAS 60 UND</v>
      </c>
      <c r="AF5"/>
      <c r="AR5" s="100" t="s">
        <v>234</v>
      </c>
      <c r="AS5" s="1" t="str">
        <f>VLOOKUP(AS3,LISTPROD[],9,FALSE)</f>
        <v>CAPSULAS 30 UND</v>
      </c>
      <c r="AT5"/>
      <c r="BF5" s="100" t="s">
        <v>234</v>
      </c>
      <c r="BG5" s="1" t="str">
        <f>VLOOKUP(BG3,LISTPROD[],9,FALSE)</f>
        <v>CAPSULAS 60 UND</v>
      </c>
      <c r="BH5"/>
      <c r="BT5" s="100" t="s">
        <v>234</v>
      </c>
      <c r="BU5" s="1" t="str">
        <f>VLOOKUP(BU3,LISTPROD[],9,FALSE)</f>
        <v>CAPSULAS 60 UND</v>
      </c>
      <c r="BV5"/>
    </row>
    <row r="6" spans="1:82" ht="15" customHeight="1" x14ac:dyDescent="0.25">
      <c r="B6" s="100" t="s">
        <v>239</v>
      </c>
      <c r="C6" s="1">
        <v>1</v>
      </c>
      <c r="D6" s="11"/>
      <c r="P6" s="100" t="s">
        <v>239</v>
      </c>
      <c r="Q6" s="1">
        <v>1</v>
      </c>
      <c r="R6" s="11"/>
      <c r="AD6" s="100" t="s">
        <v>239</v>
      </c>
      <c r="AE6" s="1">
        <v>1</v>
      </c>
      <c r="AF6" s="11"/>
      <c r="AR6" s="100" t="s">
        <v>239</v>
      </c>
      <c r="AS6" s="1">
        <v>1</v>
      </c>
      <c r="AT6" s="11"/>
      <c r="BF6" s="100" t="s">
        <v>239</v>
      </c>
      <c r="BG6" s="1">
        <v>1</v>
      </c>
      <c r="BH6" s="11"/>
      <c r="BT6" s="100" t="s">
        <v>239</v>
      </c>
      <c r="BU6" s="1">
        <v>1</v>
      </c>
      <c r="BV6" s="11"/>
    </row>
    <row r="7" spans="1:82" ht="15" customHeight="1" x14ac:dyDescent="0.25">
      <c r="B7" s="100" t="s">
        <v>240</v>
      </c>
      <c r="C7" s="1">
        <v>1</v>
      </c>
      <c r="D7"/>
      <c r="P7" s="100" t="s">
        <v>240</v>
      </c>
      <c r="Q7" s="1">
        <v>1</v>
      </c>
      <c r="R7"/>
      <c r="AD7" s="100" t="s">
        <v>240</v>
      </c>
      <c r="AE7" s="1">
        <v>1</v>
      </c>
      <c r="AF7"/>
      <c r="AR7" s="100" t="s">
        <v>240</v>
      </c>
      <c r="AS7" s="1">
        <v>1</v>
      </c>
      <c r="AT7"/>
      <c r="BF7" s="100" t="s">
        <v>240</v>
      </c>
      <c r="BG7" s="1">
        <v>1</v>
      </c>
      <c r="BH7"/>
      <c r="BT7" s="100" t="s">
        <v>240</v>
      </c>
      <c r="BU7" s="1">
        <v>1</v>
      </c>
      <c r="BV7"/>
    </row>
    <row r="8" spans="1:82" ht="15" customHeight="1" x14ac:dyDescent="0.25">
      <c r="B8" s="100" t="s">
        <v>238</v>
      </c>
      <c r="C8">
        <v>60</v>
      </c>
      <c r="D8" s="11" t="s">
        <v>520</v>
      </c>
      <c r="F8" s="427">
        <f>+C8*C9</f>
        <v>30</v>
      </c>
      <c r="G8" s="427"/>
      <c r="P8" s="100" t="s">
        <v>238</v>
      </c>
      <c r="Q8">
        <v>60</v>
      </c>
      <c r="R8" s="11" t="s">
        <v>520</v>
      </c>
      <c r="AD8" s="100" t="s">
        <v>238</v>
      </c>
      <c r="AE8">
        <v>60</v>
      </c>
      <c r="AF8" s="11" t="s">
        <v>520</v>
      </c>
      <c r="AR8" s="100" t="s">
        <v>238</v>
      </c>
      <c r="AS8" s="1">
        <v>30</v>
      </c>
      <c r="AT8" s="11" t="s">
        <v>519</v>
      </c>
      <c r="BF8" s="100" t="s">
        <v>238</v>
      </c>
      <c r="BG8">
        <v>60</v>
      </c>
      <c r="BH8" s="11" t="s">
        <v>520</v>
      </c>
      <c r="BT8" s="100" t="s">
        <v>238</v>
      </c>
      <c r="BU8">
        <v>60</v>
      </c>
      <c r="BV8" s="11" t="s">
        <v>520</v>
      </c>
    </row>
    <row r="9" spans="1:82" ht="15" customHeight="1" thickBot="1" x14ac:dyDescent="0.3">
      <c r="B9" s="110" t="s">
        <v>410</v>
      </c>
      <c r="C9" s="144">
        <v>0.5</v>
      </c>
      <c r="D9" s="428">
        <f>C9*C8</f>
        <v>30</v>
      </c>
      <c r="P9" s="110" t="s">
        <v>410</v>
      </c>
      <c r="Q9" s="144">
        <v>0.5</v>
      </c>
      <c r="R9" s="145">
        <f>Q9*Q8</f>
        <v>30</v>
      </c>
      <c r="AD9" s="110" t="s">
        <v>410</v>
      </c>
      <c r="AE9" s="144">
        <v>0.5</v>
      </c>
      <c r="AF9" s="145">
        <f>AE9*AE8</f>
        <v>30</v>
      </c>
      <c r="AR9" s="110" t="s">
        <v>410</v>
      </c>
      <c r="AS9" s="144">
        <v>0.5</v>
      </c>
      <c r="AT9" s="145">
        <f>AS9*AS8</f>
        <v>15</v>
      </c>
      <c r="BF9" s="110" t="s">
        <v>410</v>
      </c>
      <c r="BG9" s="144">
        <v>0.5</v>
      </c>
      <c r="BH9" s="145">
        <f>BG9*BG8</f>
        <v>30</v>
      </c>
      <c r="BT9" s="110" t="s">
        <v>410</v>
      </c>
      <c r="BU9" s="144">
        <v>0.5</v>
      </c>
      <c r="BV9" s="145">
        <f>BU9*BU8</f>
        <v>30</v>
      </c>
    </row>
    <row r="10" spans="1:82" ht="15" customHeight="1" thickBot="1" x14ac:dyDescent="0.3">
      <c r="A10" s="115"/>
      <c r="B10" s="1520" t="s">
        <v>404</v>
      </c>
      <c r="C10" s="1521"/>
      <c r="D10" s="1522"/>
      <c r="E10" s="1522"/>
      <c r="F10" s="1522"/>
      <c r="G10" s="199"/>
      <c r="H10" s="1518" t="s">
        <v>416</v>
      </c>
      <c r="I10" s="1519"/>
      <c r="K10" s="1517" t="s">
        <v>454</v>
      </c>
      <c r="L10" s="1517"/>
      <c r="O10" s="115"/>
      <c r="P10" s="1520" t="s">
        <v>404</v>
      </c>
      <c r="Q10" s="1521"/>
      <c r="R10" s="1522"/>
      <c r="S10" s="1522"/>
      <c r="T10" s="1522"/>
      <c r="U10" s="199"/>
      <c r="V10" s="1518" t="s">
        <v>416</v>
      </c>
      <c r="W10" s="1519"/>
      <c r="X10" s="2"/>
      <c r="Y10" s="1517" t="s">
        <v>454</v>
      </c>
      <c r="Z10" s="1517"/>
      <c r="AC10" s="115"/>
      <c r="AD10" s="1520" t="s">
        <v>404</v>
      </c>
      <c r="AE10" s="1521"/>
      <c r="AF10" s="1522"/>
      <c r="AG10" s="1522"/>
      <c r="AH10" s="1522"/>
      <c r="AI10" s="199"/>
      <c r="AJ10" s="1518" t="s">
        <v>416</v>
      </c>
      <c r="AK10" s="1519"/>
      <c r="AM10" s="1517" t="s">
        <v>454</v>
      </c>
      <c r="AN10" s="1517"/>
      <c r="AQ10" s="115"/>
      <c r="AR10" s="1520" t="s">
        <v>404</v>
      </c>
      <c r="AS10" s="1521"/>
      <c r="AT10" s="1522"/>
      <c r="AU10" s="1522"/>
      <c r="AV10" s="1522"/>
      <c r="AW10" s="199"/>
      <c r="AX10" s="1518" t="s">
        <v>416</v>
      </c>
      <c r="AY10" s="1519"/>
      <c r="BA10" s="1517" t="s">
        <v>454</v>
      </c>
      <c r="BB10" s="1517"/>
      <c r="BE10" s="115"/>
      <c r="BF10" s="1520" t="s">
        <v>404</v>
      </c>
      <c r="BG10" s="1521"/>
      <c r="BH10" s="1522"/>
      <c r="BI10" s="1522"/>
      <c r="BJ10" s="1522"/>
      <c r="BK10" s="199"/>
      <c r="BL10" s="1518" t="s">
        <v>416</v>
      </c>
      <c r="BM10" s="1519"/>
      <c r="BO10" s="1517" t="s">
        <v>454</v>
      </c>
      <c r="BP10" s="1517"/>
      <c r="BS10" s="115"/>
      <c r="BT10" s="1520" t="s">
        <v>404</v>
      </c>
      <c r="BU10" s="1521"/>
      <c r="BV10" s="1522"/>
      <c r="BW10" s="1522"/>
      <c r="BX10" s="1522"/>
      <c r="BY10" s="199"/>
      <c r="BZ10" s="1518" t="s">
        <v>416</v>
      </c>
      <c r="CA10" s="1519"/>
      <c r="CC10" s="1517" t="s">
        <v>454</v>
      </c>
      <c r="CD10" s="1517"/>
    </row>
    <row r="11" spans="1:82" ht="44.25" customHeight="1" thickBot="1" x14ac:dyDescent="0.3">
      <c r="A11" s="202" t="s">
        <v>391</v>
      </c>
      <c r="B11" s="194" t="s">
        <v>511</v>
      </c>
      <c r="C11" s="195" t="s">
        <v>62</v>
      </c>
      <c r="D11" s="196" t="s">
        <v>399</v>
      </c>
      <c r="E11" s="197" t="s">
        <v>402</v>
      </c>
      <c r="F11" s="196" t="s">
        <v>399</v>
      </c>
      <c r="G11" s="201" t="s">
        <v>411</v>
      </c>
      <c r="H11" s="200" t="s">
        <v>408</v>
      </c>
      <c r="I11" s="198" t="s">
        <v>415</v>
      </c>
      <c r="K11" s="316" t="s">
        <v>603</v>
      </c>
      <c r="L11" s="316" t="s">
        <v>604</v>
      </c>
      <c r="O11" s="202" t="s">
        <v>391</v>
      </c>
      <c r="P11" s="194" t="s">
        <v>511</v>
      </c>
      <c r="Q11" s="195" t="s">
        <v>62</v>
      </c>
      <c r="R11" s="196" t="s">
        <v>399</v>
      </c>
      <c r="S11" s="197" t="s">
        <v>402</v>
      </c>
      <c r="T11" s="196" t="s">
        <v>399</v>
      </c>
      <c r="U11" s="201" t="s">
        <v>411</v>
      </c>
      <c r="V11" s="200" t="s">
        <v>408</v>
      </c>
      <c r="W11" s="198" t="s">
        <v>415</v>
      </c>
      <c r="X11" s="117"/>
      <c r="Y11" s="316" t="s">
        <v>603</v>
      </c>
      <c r="Z11" s="316" t="s">
        <v>604</v>
      </c>
      <c r="AC11" s="202" t="s">
        <v>391</v>
      </c>
      <c r="AD11" s="194" t="s">
        <v>511</v>
      </c>
      <c r="AE11" s="195" t="s">
        <v>62</v>
      </c>
      <c r="AF11" s="196" t="s">
        <v>399</v>
      </c>
      <c r="AG11" s="197" t="s">
        <v>402</v>
      </c>
      <c r="AH11" s="196" t="s">
        <v>399</v>
      </c>
      <c r="AI11" s="201" t="s">
        <v>411</v>
      </c>
      <c r="AJ11" s="200" t="s">
        <v>408</v>
      </c>
      <c r="AK11" s="198" t="s">
        <v>415</v>
      </c>
      <c r="AM11" s="316" t="s">
        <v>603</v>
      </c>
      <c r="AN11" s="316" t="s">
        <v>604</v>
      </c>
      <c r="AQ11" s="194" t="s">
        <v>391</v>
      </c>
      <c r="AR11" s="194" t="s">
        <v>511</v>
      </c>
      <c r="AS11" s="195" t="s">
        <v>62</v>
      </c>
      <c r="AT11" s="196" t="s">
        <v>399</v>
      </c>
      <c r="AU11" s="197" t="s">
        <v>402</v>
      </c>
      <c r="AV11" s="196" t="s">
        <v>399</v>
      </c>
      <c r="AW11" s="1135" t="s">
        <v>411</v>
      </c>
      <c r="AX11" s="1136" t="s">
        <v>408</v>
      </c>
      <c r="AY11" s="1137" t="s">
        <v>415</v>
      </c>
      <c r="BA11" s="316" t="s">
        <v>603</v>
      </c>
      <c r="BB11" s="316" t="s">
        <v>604</v>
      </c>
      <c r="BE11" s="202" t="s">
        <v>391</v>
      </c>
      <c r="BF11" s="194" t="s">
        <v>511</v>
      </c>
      <c r="BG11" s="195" t="s">
        <v>62</v>
      </c>
      <c r="BH11" s="196" t="s">
        <v>399</v>
      </c>
      <c r="BI11" s="197" t="s">
        <v>402</v>
      </c>
      <c r="BJ11" s="196" t="s">
        <v>399</v>
      </c>
      <c r="BK11" s="201" t="s">
        <v>411</v>
      </c>
      <c r="BL11" s="200" t="s">
        <v>408</v>
      </c>
      <c r="BM11" s="198" t="s">
        <v>415</v>
      </c>
      <c r="BO11" s="316" t="s">
        <v>603</v>
      </c>
      <c r="BP11" s="316" t="s">
        <v>604</v>
      </c>
      <c r="BS11" s="202" t="s">
        <v>391</v>
      </c>
      <c r="BT11" s="194" t="s">
        <v>511</v>
      </c>
      <c r="BU11" s="195" t="s">
        <v>62</v>
      </c>
      <c r="BV11" s="196" t="s">
        <v>399</v>
      </c>
      <c r="BW11" s="197" t="s">
        <v>402</v>
      </c>
      <c r="BX11" s="196" t="s">
        <v>399</v>
      </c>
      <c r="BY11" s="201" t="s">
        <v>411</v>
      </c>
      <c r="BZ11" s="200" t="s">
        <v>408</v>
      </c>
      <c r="CA11" s="198" t="s">
        <v>415</v>
      </c>
      <c r="CC11" s="316" t="s">
        <v>603</v>
      </c>
      <c r="CD11" s="316" t="s">
        <v>604</v>
      </c>
    </row>
    <row r="12" spans="1:82" s="213" customFormat="1" ht="27" customHeight="1" x14ac:dyDescent="0.25">
      <c r="A12" s="204" t="s">
        <v>510</v>
      </c>
      <c r="B12" s="205" t="s">
        <v>400</v>
      </c>
      <c r="C12" s="206" t="s">
        <v>397</v>
      </c>
      <c r="D12" s="207">
        <f>'Prec Materia Prima y Empaq'!$H$64</f>
        <v>25000</v>
      </c>
      <c r="E12" s="208">
        <f t="shared" ref="E12:E16" si="0">D12*19%</f>
        <v>4750</v>
      </c>
      <c r="F12" s="209">
        <f t="shared" ref="F12:F18" si="1">+E12+D12</f>
        <v>29750</v>
      </c>
      <c r="G12" s="210">
        <f>F12/1000*H12</f>
        <v>892.5</v>
      </c>
      <c r="H12" s="211">
        <f>C9*C8</f>
        <v>30</v>
      </c>
      <c r="I12" s="212" t="s">
        <v>54</v>
      </c>
      <c r="K12" s="32">
        <f>H12/$C$8</f>
        <v>0.5</v>
      </c>
      <c r="L12" s="541">
        <f>F12/1000*K12</f>
        <v>14.875</v>
      </c>
      <c r="M12" s="214"/>
      <c r="O12" s="204" t="s">
        <v>510</v>
      </c>
      <c r="P12" s="205" t="s">
        <v>400</v>
      </c>
      <c r="Q12" s="206" t="s">
        <v>512</v>
      </c>
      <c r="R12" s="207">
        <f>'Prec Materia Prima y Empaq'!$H$74</f>
        <v>45000</v>
      </c>
      <c r="S12" s="208">
        <f t="shared" ref="S12" si="2">R12*19%</f>
        <v>8550</v>
      </c>
      <c r="T12" s="209">
        <f t="shared" ref="T12" si="3">+S12+R12</f>
        <v>53550</v>
      </c>
      <c r="U12" s="210">
        <f>T12/1000*Q9*Q8</f>
        <v>1606.5</v>
      </c>
      <c r="V12" s="211">
        <f>Q9*Q8</f>
        <v>30</v>
      </c>
      <c r="W12" s="212" t="s">
        <v>54</v>
      </c>
      <c r="Y12" s="32">
        <f>V12/$Q$8</f>
        <v>0.5</v>
      </c>
      <c r="Z12" s="541">
        <f>T12/1000*Y12</f>
        <v>26.774999999999999</v>
      </c>
      <c r="AA12" s="215"/>
      <c r="AC12" s="204" t="s">
        <v>510</v>
      </c>
      <c r="AD12" s="205" t="s">
        <v>400</v>
      </c>
      <c r="AE12" s="206" t="s">
        <v>513</v>
      </c>
      <c r="AF12" s="207">
        <f>'Prec Materia Prima y Empaq'!$H$75</f>
        <v>16500</v>
      </c>
      <c r="AG12" s="208">
        <f t="shared" ref="AG12" si="4">AF12*19%</f>
        <v>3135</v>
      </c>
      <c r="AH12" s="209">
        <f t="shared" ref="AH12" si="5">+AG12+AF12</f>
        <v>19635</v>
      </c>
      <c r="AI12" s="210">
        <f>AH12/1000*AE9*AE8</f>
        <v>589.05000000000007</v>
      </c>
      <c r="AJ12" s="211">
        <f>AE9*AE8</f>
        <v>30</v>
      </c>
      <c r="AK12" s="212" t="s">
        <v>54</v>
      </c>
      <c r="AM12" s="32">
        <f>AJ12/AE8</f>
        <v>0.5</v>
      </c>
      <c r="AN12" s="541">
        <f>AH12/1000*AM12</f>
        <v>9.8175000000000008</v>
      </c>
      <c r="AO12" s="215"/>
      <c r="AQ12" s="1138" t="s">
        <v>510</v>
      </c>
      <c r="AR12" s="1139" t="s">
        <v>400</v>
      </c>
      <c r="AS12" s="1140" t="s">
        <v>514</v>
      </c>
      <c r="AT12" s="1141">
        <f>'Prec Materia Prima y Empaq'!$H$76</f>
        <v>23000</v>
      </c>
      <c r="AU12" s="1142">
        <f t="shared" ref="AU12" si="6">AT12*19%</f>
        <v>4370</v>
      </c>
      <c r="AV12" s="1143">
        <f t="shared" ref="AV12" si="7">+AU12+AT12</f>
        <v>27370</v>
      </c>
      <c r="AW12" s="1144">
        <f>AV12/1000*AS9*AS8</f>
        <v>410.55</v>
      </c>
      <c r="AX12" s="1145">
        <f>AS9*AS8</f>
        <v>15</v>
      </c>
      <c r="AY12" s="1146" t="s">
        <v>54</v>
      </c>
      <c r="AZ12" s="1147"/>
      <c r="BA12" s="32">
        <f>AX12/AS8</f>
        <v>0.5</v>
      </c>
      <c r="BB12" s="541">
        <f>AV12/1000*BA12</f>
        <v>13.685</v>
      </c>
      <c r="BC12" s="215"/>
      <c r="BE12" s="767" t="s">
        <v>510</v>
      </c>
      <c r="BF12" s="768" t="s">
        <v>400</v>
      </c>
      <c r="BG12" s="769" t="s">
        <v>518</v>
      </c>
      <c r="BH12" s="770">
        <f>'Prec Materia Prima y Empaq'!$H$77</f>
        <v>123800</v>
      </c>
      <c r="BI12" s="771">
        <f t="shared" ref="BI12" si="8">BH12*19%</f>
        <v>23522</v>
      </c>
      <c r="BJ12" s="772">
        <f t="shared" ref="BJ12" si="9">+BI12+BH12</f>
        <v>147322</v>
      </c>
      <c r="BK12" s="773">
        <f>BJ12/1000*BG9*BG8</f>
        <v>4419.66</v>
      </c>
      <c r="BL12" s="774">
        <f>BG9*BG8</f>
        <v>30</v>
      </c>
      <c r="BM12" s="775" t="s">
        <v>54</v>
      </c>
      <c r="BO12" s="32">
        <f>BL12/BG8</f>
        <v>0.5</v>
      </c>
      <c r="BP12" s="541">
        <f>BJ12/1000*BO12</f>
        <v>73.661000000000001</v>
      </c>
      <c r="BQ12" s="215"/>
      <c r="BS12" s="204" t="s">
        <v>510</v>
      </c>
      <c r="BT12" s="205" t="s">
        <v>400</v>
      </c>
      <c r="BU12" s="206" t="s">
        <v>521</v>
      </c>
      <c r="BV12" s="207">
        <f>'Prec Materia Prima y Empaq'!$H$13</f>
        <v>11600</v>
      </c>
      <c r="BW12" s="208">
        <f t="shared" ref="BW12" si="10">BV12*19%</f>
        <v>2204</v>
      </c>
      <c r="BX12" s="209">
        <f t="shared" ref="BX12" si="11">+BW12+BV12</f>
        <v>13804</v>
      </c>
      <c r="BY12" s="210">
        <f>BX12/1000*BU9*BU8</f>
        <v>414.12</v>
      </c>
      <c r="BZ12" s="211">
        <f>BU9*BU8</f>
        <v>30</v>
      </c>
      <c r="CA12" s="212" t="s">
        <v>54</v>
      </c>
      <c r="CC12" s="32">
        <f>BZ12/BU8</f>
        <v>0.5</v>
      </c>
      <c r="CD12" s="541">
        <f>BX12/1000*CC12</f>
        <v>6.9020000000000001</v>
      </c>
    </row>
    <row r="13" spans="1:82" s="213" customFormat="1" ht="27.75" customHeight="1" x14ac:dyDescent="0.25">
      <c r="A13" s="216" t="s">
        <v>510</v>
      </c>
      <c r="B13" s="217" t="s">
        <v>393</v>
      </c>
      <c r="C13" s="218" t="s">
        <v>395</v>
      </c>
      <c r="D13" s="219">
        <f>'Prec Materia Prima y Empaq'!$H$155</f>
        <v>547</v>
      </c>
      <c r="E13" s="220">
        <f>D13*19%</f>
        <v>103.93</v>
      </c>
      <c r="F13" s="221">
        <f>+E13+D13</f>
        <v>650.93000000000006</v>
      </c>
      <c r="G13" s="222">
        <f>F13</f>
        <v>650.93000000000006</v>
      </c>
      <c r="H13" s="223">
        <v>1</v>
      </c>
      <c r="I13" s="224" t="s">
        <v>393</v>
      </c>
      <c r="K13" s="32">
        <v>1</v>
      </c>
      <c r="L13" s="541">
        <f>+K13*F13</f>
        <v>650.93000000000006</v>
      </c>
      <c r="M13" s="214"/>
      <c r="O13" s="216" t="s">
        <v>510</v>
      </c>
      <c r="P13" s="217" t="s">
        <v>393</v>
      </c>
      <c r="Q13" s="218" t="s">
        <v>395</v>
      </c>
      <c r="R13" s="219">
        <f>'Prec Materia Prima y Empaq'!$H$155</f>
        <v>547</v>
      </c>
      <c r="S13" s="220">
        <f>R13*19%</f>
        <v>103.93</v>
      </c>
      <c r="T13" s="221">
        <f>+S13+R13</f>
        <v>650.93000000000006</v>
      </c>
      <c r="U13" s="222">
        <f>T13</f>
        <v>650.93000000000006</v>
      </c>
      <c r="V13" s="223">
        <v>1</v>
      </c>
      <c r="W13" s="224" t="s">
        <v>393</v>
      </c>
      <c r="Y13" s="32">
        <v>1</v>
      </c>
      <c r="Z13" s="541">
        <f>+Y13*T13</f>
        <v>650.93000000000006</v>
      </c>
      <c r="AA13" s="215"/>
      <c r="AC13" s="216" t="s">
        <v>510</v>
      </c>
      <c r="AD13" s="217" t="s">
        <v>393</v>
      </c>
      <c r="AE13" s="218" t="s">
        <v>395</v>
      </c>
      <c r="AF13" s="219">
        <f>'Prec Materia Prima y Empaq'!$H$155</f>
        <v>547</v>
      </c>
      <c r="AG13" s="220">
        <f>AF13*19%</f>
        <v>103.93</v>
      </c>
      <c r="AH13" s="221">
        <f>+AG13+AF13</f>
        <v>650.93000000000006</v>
      </c>
      <c r="AI13" s="222">
        <f>AH13</f>
        <v>650.93000000000006</v>
      </c>
      <c r="AJ13" s="223">
        <v>1</v>
      </c>
      <c r="AK13" s="224" t="s">
        <v>393</v>
      </c>
      <c r="AM13" s="32">
        <v>1</v>
      </c>
      <c r="AN13" s="541">
        <f>+AM13*AH13</f>
        <v>650.93000000000006</v>
      </c>
      <c r="AO13" s="215"/>
      <c r="AQ13" s="1148" t="s">
        <v>510</v>
      </c>
      <c r="AR13" s="1149" t="s">
        <v>393</v>
      </c>
      <c r="AS13" s="1150" t="s">
        <v>395</v>
      </c>
      <c r="AT13" s="1151">
        <f>'Prec Materia Prima y Empaq'!$H$155</f>
        <v>547</v>
      </c>
      <c r="AU13" s="1152">
        <f>AT13*19%</f>
        <v>103.93</v>
      </c>
      <c r="AV13" s="1153">
        <f>+AU13+AT13</f>
        <v>650.93000000000006</v>
      </c>
      <c r="AW13" s="1154">
        <f>AV13</f>
        <v>650.93000000000006</v>
      </c>
      <c r="AX13" s="1155">
        <v>1</v>
      </c>
      <c r="AY13" s="1156" t="s">
        <v>393</v>
      </c>
      <c r="AZ13" s="1147"/>
      <c r="BA13" s="32">
        <v>1</v>
      </c>
      <c r="BB13" s="541">
        <f>+BA13*AV13</f>
        <v>650.93000000000006</v>
      </c>
      <c r="BC13" s="215"/>
      <c r="BE13" s="776" t="s">
        <v>510</v>
      </c>
      <c r="BF13" s="777" t="s">
        <v>393</v>
      </c>
      <c r="BG13" s="778" t="s">
        <v>395</v>
      </c>
      <c r="BH13" s="779">
        <f>'Prec Materia Prima y Empaq'!$H$155</f>
        <v>547</v>
      </c>
      <c r="BI13" s="780">
        <f>BH13*19%</f>
        <v>103.93</v>
      </c>
      <c r="BJ13" s="781">
        <f>+BI13+BH13</f>
        <v>650.93000000000006</v>
      </c>
      <c r="BK13" s="782">
        <f>BJ13</f>
        <v>650.93000000000006</v>
      </c>
      <c r="BL13" s="783">
        <v>1</v>
      </c>
      <c r="BM13" s="784" t="s">
        <v>393</v>
      </c>
      <c r="BO13" s="32">
        <v>1</v>
      </c>
      <c r="BP13" s="541">
        <f>+BO13*BJ13</f>
        <v>650.93000000000006</v>
      </c>
      <c r="BQ13" s="215"/>
      <c r="BS13" s="216" t="s">
        <v>510</v>
      </c>
      <c r="BT13" s="217" t="s">
        <v>393</v>
      </c>
      <c r="BU13" s="218" t="s">
        <v>395</v>
      </c>
      <c r="BV13" s="219">
        <f>'Prec Materia Prima y Empaq'!$H$155</f>
        <v>547</v>
      </c>
      <c r="BW13" s="220">
        <f>BV13*19%</f>
        <v>103.93</v>
      </c>
      <c r="BX13" s="221">
        <f>+BW13+BV13</f>
        <v>650.93000000000006</v>
      </c>
      <c r="BY13" s="222">
        <f>BX13</f>
        <v>650.93000000000006</v>
      </c>
      <c r="BZ13" s="223">
        <v>1</v>
      </c>
      <c r="CA13" s="224" t="s">
        <v>393</v>
      </c>
      <c r="CC13" s="32">
        <v>1</v>
      </c>
      <c r="CD13" s="541">
        <f>+CC13*BX13</f>
        <v>650.93000000000006</v>
      </c>
    </row>
    <row r="14" spans="1:82" s="213" customFormat="1" ht="26.25" customHeight="1" x14ac:dyDescent="0.25">
      <c r="A14" s="216" t="s">
        <v>510</v>
      </c>
      <c r="B14" s="217" t="s">
        <v>393</v>
      </c>
      <c r="C14" s="218" t="s">
        <v>508</v>
      </c>
      <c r="D14" s="219">
        <f>'Prec Materia Prima y Empaq'!$H$156</f>
        <v>17</v>
      </c>
      <c r="E14" s="220">
        <v>0</v>
      </c>
      <c r="F14" s="221">
        <f t="shared" si="1"/>
        <v>17</v>
      </c>
      <c r="G14" s="222">
        <f>C8*F14</f>
        <v>1020</v>
      </c>
      <c r="H14" s="223">
        <v>60</v>
      </c>
      <c r="I14" s="224" t="s">
        <v>393</v>
      </c>
      <c r="K14" s="32">
        <v>1</v>
      </c>
      <c r="L14" s="541">
        <f>+K14*F14</f>
        <v>17</v>
      </c>
      <c r="M14" s="214"/>
      <c r="O14" s="216" t="s">
        <v>510</v>
      </c>
      <c r="P14" s="217" t="s">
        <v>393</v>
      </c>
      <c r="Q14" s="218" t="s">
        <v>508</v>
      </c>
      <c r="R14" s="219">
        <f>'Prec Materia Prima y Empaq'!$H$156</f>
        <v>17</v>
      </c>
      <c r="S14" s="220">
        <v>0</v>
      </c>
      <c r="T14" s="221">
        <f t="shared" ref="T14:T18" si="12">+S14+R14</f>
        <v>17</v>
      </c>
      <c r="U14" s="222">
        <f>Q8*T14</f>
        <v>1020</v>
      </c>
      <c r="V14" s="223">
        <v>60</v>
      </c>
      <c r="W14" s="224" t="s">
        <v>393</v>
      </c>
      <c r="Y14" s="32">
        <v>1</v>
      </c>
      <c r="Z14" s="541">
        <f>+Y14*T14</f>
        <v>17</v>
      </c>
      <c r="AA14" s="215"/>
      <c r="AC14" s="216" t="s">
        <v>510</v>
      </c>
      <c r="AD14" s="217" t="s">
        <v>393</v>
      </c>
      <c r="AE14" s="218" t="s">
        <v>508</v>
      </c>
      <c r="AF14" s="219">
        <f>'Prec Materia Prima y Empaq'!$H$156</f>
        <v>17</v>
      </c>
      <c r="AG14" s="220">
        <v>0</v>
      </c>
      <c r="AH14" s="221">
        <f t="shared" ref="AH14:AH18" si="13">+AG14+AF14</f>
        <v>17</v>
      </c>
      <c r="AI14" s="222">
        <f>AE8*AH14</f>
        <v>1020</v>
      </c>
      <c r="AJ14" s="223">
        <v>60</v>
      </c>
      <c r="AK14" s="224" t="s">
        <v>393</v>
      </c>
      <c r="AM14" s="32">
        <v>1</v>
      </c>
      <c r="AN14" s="541">
        <f>+AM14*AH14</f>
        <v>17</v>
      </c>
      <c r="AO14" s="215"/>
      <c r="AQ14" s="1148" t="s">
        <v>510</v>
      </c>
      <c r="AR14" s="1149" t="s">
        <v>393</v>
      </c>
      <c r="AS14" s="1150" t="s">
        <v>508</v>
      </c>
      <c r="AT14" s="1151">
        <f>'Prec Materia Prima y Empaq'!$H$156</f>
        <v>17</v>
      </c>
      <c r="AU14" s="1152">
        <v>0</v>
      </c>
      <c r="AV14" s="1153">
        <f t="shared" ref="AV14:AV18" si="14">+AU14+AT14</f>
        <v>17</v>
      </c>
      <c r="AW14" s="1154">
        <f>AS8*AV14</f>
        <v>510</v>
      </c>
      <c r="AX14" s="1155">
        <v>30</v>
      </c>
      <c r="AY14" s="1156" t="s">
        <v>393</v>
      </c>
      <c r="AZ14" s="1147"/>
      <c r="BA14" s="32">
        <v>1</v>
      </c>
      <c r="BB14" s="541">
        <f>+BA14*AV14</f>
        <v>17</v>
      </c>
      <c r="BC14" s="215"/>
      <c r="BE14" s="776" t="s">
        <v>510</v>
      </c>
      <c r="BF14" s="777" t="s">
        <v>393</v>
      </c>
      <c r="BG14" s="778" t="s">
        <v>508</v>
      </c>
      <c r="BH14" s="779">
        <f>'Prec Materia Prima y Empaq'!$H$156</f>
        <v>17</v>
      </c>
      <c r="BI14" s="780">
        <v>0</v>
      </c>
      <c r="BJ14" s="781">
        <f t="shared" ref="BJ14:BJ18" si="15">+BI14+BH14</f>
        <v>17</v>
      </c>
      <c r="BK14" s="782">
        <f>BG8*BJ14</f>
        <v>1020</v>
      </c>
      <c r="BL14" s="783">
        <v>60</v>
      </c>
      <c r="BM14" s="784" t="s">
        <v>393</v>
      </c>
      <c r="BO14" s="32">
        <v>1</v>
      </c>
      <c r="BP14" s="541">
        <f>+BO14*BJ14</f>
        <v>17</v>
      </c>
      <c r="BQ14" s="215"/>
      <c r="BS14" s="216" t="s">
        <v>510</v>
      </c>
      <c r="BT14" s="217" t="s">
        <v>393</v>
      </c>
      <c r="BU14" s="218" t="s">
        <v>508</v>
      </c>
      <c r="BV14" s="219">
        <f>'Prec Materia Prima y Empaq'!$H$156</f>
        <v>17</v>
      </c>
      <c r="BW14" s="220">
        <v>0</v>
      </c>
      <c r="BX14" s="221">
        <f t="shared" ref="BX14:BX18" si="16">+BW14+BV14</f>
        <v>17</v>
      </c>
      <c r="BY14" s="222">
        <f>BU8*BX14</f>
        <v>1020</v>
      </c>
      <c r="BZ14" s="223">
        <v>60</v>
      </c>
      <c r="CA14" s="224" t="s">
        <v>393</v>
      </c>
      <c r="CC14" s="32">
        <v>1</v>
      </c>
      <c r="CD14" s="541">
        <f>+CC14*BX14</f>
        <v>17</v>
      </c>
    </row>
    <row r="15" spans="1:82" s="213" customFormat="1" ht="50.25" customHeight="1" x14ac:dyDescent="0.25">
      <c r="A15" s="216" t="s">
        <v>368</v>
      </c>
      <c r="B15" s="217" t="s">
        <v>393</v>
      </c>
      <c r="C15" s="218" t="s">
        <v>371</v>
      </c>
      <c r="D15" s="219">
        <f>'Prec Materia Prima y Empaq'!$H$157</f>
        <v>252</v>
      </c>
      <c r="E15" s="220">
        <f t="shared" si="0"/>
        <v>47.88</v>
      </c>
      <c r="F15" s="221">
        <f t="shared" si="1"/>
        <v>299.88</v>
      </c>
      <c r="G15" s="222">
        <f>F15</f>
        <v>299.88</v>
      </c>
      <c r="H15" s="223">
        <v>1</v>
      </c>
      <c r="I15" s="224" t="s">
        <v>393</v>
      </c>
      <c r="K15" s="32">
        <v>1</v>
      </c>
      <c r="L15" s="541">
        <f>+F15*K15</f>
        <v>299.88</v>
      </c>
      <c r="M15" s="214"/>
      <c r="O15" s="216" t="s">
        <v>368</v>
      </c>
      <c r="P15" s="217" t="s">
        <v>393</v>
      </c>
      <c r="Q15" s="218" t="s">
        <v>371</v>
      </c>
      <c r="R15" s="219">
        <f>'Prec Materia Prima y Empaq'!$H$157</f>
        <v>252</v>
      </c>
      <c r="S15" s="220">
        <f t="shared" ref="S15:S16" si="17">R15*19%</f>
        <v>47.88</v>
      </c>
      <c r="T15" s="221">
        <f t="shared" si="12"/>
        <v>299.88</v>
      </c>
      <c r="U15" s="222">
        <f>T15</f>
        <v>299.88</v>
      </c>
      <c r="V15" s="223">
        <v>1</v>
      </c>
      <c r="W15" s="224" t="s">
        <v>393</v>
      </c>
      <c r="Y15" s="32">
        <v>1</v>
      </c>
      <c r="Z15" s="541">
        <f>+T15*Y15</f>
        <v>299.88</v>
      </c>
      <c r="AA15" s="215"/>
      <c r="AC15" s="216" t="s">
        <v>368</v>
      </c>
      <c r="AD15" s="217" t="s">
        <v>393</v>
      </c>
      <c r="AE15" s="218" t="s">
        <v>371</v>
      </c>
      <c r="AF15" s="219">
        <f>'Prec Materia Prima y Empaq'!$H$157</f>
        <v>252</v>
      </c>
      <c r="AG15" s="220">
        <f t="shared" ref="AG15:AG16" si="18">AF15*19%</f>
        <v>47.88</v>
      </c>
      <c r="AH15" s="221">
        <f t="shared" si="13"/>
        <v>299.88</v>
      </c>
      <c r="AI15" s="222">
        <f>AH15</f>
        <v>299.88</v>
      </c>
      <c r="AJ15" s="223">
        <v>1</v>
      </c>
      <c r="AK15" s="224" t="s">
        <v>393</v>
      </c>
      <c r="AM15" s="32">
        <v>1</v>
      </c>
      <c r="AN15" s="541">
        <f>+AH15*AM15</f>
        <v>299.88</v>
      </c>
      <c r="AO15" s="215"/>
      <c r="AQ15" s="1148" t="s">
        <v>368</v>
      </c>
      <c r="AR15" s="1149" t="s">
        <v>393</v>
      </c>
      <c r="AS15" s="1150" t="s">
        <v>371</v>
      </c>
      <c r="AT15" s="1151">
        <f>'Prec Materia Prima y Empaq'!$H$157</f>
        <v>252</v>
      </c>
      <c r="AU15" s="1152">
        <f t="shared" ref="AU15:AU16" si="19">AT15*19%</f>
        <v>47.88</v>
      </c>
      <c r="AV15" s="1153">
        <f t="shared" si="14"/>
        <v>299.88</v>
      </c>
      <c r="AW15" s="1154">
        <f>AV15</f>
        <v>299.88</v>
      </c>
      <c r="AX15" s="1155">
        <v>1</v>
      </c>
      <c r="AY15" s="1156" t="s">
        <v>393</v>
      </c>
      <c r="AZ15" s="1147"/>
      <c r="BA15" s="32">
        <v>1</v>
      </c>
      <c r="BB15" s="541">
        <f>+AV15*BA15</f>
        <v>299.88</v>
      </c>
      <c r="BC15" s="215"/>
      <c r="BE15" s="776" t="s">
        <v>368</v>
      </c>
      <c r="BF15" s="777" t="s">
        <v>393</v>
      </c>
      <c r="BG15" s="778" t="s">
        <v>371</v>
      </c>
      <c r="BH15" s="779">
        <f>'Prec Materia Prima y Empaq'!$H$157</f>
        <v>252</v>
      </c>
      <c r="BI15" s="780">
        <f t="shared" ref="BI15:BI16" si="20">BH15*19%</f>
        <v>47.88</v>
      </c>
      <c r="BJ15" s="781">
        <f t="shared" si="15"/>
        <v>299.88</v>
      </c>
      <c r="BK15" s="782">
        <f>BJ15</f>
        <v>299.88</v>
      </c>
      <c r="BL15" s="783">
        <v>1</v>
      </c>
      <c r="BM15" s="784" t="s">
        <v>393</v>
      </c>
      <c r="BO15" s="32">
        <v>1</v>
      </c>
      <c r="BP15" s="541">
        <f>+BJ15*BO15</f>
        <v>299.88</v>
      </c>
      <c r="BQ15" s="215"/>
      <c r="BS15" s="216" t="s">
        <v>368</v>
      </c>
      <c r="BT15" s="217" t="s">
        <v>393</v>
      </c>
      <c r="BU15" s="218" t="s">
        <v>371</v>
      </c>
      <c r="BV15" s="219">
        <f>'Prec Materia Prima y Empaq'!$H$157</f>
        <v>252</v>
      </c>
      <c r="BW15" s="220">
        <f t="shared" ref="BW15:BW16" si="21">BV15*19%</f>
        <v>47.88</v>
      </c>
      <c r="BX15" s="221">
        <f t="shared" si="16"/>
        <v>299.88</v>
      </c>
      <c r="BY15" s="222">
        <f>BX15</f>
        <v>299.88</v>
      </c>
      <c r="BZ15" s="223">
        <v>1</v>
      </c>
      <c r="CA15" s="224" t="s">
        <v>393</v>
      </c>
      <c r="CC15" s="32">
        <v>1</v>
      </c>
      <c r="CD15" s="541">
        <f>+BX15*CC15</f>
        <v>299.88</v>
      </c>
    </row>
    <row r="16" spans="1:82" s="213" customFormat="1" ht="30.75" customHeight="1" x14ac:dyDescent="0.25">
      <c r="A16" s="216" t="s">
        <v>368</v>
      </c>
      <c r="B16" s="217" t="s">
        <v>393</v>
      </c>
      <c r="C16" s="218" t="s">
        <v>372</v>
      </c>
      <c r="D16" s="219">
        <f>'Prec Materia Prima y Empaq'!$H$158</f>
        <v>81</v>
      </c>
      <c r="E16" s="220">
        <f t="shared" si="0"/>
        <v>15.39</v>
      </c>
      <c r="F16" s="221">
        <f t="shared" si="1"/>
        <v>96.39</v>
      </c>
      <c r="G16" s="222">
        <f>F16</f>
        <v>96.39</v>
      </c>
      <c r="H16" s="223">
        <v>1</v>
      </c>
      <c r="I16" s="224" t="s">
        <v>393</v>
      </c>
      <c r="K16" s="32">
        <v>1</v>
      </c>
      <c r="L16" s="541">
        <f>+K16*F16</f>
        <v>96.39</v>
      </c>
      <c r="M16" s="214"/>
      <c r="O16" s="216" t="s">
        <v>368</v>
      </c>
      <c r="P16" s="217" t="s">
        <v>393</v>
      </c>
      <c r="Q16" s="218" t="s">
        <v>372</v>
      </c>
      <c r="R16" s="219">
        <f>'Prec Materia Prima y Empaq'!$H$158</f>
        <v>81</v>
      </c>
      <c r="S16" s="220">
        <f t="shared" si="17"/>
        <v>15.39</v>
      </c>
      <c r="T16" s="221">
        <f t="shared" si="12"/>
        <v>96.39</v>
      </c>
      <c r="U16" s="222">
        <f>T16</f>
        <v>96.39</v>
      </c>
      <c r="V16" s="223">
        <v>1</v>
      </c>
      <c r="W16" s="224" t="s">
        <v>393</v>
      </c>
      <c r="Y16" s="32">
        <v>1</v>
      </c>
      <c r="Z16" s="541">
        <f>+Y16*T16</f>
        <v>96.39</v>
      </c>
      <c r="AA16" s="215"/>
      <c r="AC16" s="216" t="s">
        <v>368</v>
      </c>
      <c r="AD16" s="217" t="s">
        <v>393</v>
      </c>
      <c r="AE16" s="218" t="s">
        <v>372</v>
      </c>
      <c r="AF16" s="219">
        <f>'Prec Materia Prima y Empaq'!$H$158</f>
        <v>81</v>
      </c>
      <c r="AG16" s="220">
        <f t="shared" si="18"/>
        <v>15.39</v>
      </c>
      <c r="AH16" s="221">
        <f t="shared" si="13"/>
        <v>96.39</v>
      </c>
      <c r="AI16" s="222">
        <f>AH16</f>
        <v>96.39</v>
      </c>
      <c r="AJ16" s="223">
        <v>1</v>
      </c>
      <c r="AK16" s="224" t="s">
        <v>393</v>
      </c>
      <c r="AM16" s="32">
        <v>1</v>
      </c>
      <c r="AN16" s="541">
        <f>+AM16*AH16</f>
        <v>96.39</v>
      </c>
      <c r="AO16" s="215"/>
      <c r="AQ16" s="1148" t="s">
        <v>368</v>
      </c>
      <c r="AR16" s="1149" t="s">
        <v>393</v>
      </c>
      <c r="AS16" s="1150" t="s">
        <v>372</v>
      </c>
      <c r="AT16" s="1151">
        <f>'Prec Materia Prima y Empaq'!$H$158</f>
        <v>81</v>
      </c>
      <c r="AU16" s="1152">
        <f t="shared" si="19"/>
        <v>15.39</v>
      </c>
      <c r="AV16" s="1153">
        <f t="shared" si="14"/>
        <v>96.39</v>
      </c>
      <c r="AW16" s="1154">
        <f>AV16</f>
        <v>96.39</v>
      </c>
      <c r="AX16" s="1155">
        <v>1</v>
      </c>
      <c r="AY16" s="1156" t="s">
        <v>393</v>
      </c>
      <c r="AZ16" s="1147"/>
      <c r="BA16" s="32">
        <v>1</v>
      </c>
      <c r="BB16" s="541">
        <f>+BA16*AV16</f>
        <v>96.39</v>
      </c>
      <c r="BC16" s="215"/>
      <c r="BE16" s="776" t="s">
        <v>368</v>
      </c>
      <c r="BF16" s="777" t="s">
        <v>393</v>
      </c>
      <c r="BG16" s="778" t="s">
        <v>372</v>
      </c>
      <c r="BH16" s="779">
        <f>'Prec Materia Prima y Empaq'!$H$158</f>
        <v>81</v>
      </c>
      <c r="BI16" s="780">
        <f t="shared" si="20"/>
        <v>15.39</v>
      </c>
      <c r="BJ16" s="781">
        <f t="shared" si="15"/>
        <v>96.39</v>
      </c>
      <c r="BK16" s="782">
        <f>BJ16</f>
        <v>96.39</v>
      </c>
      <c r="BL16" s="783">
        <v>1</v>
      </c>
      <c r="BM16" s="784" t="s">
        <v>393</v>
      </c>
      <c r="BO16" s="32">
        <v>1</v>
      </c>
      <c r="BP16" s="541">
        <f>+BO16*BJ16</f>
        <v>96.39</v>
      </c>
      <c r="BQ16" s="215"/>
      <c r="BS16" s="216" t="s">
        <v>368</v>
      </c>
      <c r="BT16" s="217" t="s">
        <v>393</v>
      </c>
      <c r="BU16" s="218" t="s">
        <v>372</v>
      </c>
      <c r="BV16" s="219">
        <f>'Prec Materia Prima y Empaq'!$H$158</f>
        <v>81</v>
      </c>
      <c r="BW16" s="220">
        <f t="shared" si="21"/>
        <v>15.39</v>
      </c>
      <c r="BX16" s="221">
        <f t="shared" si="16"/>
        <v>96.39</v>
      </c>
      <c r="BY16" s="222">
        <f>BX16</f>
        <v>96.39</v>
      </c>
      <c r="BZ16" s="223">
        <v>1</v>
      </c>
      <c r="CA16" s="224" t="s">
        <v>393</v>
      </c>
      <c r="CC16" s="32">
        <v>1</v>
      </c>
      <c r="CD16" s="541">
        <f>+CC16*BX16</f>
        <v>96.39</v>
      </c>
    </row>
    <row r="17" spans="1:82" s="213" customFormat="1" ht="28.5" customHeight="1" x14ac:dyDescent="0.25">
      <c r="A17" s="216" t="s">
        <v>368</v>
      </c>
      <c r="B17" s="225" t="s">
        <v>393</v>
      </c>
      <c r="C17" s="226" t="s">
        <v>401</v>
      </c>
      <c r="D17" s="219">
        <f>'Prec Materia Prima y Empaq'!$H$159</f>
        <v>150</v>
      </c>
      <c r="E17" s="227">
        <v>0</v>
      </c>
      <c r="F17" s="228">
        <f t="shared" si="1"/>
        <v>150</v>
      </c>
      <c r="G17" s="229">
        <f>F17</f>
        <v>150</v>
      </c>
      <c r="H17" s="230">
        <v>1</v>
      </c>
      <c r="I17" s="231" t="s">
        <v>393</v>
      </c>
      <c r="K17" s="32">
        <v>1</v>
      </c>
      <c r="L17" s="541">
        <f>+K17*F17</f>
        <v>150</v>
      </c>
      <c r="M17" s="214"/>
      <c r="O17" s="216" t="s">
        <v>368</v>
      </c>
      <c r="P17" s="225" t="s">
        <v>393</v>
      </c>
      <c r="Q17" s="226" t="s">
        <v>401</v>
      </c>
      <c r="R17" s="219">
        <f>'Prec Materia Prima y Empaq'!$H$159</f>
        <v>150</v>
      </c>
      <c r="S17" s="227">
        <v>0</v>
      </c>
      <c r="T17" s="228">
        <f t="shared" si="12"/>
        <v>150</v>
      </c>
      <c r="U17" s="229">
        <f>T17</f>
        <v>150</v>
      </c>
      <c r="V17" s="230">
        <v>1</v>
      </c>
      <c r="W17" s="231" t="s">
        <v>393</v>
      </c>
      <c r="Y17" s="32">
        <v>1</v>
      </c>
      <c r="Z17" s="541">
        <f>+Y17*T17</f>
        <v>150</v>
      </c>
      <c r="AA17" s="215"/>
      <c r="AC17" s="216" t="s">
        <v>368</v>
      </c>
      <c r="AD17" s="225" t="s">
        <v>393</v>
      </c>
      <c r="AE17" s="226" t="s">
        <v>401</v>
      </c>
      <c r="AF17" s="219">
        <f>'Prec Materia Prima y Empaq'!$H$159</f>
        <v>150</v>
      </c>
      <c r="AG17" s="227">
        <v>0</v>
      </c>
      <c r="AH17" s="228">
        <f t="shared" si="13"/>
        <v>150</v>
      </c>
      <c r="AI17" s="229">
        <f>AH17</f>
        <v>150</v>
      </c>
      <c r="AJ17" s="230">
        <v>1</v>
      </c>
      <c r="AK17" s="231" t="s">
        <v>393</v>
      </c>
      <c r="AM17" s="32">
        <v>1</v>
      </c>
      <c r="AN17" s="541">
        <f>+AM17*AH17</f>
        <v>150</v>
      </c>
      <c r="AO17" s="215"/>
      <c r="AQ17" s="1148" t="s">
        <v>368</v>
      </c>
      <c r="AR17" s="1157" t="s">
        <v>393</v>
      </c>
      <c r="AS17" s="1158" t="s">
        <v>401</v>
      </c>
      <c r="AT17" s="1151">
        <f>'Prec Materia Prima y Empaq'!$H$159</f>
        <v>150</v>
      </c>
      <c r="AU17" s="1159">
        <v>0</v>
      </c>
      <c r="AV17" s="1160">
        <f t="shared" si="14"/>
        <v>150</v>
      </c>
      <c r="AW17" s="1161">
        <f>AV17</f>
        <v>150</v>
      </c>
      <c r="AX17" s="1162">
        <v>1</v>
      </c>
      <c r="AY17" s="1163" t="s">
        <v>393</v>
      </c>
      <c r="AZ17" s="1147"/>
      <c r="BA17" s="32">
        <v>1</v>
      </c>
      <c r="BB17" s="541">
        <f>+BA17*AV17</f>
        <v>150</v>
      </c>
      <c r="BC17" s="215"/>
      <c r="BE17" s="776" t="s">
        <v>368</v>
      </c>
      <c r="BF17" s="785" t="s">
        <v>393</v>
      </c>
      <c r="BG17" s="786" t="s">
        <v>401</v>
      </c>
      <c r="BH17" s="779">
        <f>'Prec Materia Prima y Empaq'!$H$159</f>
        <v>150</v>
      </c>
      <c r="BI17" s="787">
        <v>0</v>
      </c>
      <c r="BJ17" s="788">
        <f t="shared" si="15"/>
        <v>150</v>
      </c>
      <c r="BK17" s="789">
        <f>BJ17</f>
        <v>150</v>
      </c>
      <c r="BL17" s="790">
        <v>1</v>
      </c>
      <c r="BM17" s="791" t="s">
        <v>393</v>
      </c>
      <c r="BO17" s="32">
        <v>1</v>
      </c>
      <c r="BP17" s="541">
        <f>+BO17*BJ17</f>
        <v>150</v>
      </c>
      <c r="BQ17" s="215"/>
      <c r="BS17" s="216" t="s">
        <v>368</v>
      </c>
      <c r="BT17" s="225" t="s">
        <v>393</v>
      </c>
      <c r="BU17" s="226" t="s">
        <v>401</v>
      </c>
      <c r="BV17" s="219">
        <f>'Prec Materia Prima y Empaq'!$H$159</f>
        <v>150</v>
      </c>
      <c r="BW17" s="227">
        <v>0</v>
      </c>
      <c r="BX17" s="228">
        <f t="shared" si="16"/>
        <v>150</v>
      </c>
      <c r="BY17" s="229">
        <f>BX17</f>
        <v>150</v>
      </c>
      <c r="BZ17" s="230">
        <v>1</v>
      </c>
      <c r="CA17" s="231" t="s">
        <v>393</v>
      </c>
      <c r="CC17" s="32">
        <v>1</v>
      </c>
      <c r="CD17" s="541">
        <f>+CC17*BX17</f>
        <v>150</v>
      </c>
    </row>
    <row r="18" spans="1:82" s="213" customFormat="1" ht="22.5" customHeight="1" thickBot="1" x14ac:dyDescent="0.3">
      <c r="A18" s="232" t="s">
        <v>368</v>
      </c>
      <c r="B18" s="233" t="s">
        <v>393</v>
      </c>
      <c r="C18" s="234" t="s">
        <v>509</v>
      </c>
      <c r="D18" s="219">
        <f>'Prec Materia Prima y Empaq'!$H$160</f>
        <v>120</v>
      </c>
      <c r="E18" s="235">
        <v>0</v>
      </c>
      <c r="F18" s="236">
        <f t="shared" si="1"/>
        <v>120</v>
      </c>
      <c r="G18" s="229">
        <f>F18</f>
        <v>120</v>
      </c>
      <c r="H18" s="238">
        <v>1</v>
      </c>
      <c r="I18" s="239" t="s">
        <v>393</v>
      </c>
      <c r="K18" s="32">
        <v>1</v>
      </c>
      <c r="L18" s="541">
        <f>+F18*K18</f>
        <v>120</v>
      </c>
      <c r="M18" s="214"/>
      <c r="O18" s="232" t="s">
        <v>368</v>
      </c>
      <c r="P18" s="233" t="s">
        <v>393</v>
      </c>
      <c r="Q18" s="234" t="s">
        <v>509</v>
      </c>
      <c r="R18" s="219">
        <f>'Prec Materia Prima y Empaq'!$H$160</f>
        <v>120</v>
      </c>
      <c r="S18" s="235">
        <v>0</v>
      </c>
      <c r="T18" s="236">
        <f t="shared" si="12"/>
        <v>120</v>
      </c>
      <c r="U18" s="237">
        <f>T18</f>
        <v>120</v>
      </c>
      <c r="V18" s="238">
        <v>1</v>
      </c>
      <c r="W18" s="239" t="s">
        <v>393</v>
      </c>
      <c r="Y18" s="32">
        <v>1</v>
      </c>
      <c r="Z18" s="541">
        <f>+T18*Y18</f>
        <v>120</v>
      </c>
      <c r="AA18" s="215"/>
      <c r="AC18" s="232" t="s">
        <v>368</v>
      </c>
      <c r="AD18" s="233" t="s">
        <v>393</v>
      </c>
      <c r="AE18" s="234" t="s">
        <v>509</v>
      </c>
      <c r="AF18" s="219">
        <f>'Prec Materia Prima y Empaq'!$H$160</f>
        <v>120</v>
      </c>
      <c r="AG18" s="235">
        <v>0</v>
      </c>
      <c r="AH18" s="236">
        <f t="shared" si="13"/>
        <v>120</v>
      </c>
      <c r="AI18" s="237">
        <f>AH18</f>
        <v>120</v>
      </c>
      <c r="AJ18" s="238">
        <v>1</v>
      </c>
      <c r="AK18" s="239" t="s">
        <v>393</v>
      </c>
      <c r="AM18" s="32">
        <v>1</v>
      </c>
      <c r="AN18" s="541">
        <f>+AH18*AM18</f>
        <v>120</v>
      </c>
      <c r="AO18" s="215"/>
      <c r="AQ18" s="1164" t="s">
        <v>368</v>
      </c>
      <c r="AR18" s="1165" t="s">
        <v>393</v>
      </c>
      <c r="AS18" s="1166" t="s">
        <v>509</v>
      </c>
      <c r="AT18" s="1151">
        <f>'Prec Materia Prima y Empaq'!$H$160</f>
        <v>120</v>
      </c>
      <c r="AU18" s="1167">
        <v>0</v>
      </c>
      <c r="AV18" s="1168">
        <f t="shared" si="14"/>
        <v>120</v>
      </c>
      <c r="AW18" s="1169">
        <f>AV18</f>
        <v>120</v>
      </c>
      <c r="AX18" s="1170">
        <v>1</v>
      </c>
      <c r="AY18" s="1171" t="s">
        <v>393</v>
      </c>
      <c r="AZ18" s="1147"/>
      <c r="BA18" s="32">
        <v>1</v>
      </c>
      <c r="BB18" s="541">
        <f>+AV18*BA18</f>
        <v>120</v>
      </c>
      <c r="BC18" s="215"/>
      <c r="BE18" s="792" t="s">
        <v>368</v>
      </c>
      <c r="BF18" s="793" t="s">
        <v>393</v>
      </c>
      <c r="BG18" s="794" t="s">
        <v>509</v>
      </c>
      <c r="BH18" s="779">
        <f>'Prec Materia Prima y Empaq'!$H$160</f>
        <v>120</v>
      </c>
      <c r="BI18" s="795">
        <v>0</v>
      </c>
      <c r="BJ18" s="796">
        <f t="shared" si="15"/>
        <v>120</v>
      </c>
      <c r="BK18" s="797">
        <f>BJ18</f>
        <v>120</v>
      </c>
      <c r="BL18" s="798">
        <v>1</v>
      </c>
      <c r="BM18" s="799" t="s">
        <v>393</v>
      </c>
      <c r="BO18" s="32">
        <v>1</v>
      </c>
      <c r="BP18" s="541">
        <f>+BJ18*BO18</f>
        <v>120</v>
      </c>
      <c r="BQ18" s="215"/>
      <c r="BS18" s="232" t="s">
        <v>368</v>
      </c>
      <c r="BT18" s="233" t="s">
        <v>393</v>
      </c>
      <c r="BU18" s="234" t="s">
        <v>509</v>
      </c>
      <c r="BV18" s="219">
        <f>'Prec Materia Prima y Empaq'!$H$160</f>
        <v>120</v>
      </c>
      <c r="BW18" s="235">
        <v>0</v>
      </c>
      <c r="BX18" s="236">
        <f t="shared" si="16"/>
        <v>120</v>
      </c>
      <c r="BY18" s="237">
        <f>BX18</f>
        <v>120</v>
      </c>
      <c r="BZ18" s="238">
        <v>1</v>
      </c>
      <c r="CA18" s="239" t="s">
        <v>393</v>
      </c>
      <c r="CC18" s="32">
        <v>1</v>
      </c>
      <c r="CD18" s="541">
        <f>+BX18*CC18</f>
        <v>120</v>
      </c>
    </row>
    <row r="19" spans="1:82" ht="15" customHeight="1" thickBot="1" x14ac:dyDescent="0.3">
      <c r="A19" s="32"/>
      <c r="D19" s="147"/>
      <c r="E19" s="146"/>
      <c r="F19" s="108"/>
      <c r="G19" s="358">
        <f>SUM(G12:G18)</f>
        <v>3229.7000000000003</v>
      </c>
      <c r="H19" s="157" t="s">
        <v>454</v>
      </c>
      <c r="L19" s="542">
        <f>SUM(L12:L18)</f>
        <v>1349.075</v>
      </c>
      <c r="O19" s="32"/>
      <c r="R19" s="147"/>
      <c r="S19" s="146"/>
      <c r="T19" s="108"/>
      <c r="U19" s="358">
        <f>SUM(U12:U18)</f>
        <v>3943.7000000000003</v>
      </c>
      <c r="V19" s="157" t="s">
        <v>454</v>
      </c>
      <c r="Z19" s="542">
        <f>SUM(Z12:Z18)</f>
        <v>1360.9750000000001</v>
      </c>
      <c r="AC19" s="32"/>
      <c r="AF19" s="147"/>
      <c r="AG19" s="146"/>
      <c r="AH19" s="108"/>
      <c r="AI19" s="358">
        <f>SUM(AI12:AI18)</f>
        <v>2926.25</v>
      </c>
      <c r="AJ19" s="157" t="s">
        <v>454</v>
      </c>
      <c r="AN19" s="542">
        <f>SUM(AN12:AN18)</f>
        <v>1344.0175000000002</v>
      </c>
      <c r="AQ19" s="32"/>
      <c r="AT19" s="147"/>
      <c r="AU19" s="146"/>
      <c r="AV19" s="108"/>
      <c r="AW19" s="358">
        <f>SUM(AW12:AW18)</f>
        <v>2237.75</v>
      </c>
      <c r="AX19" s="157" t="s">
        <v>454</v>
      </c>
      <c r="BB19" s="542">
        <f>SUM(BB12:BB18)</f>
        <v>1347.885</v>
      </c>
      <c r="BE19" s="32"/>
      <c r="BH19" s="147"/>
      <c r="BI19" s="146"/>
      <c r="BJ19" s="108"/>
      <c r="BK19" s="358">
        <f>SUM(BK12:BK18)</f>
        <v>6756.8600000000006</v>
      </c>
      <c r="BL19" s="157" t="s">
        <v>454</v>
      </c>
      <c r="BP19" s="542">
        <f>SUM(BP12:BP18)</f>
        <v>1407.8610000000001</v>
      </c>
      <c r="BS19" s="32"/>
      <c r="BV19" s="147"/>
      <c r="BW19" s="146"/>
      <c r="BX19" s="108"/>
      <c r="BY19" s="358">
        <f>SUM(BY12:BY18)</f>
        <v>2751.32</v>
      </c>
      <c r="BZ19" s="157" t="s">
        <v>454</v>
      </c>
      <c r="CD19" s="542">
        <f>SUM(CD12:CD18)</f>
        <v>1341.1020000000001</v>
      </c>
    </row>
    <row r="20" spans="1:82" ht="15" customHeight="1" thickTop="1" x14ac:dyDescent="0.25">
      <c r="A20" s="32"/>
      <c r="D20" s="147"/>
      <c r="E20" s="146"/>
      <c r="F20" s="108"/>
      <c r="G20" s="108"/>
      <c r="H20" s="32"/>
      <c r="O20" s="32"/>
      <c r="R20" s="147"/>
      <c r="S20" s="146"/>
      <c r="T20" s="108"/>
      <c r="U20" s="108"/>
      <c r="V20" s="32"/>
      <c r="AC20" s="32"/>
      <c r="AF20" s="147"/>
      <c r="AG20" s="146"/>
      <c r="AH20" s="108"/>
      <c r="AI20" s="108"/>
      <c r="AJ20" s="32"/>
      <c r="AQ20" s="32"/>
      <c r="AT20" s="147"/>
      <c r="AU20" s="146"/>
      <c r="AV20" s="108"/>
      <c r="AW20" s="108"/>
      <c r="AX20" s="32"/>
      <c r="BE20" s="32"/>
      <c r="BH20" s="147"/>
      <c r="BI20" s="146"/>
      <c r="BJ20" s="108"/>
      <c r="BK20" s="108"/>
      <c r="BL20" s="32"/>
      <c r="BS20" s="32"/>
      <c r="BV20" s="147"/>
      <c r="BW20" s="146"/>
      <c r="BX20" s="108"/>
      <c r="BY20" s="108"/>
      <c r="BZ20" s="32"/>
    </row>
    <row r="21" spans="1:82" s="178" customFormat="1" ht="15" customHeight="1" x14ac:dyDescent="0.25">
      <c r="B21" s="179" t="s">
        <v>409</v>
      </c>
      <c r="C21" s="179"/>
      <c r="D21" s="180"/>
      <c r="E21" s="179"/>
      <c r="F21" s="181">
        <f>+'Gtos Varios'!I14</f>
        <v>3672.93</v>
      </c>
      <c r="G21" s="182">
        <f>F21</f>
        <v>3672.93</v>
      </c>
      <c r="H21" s="179"/>
      <c r="I21" s="179"/>
      <c r="L21" s="543"/>
      <c r="M21" s="183"/>
      <c r="P21" s="179" t="s">
        <v>409</v>
      </c>
      <c r="Q21" s="179"/>
      <c r="R21" s="180"/>
      <c r="S21" s="179"/>
      <c r="T21" s="181">
        <f>+'Gtos Varios'!I14</f>
        <v>3672.93</v>
      </c>
      <c r="U21" s="182">
        <f>+'Gtos Varios'!I14</f>
        <v>3672.93</v>
      </c>
      <c r="V21" s="179"/>
      <c r="W21" s="179"/>
      <c r="AA21" s="203"/>
      <c r="AD21" s="179" t="s">
        <v>409</v>
      </c>
      <c r="AE21" s="179"/>
      <c r="AF21" s="180"/>
      <c r="AG21" s="179"/>
      <c r="AH21" s="181">
        <f>+'Gtos Varios'!I14</f>
        <v>3672.93</v>
      </c>
      <c r="AI21" s="182">
        <f>AH21</f>
        <v>3672.93</v>
      </c>
      <c r="AJ21" s="179"/>
      <c r="AK21" s="179"/>
      <c r="AO21" s="203"/>
      <c r="AR21" s="179" t="s">
        <v>409</v>
      </c>
      <c r="AS21" s="179"/>
      <c r="AT21" s="180"/>
      <c r="AU21" s="179"/>
      <c r="AV21" s="181">
        <f>+'Gtos Varios'!I14</f>
        <v>3672.93</v>
      </c>
      <c r="AW21" s="182">
        <f>AV21</f>
        <v>3672.93</v>
      </c>
      <c r="AX21" s="179"/>
      <c r="AY21" s="179"/>
      <c r="BC21" s="203"/>
      <c r="BF21" s="179" t="s">
        <v>409</v>
      </c>
      <c r="BG21" s="179"/>
      <c r="BH21" s="180"/>
      <c r="BI21" s="179"/>
      <c r="BJ21" s="181">
        <f>+'Gtos Varios'!I14</f>
        <v>3672.93</v>
      </c>
      <c r="BK21" s="182">
        <f>+'Gtos Varios'!I14</f>
        <v>3672.93</v>
      </c>
      <c r="BL21" s="179"/>
      <c r="BM21" s="179"/>
      <c r="BQ21" s="203"/>
      <c r="BT21" s="179" t="s">
        <v>409</v>
      </c>
      <c r="BU21" s="179"/>
      <c r="BV21" s="180"/>
      <c r="BW21" s="179"/>
      <c r="BX21" s="181">
        <f>+'Gtos Varios'!I14</f>
        <v>3672.93</v>
      </c>
      <c r="BY21" s="182">
        <f>+'Gtos Varios'!I14</f>
        <v>3672.93</v>
      </c>
      <c r="BZ21" s="179"/>
      <c r="CA21" s="179"/>
    </row>
    <row r="22" spans="1:82" ht="15" customHeight="1" x14ac:dyDescent="0.25">
      <c r="D22" s="147"/>
      <c r="R22" s="147"/>
      <c r="AF22" s="147"/>
      <c r="AT22" s="147"/>
      <c r="BH22" s="147"/>
      <c r="BV22" s="147"/>
    </row>
    <row r="23" spans="1:82" ht="15" customHeight="1" x14ac:dyDescent="0.25">
      <c r="D23" s="147"/>
      <c r="R23" s="147"/>
      <c r="AF23" s="147"/>
      <c r="AT23" s="147"/>
      <c r="BH23" s="147"/>
      <c r="BV23" s="147"/>
    </row>
    <row r="24" spans="1:82" ht="15" customHeight="1" thickBot="1" x14ac:dyDescent="0.3">
      <c r="F24" s="119">
        <f>SUM(F12:F23)</f>
        <v>34757.129999999997</v>
      </c>
      <c r="G24" s="120">
        <f>SUM(G19:G23)</f>
        <v>6902.63</v>
      </c>
      <c r="H24" t="s">
        <v>412</v>
      </c>
      <c r="T24" s="119">
        <f>SUM(T12:T23)</f>
        <v>58557.13</v>
      </c>
      <c r="U24" s="120">
        <f>SUM(U19:U23)</f>
        <v>7616.63</v>
      </c>
      <c r="V24" t="s">
        <v>412</v>
      </c>
      <c r="AH24" s="119">
        <f>SUM(AH12:AH23)</f>
        <v>24642.13</v>
      </c>
      <c r="AI24" s="120">
        <f>SUM(AI19:AI23)</f>
        <v>6599.18</v>
      </c>
      <c r="AJ24" t="s">
        <v>412</v>
      </c>
      <c r="AV24" s="119">
        <f>SUM(AV12:AV23)</f>
        <v>32377.13</v>
      </c>
      <c r="AW24" s="120">
        <f>SUM(AW19:AW23)</f>
        <v>5910.68</v>
      </c>
      <c r="AX24" t="s">
        <v>412</v>
      </c>
      <c r="BJ24" s="119">
        <f>SUM(BJ12:BJ23)</f>
        <v>152329.13</v>
      </c>
      <c r="BK24" s="120">
        <f>SUM(BK19:BK23)</f>
        <v>10429.790000000001</v>
      </c>
      <c r="BL24" t="s">
        <v>412</v>
      </c>
      <c r="BX24" s="119">
        <f>SUM(BX12:BX23)</f>
        <v>18811.129999999997</v>
      </c>
      <c r="BY24" s="120">
        <f>SUM(BY19:BY23)</f>
        <v>6424.25</v>
      </c>
      <c r="BZ24" t="s">
        <v>412</v>
      </c>
    </row>
    <row r="25" spans="1:82" ht="15" customHeight="1" thickTop="1" x14ac:dyDescent="0.25">
      <c r="G25" s="108">
        <f>G24*49%</f>
        <v>3382.2887000000001</v>
      </c>
      <c r="H25" s="402">
        <v>0.49</v>
      </c>
      <c r="I25" t="s">
        <v>539</v>
      </c>
      <c r="U25" s="108">
        <f>U24*44%</f>
        <v>3351.3172</v>
      </c>
      <c r="V25" s="402">
        <v>0.44</v>
      </c>
      <c r="W25" t="s">
        <v>539</v>
      </c>
      <c r="AI25" s="108">
        <f>AI24*51%</f>
        <v>3365.5818000000004</v>
      </c>
      <c r="AJ25" s="402">
        <v>0.51</v>
      </c>
      <c r="AK25" t="s">
        <v>539</v>
      </c>
      <c r="AW25" s="108">
        <f>AW24*58%</f>
        <v>3428.1943999999999</v>
      </c>
      <c r="AX25" s="402">
        <v>0.57999999999999996</v>
      </c>
      <c r="AY25" t="s">
        <v>539</v>
      </c>
      <c r="BK25" s="108">
        <f>BK24*30%</f>
        <v>3128.9370000000004</v>
      </c>
      <c r="BL25" s="402">
        <v>0.3</v>
      </c>
      <c r="BM25" t="s">
        <v>539</v>
      </c>
      <c r="BY25" s="108">
        <f>BY24*53%</f>
        <v>3404.8525</v>
      </c>
      <c r="BZ25" s="402">
        <v>0.53</v>
      </c>
      <c r="CA25" t="s">
        <v>539</v>
      </c>
    </row>
    <row r="26" spans="1:82" ht="15" customHeight="1" thickBot="1" x14ac:dyDescent="0.3">
      <c r="G26" s="113">
        <f>G24+G25</f>
        <v>10284.9187</v>
      </c>
      <c r="H26" t="s">
        <v>414</v>
      </c>
      <c r="U26" s="113">
        <f>U24+U25</f>
        <v>10967.947200000001</v>
      </c>
      <c r="V26" t="s">
        <v>414</v>
      </c>
      <c r="AI26" s="113">
        <f>AI24+AI25</f>
        <v>9964.7618000000002</v>
      </c>
      <c r="AJ26" t="s">
        <v>414</v>
      </c>
      <c r="AW26" s="113">
        <f>AW24+AW25</f>
        <v>9338.8744000000006</v>
      </c>
      <c r="AX26" t="s">
        <v>414</v>
      </c>
      <c r="BK26" s="113">
        <f>BK24+BK25</f>
        <v>13558.727000000001</v>
      </c>
      <c r="BL26" t="s">
        <v>414</v>
      </c>
      <c r="BY26" s="113">
        <f>BY24+BY25</f>
        <v>9829.1025000000009</v>
      </c>
      <c r="BZ26" t="s">
        <v>414</v>
      </c>
    </row>
    <row r="27" spans="1:82" ht="15" customHeight="1" thickTop="1" x14ac:dyDescent="0.25"/>
    <row r="33" spans="1:79" ht="15" customHeight="1" x14ac:dyDescent="0.25">
      <c r="C33" s="105" t="s">
        <v>406</v>
      </c>
      <c r="D33" t="s">
        <v>407</v>
      </c>
      <c r="Q33" s="105" t="s">
        <v>406</v>
      </c>
      <c r="R33" t="s">
        <v>407</v>
      </c>
      <c r="AE33" s="105" t="s">
        <v>406</v>
      </c>
      <c r="AF33" t="s">
        <v>407</v>
      </c>
      <c r="AS33" s="105" t="s">
        <v>406</v>
      </c>
      <c r="AT33" t="s">
        <v>407</v>
      </c>
      <c r="BG33" s="105" t="s">
        <v>406</v>
      </c>
      <c r="BH33" t="s">
        <v>407</v>
      </c>
      <c r="BU33" s="105" t="s">
        <v>406</v>
      </c>
      <c r="BV33" t="s">
        <v>407</v>
      </c>
    </row>
    <row r="34" spans="1:79" ht="15" customHeight="1" x14ac:dyDescent="0.25">
      <c r="C34" s="105"/>
      <c r="D34"/>
      <c r="Q34" s="105"/>
      <c r="R34"/>
      <c r="AE34" s="105"/>
      <c r="AF34"/>
      <c r="AS34" s="105"/>
      <c r="AT34"/>
      <c r="BG34" s="105"/>
      <c r="BH34"/>
      <c r="BU34" s="105"/>
      <c r="BV34"/>
    </row>
    <row r="35" spans="1:79" ht="15" customHeight="1" x14ac:dyDescent="0.25">
      <c r="B35" s="100" t="s">
        <v>61</v>
      </c>
      <c r="C35" s="1" t="s">
        <v>221</v>
      </c>
      <c r="D35"/>
      <c r="P35" s="100" t="s">
        <v>61</v>
      </c>
      <c r="Q35" s="1" t="s">
        <v>222</v>
      </c>
      <c r="R35"/>
      <c r="AD35" s="100" t="s">
        <v>61</v>
      </c>
      <c r="AE35" s="1" t="s">
        <v>341</v>
      </c>
      <c r="AF35"/>
      <c r="AR35" s="100" t="s">
        <v>61</v>
      </c>
      <c r="AS35" s="1" t="s">
        <v>343</v>
      </c>
      <c r="AT35"/>
      <c r="BF35" s="100" t="s">
        <v>61</v>
      </c>
      <c r="BG35" s="1" t="s">
        <v>355</v>
      </c>
      <c r="BH35"/>
      <c r="BT35" s="100" t="s">
        <v>61</v>
      </c>
      <c r="BU35" s="1" t="s">
        <v>357</v>
      </c>
      <c r="BV35"/>
    </row>
    <row r="36" spans="1:79" ht="15" customHeight="1" x14ac:dyDescent="0.25">
      <c r="B36" s="100" t="s">
        <v>62</v>
      </c>
      <c r="C36" s="1" t="str">
        <f>VLOOKUP(C35,LISTPROD[],2,FALSE)</f>
        <v>AGUAJE (Capsulas)</v>
      </c>
      <c r="D36"/>
      <c r="P36" s="100" t="s">
        <v>62</v>
      </c>
      <c r="Q36" s="1" t="str">
        <f>VLOOKUP(Q35,LISTPROD[],2,FALSE)</f>
        <v>GLUCOSAMINA (Capsulas)</v>
      </c>
      <c r="R36"/>
      <c r="AD36" s="100" t="s">
        <v>62</v>
      </c>
      <c r="AE36" s="1" t="str">
        <f>VLOOKUP(AE35,LISTPROD[],2,FALSE)</f>
        <v>ALCACHOFA (Capsulas)</v>
      </c>
      <c r="AF36"/>
      <c r="AR36" s="100" t="s">
        <v>62</v>
      </c>
      <c r="AS36" s="1" t="str">
        <f>VLOOKUP(AS35,LISTPROD[],2,FALSE)</f>
        <v>GINGOBILOBA  (Capsulas)</v>
      </c>
      <c r="AT36"/>
      <c r="BF36" s="100" t="s">
        <v>62</v>
      </c>
      <c r="BG36" s="1" t="str">
        <f>VLOOKUP(BG35,LISTPROD[],2,FALSE)</f>
        <v>MORINGA (Capsulas)</v>
      </c>
      <c r="BH36"/>
      <c r="BT36" s="100" t="s">
        <v>62</v>
      </c>
      <c r="BU36" s="1" t="str">
        <f>VLOOKUP(BU35,LISTPROD[],2,FALSE)</f>
        <v>CITRATO DE POTASIO (Capsulas)</v>
      </c>
      <c r="BV36"/>
    </row>
    <row r="37" spans="1:79" ht="15" customHeight="1" x14ac:dyDescent="0.25">
      <c r="B37" s="100" t="s">
        <v>234</v>
      </c>
      <c r="C37" s="1" t="str">
        <f>VLOOKUP(C35,LISTPROD[],9,FALSE)</f>
        <v>CAPSULAS 60 UND</v>
      </c>
      <c r="D37"/>
      <c r="P37" s="100" t="s">
        <v>234</v>
      </c>
      <c r="Q37" s="1" t="str">
        <f>VLOOKUP(Q35,LISTPROD[],9,FALSE)</f>
        <v>CAPSULAS 60 UND</v>
      </c>
      <c r="R37"/>
      <c r="AD37" s="100" t="s">
        <v>234</v>
      </c>
      <c r="AE37" s="1" t="str">
        <f>VLOOKUP(AE35,LISTPROD[],9,FALSE)</f>
        <v>CAPSULAS 60 UND</v>
      </c>
      <c r="AF37"/>
      <c r="AR37" s="100" t="s">
        <v>234</v>
      </c>
      <c r="AS37" s="1" t="str">
        <f>VLOOKUP(AS35,LISTPROD[],9,FALSE)</f>
        <v>CAPSULAS 60 UND</v>
      </c>
      <c r="AT37"/>
      <c r="BF37" s="100" t="s">
        <v>234</v>
      </c>
      <c r="BG37" s="1" t="str">
        <f>VLOOKUP(BG35,LISTPROD[],9,FALSE)</f>
        <v>CAPSULAS 60 UND</v>
      </c>
      <c r="BH37"/>
      <c r="BT37" s="100" t="s">
        <v>234</v>
      </c>
      <c r="BU37" s="1" t="str">
        <f>VLOOKUP(BU35,LISTPROD[],9,FALSE)</f>
        <v>CAPSULAS 60 UND</v>
      </c>
      <c r="BV37"/>
    </row>
    <row r="38" spans="1:79" ht="15" customHeight="1" x14ac:dyDescent="0.25">
      <c r="B38" s="100" t="s">
        <v>239</v>
      </c>
      <c r="C38" s="1">
        <v>1</v>
      </c>
      <c r="D38" s="11"/>
      <c r="P38" s="100" t="s">
        <v>239</v>
      </c>
      <c r="Q38" s="1">
        <v>1</v>
      </c>
      <c r="R38" s="11"/>
      <c r="AD38" s="100" t="s">
        <v>239</v>
      </c>
      <c r="AE38" s="1">
        <v>1</v>
      </c>
      <c r="AF38" s="11"/>
      <c r="AR38" s="100" t="s">
        <v>239</v>
      </c>
      <c r="AS38" s="1">
        <v>1</v>
      </c>
      <c r="AT38" s="11"/>
      <c r="BF38" s="100" t="s">
        <v>239</v>
      </c>
      <c r="BG38" s="1">
        <v>1</v>
      </c>
      <c r="BH38" s="11"/>
      <c r="BT38" s="100" t="s">
        <v>239</v>
      </c>
      <c r="BU38" s="1">
        <v>1</v>
      </c>
      <c r="BV38" s="11"/>
    </row>
    <row r="39" spans="1:79" ht="15" customHeight="1" x14ac:dyDescent="0.25">
      <c r="B39" s="100" t="s">
        <v>240</v>
      </c>
      <c r="C39" s="1">
        <v>1</v>
      </c>
      <c r="D39"/>
      <c r="P39" s="100" t="s">
        <v>240</v>
      </c>
      <c r="Q39" s="1">
        <v>1</v>
      </c>
      <c r="R39"/>
      <c r="AD39" s="100" t="s">
        <v>240</v>
      </c>
      <c r="AE39" s="1">
        <v>1</v>
      </c>
      <c r="AF39"/>
      <c r="AR39" s="100" t="s">
        <v>240</v>
      </c>
      <c r="AS39" s="1">
        <v>1</v>
      </c>
      <c r="AT39"/>
      <c r="BF39" s="100" t="s">
        <v>240</v>
      </c>
      <c r="BG39" s="1">
        <v>1</v>
      </c>
      <c r="BH39"/>
      <c r="BT39" s="100" t="s">
        <v>240</v>
      </c>
      <c r="BU39" s="1">
        <v>1</v>
      </c>
      <c r="BV39"/>
    </row>
    <row r="40" spans="1:79" ht="15" customHeight="1" x14ac:dyDescent="0.25">
      <c r="B40" s="100" t="s">
        <v>238</v>
      </c>
      <c r="C40">
        <v>60</v>
      </c>
      <c r="D40" s="11" t="s">
        <v>520</v>
      </c>
      <c r="P40" s="100" t="s">
        <v>238</v>
      </c>
      <c r="Q40">
        <v>60</v>
      </c>
      <c r="R40" s="11" t="s">
        <v>520</v>
      </c>
      <c r="AD40" s="100" t="s">
        <v>238</v>
      </c>
      <c r="AE40">
        <v>60</v>
      </c>
      <c r="AF40" s="11" t="s">
        <v>520</v>
      </c>
      <c r="AR40" s="100" t="s">
        <v>238</v>
      </c>
      <c r="AS40">
        <v>60</v>
      </c>
      <c r="AT40" s="11" t="s">
        <v>520</v>
      </c>
      <c r="BF40" s="100" t="s">
        <v>238</v>
      </c>
      <c r="BG40">
        <v>60</v>
      </c>
      <c r="BH40" s="11" t="s">
        <v>520</v>
      </c>
      <c r="BT40" s="100" t="s">
        <v>238</v>
      </c>
      <c r="BU40">
        <v>60</v>
      </c>
      <c r="BV40" s="11" t="s">
        <v>520</v>
      </c>
    </row>
    <row r="41" spans="1:79" ht="15" customHeight="1" thickBot="1" x14ac:dyDescent="0.3">
      <c r="B41" s="110" t="s">
        <v>410</v>
      </c>
      <c r="C41" s="144">
        <v>0.5</v>
      </c>
      <c r="D41" s="145">
        <f>C41*C40</f>
        <v>30</v>
      </c>
      <c r="P41" s="110" t="s">
        <v>410</v>
      </c>
      <c r="Q41" s="144">
        <v>0.5</v>
      </c>
      <c r="R41" s="145">
        <f>Q41*Q40</f>
        <v>30</v>
      </c>
      <c r="AD41" s="110" t="s">
        <v>410</v>
      </c>
      <c r="AE41" s="144">
        <v>0.5</v>
      </c>
      <c r="AF41" s="145">
        <f>AE41*AE40</f>
        <v>30</v>
      </c>
      <c r="AR41" s="110" t="s">
        <v>410</v>
      </c>
      <c r="AS41" s="144">
        <v>0.5</v>
      </c>
      <c r="AT41" s="145">
        <f>AS41*AS40</f>
        <v>30</v>
      </c>
      <c r="BF41" s="110" t="s">
        <v>410</v>
      </c>
      <c r="BG41" s="144">
        <v>0.5</v>
      </c>
      <c r="BH41" s="145">
        <f>BG41*BG40</f>
        <v>30</v>
      </c>
      <c r="BT41" s="110" t="s">
        <v>410</v>
      </c>
      <c r="BU41" s="144">
        <v>0.5</v>
      </c>
      <c r="BV41" s="145">
        <f>BU41*BU40</f>
        <v>30</v>
      </c>
    </row>
    <row r="42" spans="1:79" ht="15" customHeight="1" thickBot="1" x14ac:dyDescent="0.3">
      <c r="A42" s="115"/>
      <c r="B42" s="1520" t="s">
        <v>404</v>
      </c>
      <c r="C42" s="1521"/>
      <c r="D42" s="1522"/>
      <c r="E42" s="1522"/>
      <c r="F42" s="1522"/>
      <c r="G42" s="199"/>
      <c r="H42" s="1518" t="s">
        <v>416</v>
      </c>
      <c r="I42" s="1519"/>
      <c r="K42" s="1517" t="s">
        <v>454</v>
      </c>
      <c r="L42" s="1517"/>
      <c r="O42" s="115"/>
      <c r="P42" s="1520" t="s">
        <v>404</v>
      </c>
      <c r="Q42" s="1521"/>
      <c r="R42" s="1522"/>
      <c r="S42" s="1522"/>
      <c r="T42" s="1522"/>
      <c r="U42" s="199"/>
      <c r="V42" s="1518" t="s">
        <v>416</v>
      </c>
      <c r="W42" s="1519"/>
      <c r="X42" s="2"/>
      <c r="Y42" s="1517" t="s">
        <v>454</v>
      </c>
      <c r="Z42" s="1517"/>
      <c r="AC42" s="115"/>
      <c r="AD42" s="1520" t="s">
        <v>404</v>
      </c>
      <c r="AE42" s="1521"/>
      <c r="AF42" s="1522"/>
      <c r="AG42" s="1522"/>
      <c r="AH42" s="1522"/>
      <c r="AI42" s="199"/>
      <c r="AJ42" s="1518" t="s">
        <v>416</v>
      </c>
      <c r="AK42" s="1519"/>
      <c r="AM42" s="1517" t="s">
        <v>454</v>
      </c>
      <c r="AN42" s="1517"/>
      <c r="AQ42" s="115"/>
      <c r="AR42" s="1520" t="s">
        <v>404</v>
      </c>
      <c r="AS42" s="1521"/>
      <c r="AT42" s="1522"/>
      <c r="AU42" s="1522"/>
      <c r="AV42" s="1522"/>
      <c r="AW42" s="199"/>
      <c r="AX42" s="1518" t="s">
        <v>416</v>
      </c>
      <c r="AY42" s="1519"/>
      <c r="BA42" s="1517" t="s">
        <v>454</v>
      </c>
      <c r="BB42" s="1517"/>
      <c r="BE42" s="115"/>
      <c r="BF42" s="1520" t="s">
        <v>404</v>
      </c>
      <c r="BG42" s="1521"/>
      <c r="BH42" s="1522"/>
      <c r="BI42" s="1522"/>
      <c r="BJ42" s="1522"/>
      <c r="BK42" s="199"/>
      <c r="BL42" s="1518" t="s">
        <v>416</v>
      </c>
      <c r="BM42" s="1519"/>
      <c r="BO42" s="1517" t="s">
        <v>454</v>
      </c>
      <c r="BP42" s="1517"/>
      <c r="BS42" s="115"/>
      <c r="BT42" s="1520" t="s">
        <v>404</v>
      </c>
      <c r="BU42" s="1521"/>
      <c r="BV42" s="1522"/>
      <c r="BW42" s="1522"/>
      <c r="BX42" s="1522"/>
      <c r="BY42" s="199"/>
      <c r="BZ42" s="1518" t="s">
        <v>416</v>
      </c>
      <c r="CA42" s="1519"/>
    </row>
    <row r="43" spans="1:79" ht="45.75" customHeight="1" thickBot="1" x14ac:dyDescent="0.3">
      <c r="A43" s="202" t="s">
        <v>391</v>
      </c>
      <c r="B43" s="194" t="s">
        <v>511</v>
      </c>
      <c r="C43" s="195" t="s">
        <v>62</v>
      </c>
      <c r="D43" s="196" t="s">
        <v>399</v>
      </c>
      <c r="E43" s="197" t="s">
        <v>402</v>
      </c>
      <c r="F43" s="196" t="s">
        <v>399</v>
      </c>
      <c r="G43" s="201" t="s">
        <v>411</v>
      </c>
      <c r="H43" s="200" t="s">
        <v>408</v>
      </c>
      <c r="I43" s="198" t="s">
        <v>415</v>
      </c>
      <c r="K43" s="316" t="s">
        <v>603</v>
      </c>
      <c r="L43" s="316" t="s">
        <v>604</v>
      </c>
      <c r="O43" s="202" t="s">
        <v>391</v>
      </c>
      <c r="P43" s="194" t="s">
        <v>511</v>
      </c>
      <c r="Q43" s="195" t="s">
        <v>62</v>
      </c>
      <c r="R43" s="196" t="s">
        <v>399</v>
      </c>
      <c r="S43" s="197" t="s">
        <v>402</v>
      </c>
      <c r="T43" s="196" t="s">
        <v>399</v>
      </c>
      <c r="U43" s="201" t="s">
        <v>411</v>
      </c>
      <c r="V43" s="200" t="s">
        <v>408</v>
      </c>
      <c r="W43" s="198" t="s">
        <v>415</v>
      </c>
      <c r="X43" s="117"/>
      <c r="Y43" s="316" t="s">
        <v>603</v>
      </c>
      <c r="Z43" s="316" t="s">
        <v>604</v>
      </c>
      <c r="AC43" s="202" t="s">
        <v>391</v>
      </c>
      <c r="AD43" s="194" t="s">
        <v>511</v>
      </c>
      <c r="AE43" s="195" t="s">
        <v>62</v>
      </c>
      <c r="AF43" s="196" t="s">
        <v>399</v>
      </c>
      <c r="AG43" s="197" t="s">
        <v>402</v>
      </c>
      <c r="AH43" s="196" t="s">
        <v>399</v>
      </c>
      <c r="AI43" s="201" t="s">
        <v>411</v>
      </c>
      <c r="AJ43" s="200" t="s">
        <v>408</v>
      </c>
      <c r="AK43" s="198" t="s">
        <v>415</v>
      </c>
      <c r="AM43" s="316" t="s">
        <v>603</v>
      </c>
      <c r="AN43" s="316" t="s">
        <v>604</v>
      </c>
      <c r="AQ43" s="202" t="s">
        <v>391</v>
      </c>
      <c r="AR43" s="194" t="s">
        <v>511</v>
      </c>
      <c r="AS43" s="195" t="s">
        <v>62</v>
      </c>
      <c r="AT43" s="196" t="s">
        <v>399</v>
      </c>
      <c r="AU43" s="197" t="s">
        <v>402</v>
      </c>
      <c r="AV43" s="196" t="s">
        <v>399</v>
      </c>
      <c r="AW43" s="201" t="s">
        <v>411</v>
      </c>
      <c r="AX43" s="200" t="s">
        <v>408</v>
      </c>
      <c r="AY43" s="198" t="s">
        <v>415</v>
      </c>
      <c r="BA43" s="316" t="s">
        <v>603</v>
      </c>
      <c r="BB43" s="316" t="s">
        <v>604</v>
      </c>
      <c r="BE43" s="202" t="s">
        <v>391</v>
      </c>
      <c r="BF43" s="194" t="s">
        <v>511</v>
      </c>
      <c r="BG43" s="195" t="s">
        <v>62</v>
      </c>
      <c r="BH43" s="196" t="s">
        <v>399</v>
      </c>
      <c r="BI43" s="197" t="s">
        <v>402</v>
      </c>
      <c r="BJ43" s="196" t="s">
        <v>399</v>
      </c>
      <c r="BK43" s="201" t="s">
        <v>411</v>
      </c>
      <c r="BL43" s="200" t="s">
        <v>408</v>
      </c>
      <c r="BM43" s="198" t="s">
        <v>415</v>
      </c>
      <c r="BO43" s="316" t="s">
        <v>603</v>
      </c>
      <c r="BP43" s="316" t="s">
        <v>604</v>
      </c>
      <c r="BS43" s="202" t="s">
        <v>391</v>
      </c>
      <c r="BT43" s="194" t="s">
        <v>511</v>
      </c>
      <c r="BU43" s="195" t="s">
        <v>62</v>
      </c>
      <c r="BV43" s="196" t="s">
        <v>399</v>
      </c>
      <c r="BW43" s="197" t="s">
        <v>402</v>
      </c>
      <c r="BX43" s="196" t="s">
        <v>399</v>
      </c>
      <c r="BY43" s="201" t="s">
        <v>411</v>
      </c>
      <c r="BZ43" s="200" t="s">
        <v>408</v>
      </c>
      <c r="CA43" s="198" t="s">
        <v>415</v>
      </c>
    </row>
    <row r="44" spans="1:79" ht="15" customHeight="1" x14ac:dyDescent="0.25">
      <c r="A44" s="204" t="s">
        <v>510</v>
      </c>
      <c r="B44" s="205" t="s">
        <v>400</v>
      </c>
      <c r="C44" s="206" t="s">
        <v>523</v>
      </c>
      <c r="D44" s="207">
        <f>'Prec Materia Prima y Empaq'!H65</f>
        <v>23000</v>
      </c>
      <c r="E44" s="208">
        <f t="shared" ref="E44" si="22">D44*19%</f>
        <v>4370</v>
      </c>
      <c r="F44" s="209">
        <f t="shared" ref="F44" si="23">+E44+D44</f>
        <v>27370</v>
      </c>
      <c r="G44" s="210">
        <f>F44/1000*C41*C40</f>
        <v>821.1</v>
      </c>
      <c r="H44" s="211">
        <f>C41*C40</f>
        <v>30</v>
      </c>
      <c r="I44" s="212" t="s">
        <v>54</v>
      </c>
      <c r="K44" s="32">
        <f>H44/C40</f>
        <v>0.5</v>
      </c>
      <c r="L44" s="541">
        <f>F44/1000*K44</f>
        <v>13.685</v>
      </c>
      <c r="O44" s="204" t="s">
        <v>510</v>
      </c>
      <c r="P44" s="205" t="s">
        <v>400</v>
      </c>
      <c r="Q44" s="206" t="s">
        <v>524</v>
      </c>
      <c r="R44" s="207">
        <f>'Prec Materia Prima y Empaq'!$H$66</f>
        <v>40000</v>
      </c>
      <c r="S44" s="208">
        <f t="shared" ref="S44" si="24">R44*19%</f>
        <v>7600</v>
      </c>
      <c r="T44" s="209">
        <f t="shared" ref="T44" si="25">+S44+R44</f>
        <v>47600</v>
      </c>
      <c r="U44" s="210">
        <f>T44/1000*Q41*Q40</f>
        <v>1428</v>
      </c>
      <c r="V44" s="211">
        <f>Q41*Q40</f>
        <v>30</v>
      </c>
      <c r="W44" s="212" t="s">
        <v>54</v>
      </c>
      <c r="X44" s="213"/>
      <c r="Y44" s="32">
        <f>V44/Q40</f>
        <v>0.5</v>
      </c>
      <c r="Z44" s="541">
        <f>T44/1000*Y44</f>
        <v>23.8</v>
      </c>
      <c r="AC44" s="204" t="s">
        <v>510</v>
      </c>
      <c r="AD44" s="205" t="s">
        <v>400</v>
      </c>
      <c r="AE44" s="206" t="s">
        <v>525</v>
      </c>
      <c r="AF44" s="207">
        <f>'Prec Materia Prima y Empaq'!$H$67</f>
        <v>26000</v>
      </c>
      <c r="AG44" s="208">
        <f t="shared" ref="AG44" si="26">AF44*19%</f>
        <v>4940</v>
      </c>
      <c r="AH44" s="209">
        <f t="shared" ref="AH44" si="27">+AG44+AF44</f>
        <v>30940</v>
      </c>
      <c r="AI44" s="210">
        <f>AH44/1000*AE41*AE40</f>
        <v>928.2</v>
      </c>
      <c r="AJ44" s="211">
        <f>AE41*AE40</f>
        <v>30</v>
      </c>
      <c r="AK44" s="212" t="s">
        <v>54</v>
      </c>
      <c r="AM44" s="32">
        <f>AJ44/AE40</f>
        <v>0.5</v>
      </c>
      <c r="AN44" s="541">
        <f>AH44/1000*AM44</f>
        <v>15.47</v>
      </c>
      <c r="AQ44" s="204" t="s">
        <v>510</v>
      </c>
      <c r="AR44" s="205" t="s">
        <v>400</v>
      </c>
      <c r="AS44" s="206" t="s">
        <v>526</v>
      </c>
      <c r="AT44" s="207">
        <f>'Prec Materia Prima y Empaq'!$H$68</f>
        <v>36000</v>
      </c>
      <c r="AU44" s="208">
        <f t="shared" ref="AU44" si="28">AT44*19%</f>
        <v>6840</v>
      </c>
      <c r="AV44" s="209">
        <f t="shared" ref="AV44" si="29">+AU44+AT44</f>
        <v>42840</v>
      </c>
      <c r="AW44" s="210">
        <f>AV44/1000*AS41*AS40</f>
        <v>1285.2</v>
      </c>
      <c r="AX44" s="211">
        <f>AS41*AS40</f>
        <v>30</v>
      </c>
      <c r="AY44" s="212" t="s">
        <v>54</v>
      </c>
      <c r="BA44" s="32">
        <f>AX44/AS40</f>
        <v>0.5</v>
      </c>
      <c r="BB44" s="541">
        <f>AV44/1000*BA44</f>
        <v>21.42</v>
      </c>
      <c r="BE44" s="204" t="s">
        <v>510</v>
      </c>
      <c r="BF44" s="205" t="s">
        <v>400</v>
      </c>
      <c r="BG44" s="206" t="s">
        <v>527</v>
      </c>
      <c r="BH44" s="207">
        <f>'Prec Materia Prima y Empaq'!H69</f>
        <v>27300</v>
      </c>
      <c r="BI44" s="208">
        <f t="shared" ref="BI44" si="30">BH44*19%</f>
        <v>5187</v>
      </c>
      <c r="BJ44" s="209">
        <f t="shared" ref="BJ44" si="31">+BI44+BH44</f>
        <v>32487</v>
      </c>
      <c r="BK44" s="210">
        <f>BJ44/1000*BG41*BG40</f>
        <v>974.61</v>
      </c>
      <c r="BL44" s="211">
        <f>BG41*BG40</f>
        <v>30</v>
      </c>
      <c r="BM44" s="212" t="s">
        <v>54</v>
      </c>
      <c r="BO44" s="32">
        <f>BL44/BG40</f>
        <v>0.5</v>
      </c>
      <c r="BP44" s="541">
        <f>BJ44/1000*BO44</f>
        <v>16.243500000000001</v>
      </c>
      <c r="BS44" s="204" t="s">
        <v>510</v>
      </c>
      <c r="BT44" s="205" t="s">
        <v>400</v>
      </c>
      <c r="BU44" s="206" t="s">
        <v>528</v>
      </c>
      <c r="BV44" s="207">
        <f>'Prec Materia Prima y Empaq'!$H$14</f>
        <v>18000</v>
      </c>
      <c r="BW44" s="208">
        <f t="shared" ref="BW44" si="32">BV44*19%</f>
        <v>3420</v>
      </c>
      <c r="BX44" s="209">
        <f t="shared" ref="BX44" si="33">+BW44+BV44</f>
        <v>21420</v>
      </c>
      <c r="BY44" s="210">
        <f>BX44/1000*BU41*BU40</f>
        <v>642.6</v>
      </c>
      <c r="BZ44" s="211">
        <f>BU41*BU40</f>
        <v>30</v>
      </c>
      <c r="CA44" s="212" t="s">
        <v>54</v>
      </c>
    </row>
    <row r="45" spans="1:79" ht="30" customHeight="1" x14ac:dyDescent="0.25">
      <c r="A45" s="216" t="s">
        <v>510</v>
      </c>
      <c r="B45" s="217" t="s">
        <v>393</v>
      </c>
      <c r="C45" s="218" t="s">
        <v>395</v>
      </c>
      <c r="D45" s="219">
        <f>'Prec Materia Prima y Empaq'!$H$155</f>
        <v>547</v>
      </c>
      <c r="E45" s="220">
        <f>D45*19%</f>
        <v>103.93</v>
      </c>
      <c r="F45" s="221">
        <f>+E45+D45</f>
        <v>650.93000000000006</v>
      </c>
      <c r="G45" s="222">
        <f>F45</f>
        <v>650.93000000000006</v>
      </c>
      <c r="H45" s="223">
        <v>1</v>
      </c>
      <c r="I45" s="224" t="s">
        <v>393</v>
      </c>
      <c r="K45" s="32">
        <v>1</v>
      </c>
      <c r="L45" s="541">
        <f>+K45*F45</f>
        <v>650.93000000000006</v>
      </c>
      <c r="O45" s="216" t="s">
        <v>510</v>
      </c>
      <c r="P45" s="217" t="s">
        <v>393</v>
      </c>
      <c r="Q45" s="218" t="s">
        <v>395</v>
      </c>
      <c r="R45" s="219">
        <f>'Prec Materia Prima y Empaq'!$H$155</f>
        <v>547</v>
      </c>
      <c r="S45" s="220">
        <f>R45*19%</f>
        <v>103.93</v>
      </c>
      <c r="T45" s="221">
        <f>+S45+R45</f>
        <v>650.93000000000006</v>
      </c>
      <c r="U45" s="222">
        <f>T45</f>
        <v>650.93000000000006</v>
      </c>
      <c r="V45" s="223">
        <v>1</v>
      </c>
      <c r="W45" s="224" t="s">
        <v>393</v>
      </c>
      <c r="X45" s="213"/>
      <c r="Y45" s="32">
        <v>1</v>
      </c>
      <c r="Z45" s="541">
        <f>+Y45*T45</f>
        <v>650.93000000000006</v>
      </c>
      <c r="AC45" s="216" t="s">
        <v>510</v>
      </c>
      <c r="AD45" s="217" t="s">
        <v>393</v>
      </c>
      <c r="AE45" s="218" t="s">
        <v>395</v>
      </c>
      <c r="AF45" s="219">
        <f>'Prec Materia Prima y Empaq'!$H$155</f>
        <v>547</v>
      </c>
      <c r="AG45" s="220">
        <f>AF45*19%</f>
        <v>103.93</v>
      </c>
      <c r="AH45" s="221">
        <f>+AG45+AF45</f>
        <v>650.93000000000006</v>
      </c>
      <c r="AI45" s="222">
        <f>AH45</f>
        <v>650.93000000000006</v>
      </c>
      <c r="AJ45" s="223">
        <v>1</v>
      </c>
      <c r="AK45" s="224" t="s">
        <v>393</v>
      </c>
      <c r="AM45" s="32">
        <v>1</v>
      </c>
      <c r="AN45" s="541">
        <f>+AM45*AH45</f>
        <v>650.93000000000006</v>
      </c>
      <c r="AQ45" s="216" t="s">
        <v>510</v>
      </c>
      <c r="AR45" s="217" t="s">
        <v>393</v>
      </c>
      <c r="AS45" s="218" t="s">
        <v>395</v>
      </c>
      <c r="AT45" s="219">
        <f>'Prec Materia Prima y Empaq'!$H$155</f>
        <v>547</v>
      </c>
      <c r="AU45" s="220">
        <f>AT45*19%</f>
        <v>103.93</v>
      </c>
      <c r="AV45" s="221">
        <f>+AU45+AT45</f>
        <v>650.93000000000006</v>
      </c>
      <c r="AW45" s="222">
        <f>AV45</f>
        <v>650.93000000000006</v>
      </c>
      <c r="AX45" s="223">
        <v>1</v>
      </c>
      <c r="AY45" s="224" t="s">
        <v>393</v>
      </c>
      <c r="BA45" s="32">
        <v>1</v>
      </c>
      <c r="BB45" s="541">
        <f>+BA45*AV45</f>
        <v>650.93000000000006</v>
      </c>
      <c r="BE45" s="216" t="s">
        <v>510</v>
      </c>
      <c r="BF45" s="217" t="s">
        <v>393</v>
      </c>
      <c r="BG45" s="218" t="s">
        <v>395</v>
      </c>
      <c r="BH45" s="219">
        <f>'Prec Materia Prima y Empaq'!$H$155</f>
        <v>547</v>
      </c>
      <c r="BI45" s="220">
        <f>BH45*19%</f>
        <v>103.93</v>
      </c>
      <c r="BJ45" s="221">
        <f>+BI45+BH45</f>
        <v>650.93000000000006</v>
      </c>
      <c r="BK45" s="222">
        <f>BJ45</f>
        <v>650.93000000000006</v>
      </c>
      <c r="BL45" s="223">
        <v>1</v>
      </c>
      <c r="BM45" s="224" t="s">
        <v>393</v>
      </c>
      <c r="BO45" s="32">
        <v>1</v>
      </c>
      <c r="BP45" s="541">
        <f>+BO45*BJ45</f>
        <v>650.93000000000006</v>
      </c>
      <c r="BS45" s="216" t="s">
        <v>510</v>
      </c>
      <c r="BT45" s="217" t="s">
        <v>393</v>
      </c>
      <c r="BU45" s="218" t="s">
        <v>395</v>
      </c>
      <c r="BV45" s="219">
        <f>'Prec Materia Prima y Empaq'!$H$155</f>
        <v>547</v>
      </c>
      <c r="BW45" s="220">
        <f>BV45*19%</f>
        <v>103.93</v>
      </c>
      <c r="BX45" s="221">
        <f>+BW45+BV45</f>
        <v>650.93000000000006</v>
      </c>
      <c r="BY45" s="222">
        <f>BX45</f>
        <v>650.93000000000006</v>
      </c>
      <c r="BZ45" s="223">
        <v>1</v>
      </c>
      <c r="CA45" s="224" t="s">
        <v>393</v>
      </c>
    </row>
    <row r="46" spans="1:79" ht="15" customHeight="1" x14ac:dyDescent="0.25">
      <c r="A46" s="216" t="s">
        <v>510</v>
      </c>
      <c r="B46" s="217" t="s">
        <v>393</v>
      </c>
      <c r="C46" s="218" t="s">
        <v>508</v>
      </c>
      <c r="D46" s="219">
        <f>'Prec Materia Prima y Empaq'!$H$156</f>
        <v>17</v>
      </c>
      <c r="E46" s="220">
        <v>0</v>
      </c>
      <c r="F46" s="221">
        <f t="shared" ref="F46:F50" si="34">+E46+D46</f>
        <v>17</v>
      </c>
      <c r="G46" s="222">
        <f>C40*F46</f>
        <v>1020</v>
      </c>
      <c r="H46" s="223">
        <v>60</v>
      </c>
      <c r="I46" s="224" t="s">
        <v>393</v>
      </c>
      <c r="K46" s="32">
        <v>1</v>
      </c>
      <c r="L46" s="541">
        <f>+K46*F46</f>
        <v>17</v>
      </c>
      <c r="O46" s="216" t="s">
        <v>510</v>
      </c>
      <c r="P46" s="217" t="s">
        <v>393</v>
      </c>
      <c r="Q46" s="218" t="s">
        <v>508</v>
      </c>
      <c r="R46" s="219">
        <f>'Prec Materia Prima y Empaq'!$H$156</f>
        <v>17</v>
      </c>
      <c r="S46" s="220">
        <v>0</v>
      </c>
      <c r="T46" s="221">
        <f t="shared" ref="T46:T50" si="35">+S46+R46</f>
        <v>17</v>
      </c>
      <c r="U46" s="222">
        <f>Q40*T46</f>
        <v>1020</v>
      </c>
      <c r="V46" s="223">
        <v>60</v>
      </c>
      <c r="W46" s="224" t="s">
        <v>393</v>
      </c>
      <c r="X46" s="213"/>
      <c r="Y46" s="32">
        <v>1</v>
      </c>
      <c r="Z46" s="541">
        <f>+Y46*T46</f>
        <v>17</v>
      </c>
      <c r="AC46" s="216" t="s">
        <v>510</v>
      </c>
      <c r="AD46" s="217" t="s">
        <v>393</v>
      </c>
      <c r="AE46" s="218" t="s">
        <v>508</v>
      </c>
      <c r="AF46" s="219">
        <f>'Prec Materia Prima y Empaq'!$H$156</f>
        <v>17</v>
      </c>
      <c r="AG46" s="220">
        <v>0</v>
      </c>
      <c r="AH46" s="221">
        <f t="shared" ref="AH46:AH50" si="36">+AG46+AF46</f>
        <v>17</v>
      </c>
      <c r="AI46" s="222">
        <f>AE40*AH46</f>
        <v>1020</v>
      </c>
      <c r="AJ46" s="223">
        <v>60</v>
      </c>
      <c r="AK46" s="224" t="s">
        <v>393</v>
      </c>
      <c r="AM46" s="32">
        <v>1</v>
      </c>
      <c r="AN46" s="541">
        <f>+AM46*AH46</f>
        <v>17</v>
      </c>
      <c r="AQ46" s="216" t="s">
        <v>510</v>
      </c>
      <c r="AR46" s="217" t="s">
        <v>393</v>
      </c>
      <c r="AS46" s="218" t="s">
        <v>508</v>
      </c>
      <c r="AT46" s="219">
        <f>'Prec Materia Prima y Empaq'!$H$156</f>
        <v>17</v>
      </c>
      <c r="AU46" s="220">
        <v>0</v>
      </c>
      <c r="AV46" s="221">
        <f t="shared" ref="AV46:AV50" si="37">+AU46+AT46</f>
        <v>17</v>
      </c>
      <c r="AW46" s="222">
        <f>AS40*AV46</f>
        <v>1020</v>
      </c>
      <c r="AX46" s="223">
        <v>60</v>
      </c>
      <c r="AY46" s="224" t="s">
        <v>393</v>
      </c>
      <c r="BA46" s="32">
        <v>1</v>
      </c>
      <c r="BB46" s="541">
        <f>+BA46*AV46</f>
        <v>17</v>
      </c>
      <c r="BE46" s="216" t="s">
        <v>510</v>
      </c>
      <c r="BF46" s="217" t="s">
        <v>393</v>
      </c>
      <c r="BG46" s="218" t="s">
        <v>508</v>
      </c>
      <c r="BH46" s="219">
        <f>'Prec Materia Prima y Empaq'!$H$156</f>
        <v>17</v>
      </c>
      <c r="BI46" s="220">
        <v>0</v>
      </c>
      <c r="BJ46" s="221">
        <f t="shared" ref="BJ46:BJ50" si="38">+BI46+BH46</f>
        <v>17</v>
      </c>
      <c r="BK46" s="222">
        <f>BG40*BJ46</f>
        <v>1020</v>
      </c>
      <c r="BL46" s="223">
        <v>60</v>
      </c>
      <c r="BM46" s="224" t="s">
        <v>393</v>
      </c>
      <c r="BO46" s="32">
        <v>1</v>
      </c>
      <c r="BP46" s="541">
        <f>+BO46*BJ46</f>
        <v>17</v>
      </c>
      <c r="BS46" s="216" t="s">
        <v>510</v>
      </c>
      <c r="BT46" s="217" t="s">
        <v>393</v>
      </c>
      <c r="BU46" s="218" t="s">
        <v>508</v>
      </c>
      <c r="BV46" s="219">
        <f>'Prec Materia Prima y Empaq'!$H$156</f>
        <v>17</v>
      </c>
      <c r="BW46" s="220">
        <v>0</v>
      </c>
      <c r="BX46" s="221">
        <f t="shared" ref="BX46:BX50" si="39">+BW46+BV46</f>
        <v>17</v>
      </c>
      <c r="BY46" s="222">
        <f>BU40*BX46</f>
        <v>1020</v>
      </c>
      <c r="BZ46" s="223">
        <v>60</v>
      </c>
      <c r="CA46" s="224" t="s">
        <v>393</v>
      </c>
    </row>
    <row r="47" spans="1:79" ht="15" customHeight="1" x14ac:dyDescent="0.25">
      <c r="A47" s="216" t="s">
        <v>368</v>
      </c>
      <c r="B47" s="217" t="s">
        <v>393</v>
      </c>
      <c r="C47" s="218" t="s">
        <v>371</v>
      </c>
      <c r="D47" s="219">
        <f>'Prec Materia Prima y Empaq'!$H$157</f>
        <v>252</v>
      </c>
      <c r="E47" s="220">
        <f t="shared" ref="E47:E48" si="40">D47*19%</f>
        <v>47.88</v>
      </c>
      <c r="F47" s="221">
        <f t="shared" si="34"/>
        <v>299.88</v>
      </c>
      <c r="G47" s="222">
        <f>F47</f>
        <v>299.88</v>
      </c>
      <c r="H47" s="223">
        <v>1</v>
      </c>
      <c r="I47" s="224" t="s">
        <v>393</v>
      </c>
      <c r="K47" s="32">
        <v>1</v>
      </c>
      <c r="L47" s="541">
        <f>+F47*K47</f>
        <v>299.88</v>
      </c>
      <c r="O47" s="216" t="s">
        <v>368</v>
      </c>
      <c r="P47" s="217" t="s">
        <v>393</v>
      </c>
      <c r="Q47" s="218" t="s">
        <v>371</v>
      </c>
      <c r="R47" s="219">
        <f>'Prec Materia Prima y Empaq'!$H$157</f>
        <v>252</v>
      </c>
      <c r="S47" s="220">
        <f t="shared" ref="S47:S48" si="41">R47*19%</f>
        <v>47.88</v>
      </c>
      <c r="T47" s="221">
        <f t="shared" si="35"/>
        <v>299.88</v>
      </c>
      <c r="U47" s="222">
        <f>T47</f>
        <v>299.88</v>
      </c>
      <c r="V47" s="223">
        <v>1</v>
      </c>
      <c r="W47" s="224" t="s">
        <v>393</v>
      </c>
      <c r="X47" s="213"/>
      <c r="Y47" s="32">
        <v>1</v>
      </c>
      <c r="Z47" s="541">
        <f>+T47*Y47</f>
        <v>299.88</v>
      </c>
      <c r="AC47" s="216" t="s">
        <v>368</v>
      </c>
      <c r="AD47" s="217" t="s">
        <v>393</v>
      </c>
      <c r="AE47" s="218" t="s">
        <v>371</v>
      </c>
      <c r="AF47" s="219">
        <f>'Prec Materia Prima y Empaq'!$H$157</f>
        <v>252</v>
      </c>
      <c r="AG47" s="220">
        <f t="shared" ref="AG47:AG48" si="42">AF47*19%</f>
        <v>47.88</v>
      </c>
      <c r="AH47" s="221">
        <f t="shared" si="36"/>
        <v>299.88</v>
      </c>
      <c r="AI47" s="222">
        <f>AH47</f>
        <v>299.88</v>
      </c>
      <c r="AJ47" s="223">
        <v>1</v>
      </c>
      <c r="AK47" s="224" t="s">
        <v>393</v>
      </c>
      <c r="AM47" s="32">
        <v>1</v>
      </c>
      <c r="AN47" s="541">
        <f>+AH47*AM47</f>
        <v>299.88</v>
      </c>
      <c r="AQ47" s="216" t="s">
        <v>368</v>
      </c>
      <c r="AR47" s="217" t="s">
        <v>393</v>
      </c>
      <c r="AS47" s="218" t="s">
        <v>371</v>
      </c>
      <c r="AT47" s="219">
        <f>'Prec Materia Prima y Empaq'!$H$157</f>
        <v>252</v>
      </c>
      <c r="AU47" s="220">
        <f t="shared" ref="AU47:AU48" si="43">AT47*19%</f>
        <v>47.88</v>
      </c>
      <c r="AV47" s="221">
        <f t="shared" si="37"/>
        <v>299.88</v>
      </c>
      <c r="AW47" s="222">
        <f>AV47</f>
        <v>299.88</v>
      </c>
      <c r="AX47" s="223">
        <v>1</v>
      </c>
      <c r="AY47" s="224" t="s">
        <v>393</v>
      </c>
      <c r="BA47" s="32">
        <v>1</v>
      </c>
      <c r="BB47" s="541">
        <f>+AV47*BA47</f>
        <v>299.88</v>
      </c>
      <c r="BE47" s="216" t="s">
        <v>368</v>
      </c>
      <c r="BF47" s="217" t="s">
        <v>393</v>
      </c>
      <c r="BG47" s="218" t="s">
        <v>371</v>
      </c>
      <c r="BH47" s="219">
        <f>'Prec Materia Prima y Empaq'!$H$157</f>
        <v>252</v>
      </c>
      <c r="BI47" s="220">
        <f t="shared" ref="BI47:BI48" si="44">BH47*19%</f>
        <v>47.88</v>
      </c>
      <c r="BJ47" s="221">
        <f t="shared" si="38"/>
        <v>299.88</v>
      </c>
      <c r="BK47" s="222">
        <f>BJ47</f>
        <v>299.88</v>
      </c>
      <c r="BL47" s="223">
        <v>1</v>
      </c>
      <c r="BM47" s="224" t="s">
        <v>393</v>
      </c>
      <c r="BO47" s="32">
        <v>1</v>
      </c>
      <c r="BP47" s="541">
        <f>+BJ47*BO47</f>
        <v>299.88</v>
      </c>
      <c r="BS47" s="216" t="s">
        <v>368</v>
      </c>
      <c r="BT47" s="217" t="s">
        <v>393</v>
      </c>
      <c r="BU47" s="218" t="s">
        <v>371</v>
      </c>
      <c r="BV47" s="219">
        <f>'Prec Materia Prima y Empaq'!$H$157</f>
        <v>252</v>
      </c>
      <c r="BW47" s="220">
        <f t="shared" ref="BW47:BW48" si="45">BV47*19%</f>
        <v>47.88</v>
      </c>
      <c r="BX47" s="221">
        <f t="shared" si="39"/>
        <v>299.88</v>
      </c>
      <c r="BY47" s="222">
        <f>BX47</f>
        <v>299.88</v>
      </c>
      <c r="BZ47" s="223">
        <v>1</v>
      </c>
      <c r="CA47" s="224" t="s">
        <v>393</v>
      </c>
    </row>
    <row r="48" spans="1:79" ht="15" customHeight="1" x14ac:dyDescent="0.25">
      <c r="A48" s="216" t="s">
        <v>368</v>
      </c>
      <c r="B48" s="217" t="s">
        <v>393</v>
      </c>
      <c r="C48" s="218" t="s">
        <v>372</v>
      </c>
      <c r="D48" s="219">
        <f>'Prec Materia Prima y Empaq'!$H$158</f>
        <v>81</v>
      </c>
      <c r="E48" s="220">
        <f t="shared" si="40"/>
        <v>15.39</v>
      </c>
      <c r="F48" s="221">
        <f t="shared" si="34"/>
        <v>96.39</v>
      </c>
      <c r="G48" s="222">
        <f>F48</f>
        <v>96.39</v>
      </c>
      <c r="H48" s="223">
        <v>1</v>
      </c>
      <c r="I48" s="224" t="s">
        <v>393</v>
      </c>
      <c r="K48" s="32">
        <v>1</v>
      </c>
      <c r="L48" s="541">
        <f>+K48*F48</f>
        <v>96.39</v>
      </c>
      <c r="O48" s="216" t="s">
        <v>368</v>
      </c>
      <c r="P48" s="217" t="s">
        <v>393</v>
      </c>
      <c r="Q48" s="218" t="s">
        <v>372</v>
      </c>
      <c r="R48" s="219">
        <f>'Prec Materia Prima y Empaq'!$H$158</f>
        <v>81</v>
      </c>
      <c r="S48" s="220">
        <f t="shared" si="41"/>
        <v>15.39</v>
      </c>
      <c r="T48" s="221">
        <f t="shared" si="35"/>
        <v>96.39</v>
      </c>
      <c r="U48" s="222">
        <f>T48</f>
        <v>96.39</v>
      </c>
      <c r="V48" s="223">
        <v>1</v>
      </c>
      <c r="W48" s="224" t="s">
        <v>393</v>
      </c>
      <c r="X48" s="213"/>
      <c r="Y48" s="32">
        <v>1</v>
      </c>
      <c r="Z48" s="541">
        <f>+Y48*T48</f>
        <v>96.39</v>
      </c>
      <c r="AC48" s="216" t="s">
        <v>368</v>
      </c>
      <c r="AD48" s="217" t="s">
        <v>393</v>
      </c>
      <c r="AE48" s="218" t="s">
        <v>372</v>
      </c>
      <c r="AF48" s="219">
        <f>'Prec Materia Prima y Empaq'!$H$158</f>
        <v>81</v>
      </c>
      <c r="AG48" s="220">
        <f t="shared" si="42"/>
        <v>15.39</v>
      </c>
      <c r="AH48" s="221">
        <f t="shared" si="36"/>
        <v>96.39</v>
      </c>
      <c r="AI48" s="222">
        <f>AH48</f>
        <v>96.39</v>
      </c>
      <c r="AJ48" s="223">
        <v>1</v>
      </c>
      <c r="AK48" s="224" t="s">
        <v>393</v>
      </c>
      <c r="AM48" s="32">
        <v>1</v>
      </c>
      <c r="AN48" s="541">
        <f>+AM48*AH48</f>
        <v>96.39</v>
      </c>
      <c r="AQ48" s="216" t="s">
        <v>368</v>
      </c>
      <c r="AR48" s="217" t="s">
        <v>393</v>
      </c>
      <c r="AS48" s="218" t="s">
        <v>372</v>
      </c>
      <c r="AT48" s="219">
        <f>'Prec Materia Prima y Empaq'!$H$158</f>
        <v>81</v>
      </c>
      <c r="AU48" s="220">
        <f t="shared" si="43"/>
        <v>15.39</v>
      </c>
      <c r="AV48" s="221">
        <f t="shared" si="37"/>
        <v>96.39</v>
      </c>
      <c r="AW48" s="222">
        <f>AV48</f>
        <v>96.39</v>
      </c>
      <c r="AX48" s="223">
        <v>1</v>
      </c>
      <c r="AY48" s="224" t="s">
        <v>393</v>
      </c>
      <c r="BA48" s="32">
        <v>1</v>
      </c>
      <c r="BB48" s="541">
        <f>+BA48*AV48</f>
        <v>96.39</v>
      </c>
      <c r="BE48" s="216" t="s">
        <v>368</v>
      </c>
      <c r="BF48" s="217" t="s">
        <v>393</v>
      </c>
      <c r="BG48" s="218" t="s">
        <v>372</v>
      </c>
      <c r="BH48" s="219">
        <f>'Prec Materia Prima y Empaq'!$H$158</f>
        <v>81</v>
      </c>
      <c r="BI48" s="220">
        <f t="shared" si="44"/>
        <v>15.39</v>
      </c>
      <c r="BJ48" s="221">
        <f t="shared" si="38"/>
        <v>96.39</v>
      </c>
      <c r="BK48" s="222">
        <f>BJ48</f>
        <v>96.39</v>
      </c>
      <c r="BL48" s="223">
        <v>1</v>
      </c>
      <c r="BM48" s="224" t="s">
        <v>393</v>
      </c>
      <c r="BO48" s="32">
        <v>1</v>
      </c>
      <c r="BP48" s="541">
        <f>+BO48*BJ48</f>
        <v>96.39</v>
      </c>
      <c r="BS48" s="216" t="s">
        <v>368</v>
      </c>
      <c r="BT48" s="217" t="s">
        <v>393</v>
      </c>
      <c r="BU48" s="218" t="s">
        <v>372</v>
      </c>
      <c r="BV48" s="219">
        <f>'Prec Materia Prima y Empaq'!$H$158</f>
        <v>81</v>
      </c>
      <c r="BW48" s="220">
        <f t="shared" si="45"/>
        <v>15.39</v>
      </c>
      <c r="BX48" s="221">
        <f t="shared" si="39"/>
        <v>96.39</v>
      </c>
      <c r="BY48" s="222">
        <f>BX48</f>
        <v>96.39</v>
      </c>
      <c r="BZ48" s="223">
        <v>1</v>
      </c>
      <c r="CA48" s="224" t="s">
        <v>393</v>
      </c>
    </row>
    <row r="49" spans="1:79" ht="15" customHeight="1" x14ac:dyDescent="0.25">
      <c r="A49" s="216" t="s">
        <v>368</v>
      </c>
      <c r="B49" s="225" t="s">
        <v>393</v>
      </c>
      <c r="C49" s="226" t="s">
        <v>401</v>
      </c>
      <c r="D49" s="219">
        <f>'Prec Materia Prima y Empaq'!$H$159</f>
        <v>150</v>
      </c>
      <c r="E49" s="227">
        <v>0</v>
      </c>
      <c r="F49" s="228">
        <f t="shared" si="34"/>
        <v>150</v>
      </c>
      <c r="G49" s="229">
        <f>F49</f>
        <v>150</v>
      </c>
      <c r="H49" s="230">
        <v>1</v>
      </c>
      <c r="I49" s="231" t="s">
        <v>393</v>
      </c>
      <c r="K49" s="32">
        <v>1</v>
      </c>
      <c r="L49" s="541">
        <f>+K49*F49</f>
        <v>150</v>
      </c>
      <c r="O49" s="216" t="s">
        <v>368</v>
      </c>
      <c r="P49" s="225" t="s">
        <v>393</v>
      </c>
      <c r="Q49" s="226" t="s">
        <v>401</v>
      </c>
      <c r="R49" s="219">
        <f>'Prec Materia Prima y Empaq'!$H$159</f>
        <v>150</v>
      </c>
      <c r="S49" s="227">
        <v>0</v>
      </c>
      <c r="T49" s="228">
        <f t="shared" si="35"/>
        <v>150</v>
      </c>
      <c r="U49" s="229">
        <f>T49</f>
        <v>150</v>
      </c>
      <c r="V49" s="230">
        <v>1</v>
      </c>
      <c r="W49" s="231" t="s">
        <v>393</v>
      </c>
      <c r="X49" s="213"/>
      <c r="Y49" s="32">
        <v>1</v>
      </c>
      <c r="Z49" s="541">
        <f>+Y49*T49</f>
        <v>150</v>
      </c>
      <c r="AC49" s="216" t="s">
        <v>368</v>
      </c>
      <c r="AD49" s="225" t="s">
        <v>393</v>
      </c>
      <c r="AE49" s="226" t="s">
        <v>401</v>
      </c>
      <c r="AF49" s="219">
        <f>'Prec Materia Prima y Empaq'!$H$159</f>
        <v>150</v>
      </c>
      <c r="AG49" s="227">
        <v>0</v>
      </c>
      <c r="AH49" s="228">
        <f t="shared" si="36"/>
        <v>150</v>
      </c>
      <c r="AI49" s="229">
        <f>AH49</f>
        <v>150</v>
      </c>
      <c r="AJ49" s="230">
        <v>1</v>
      </c>
      <c r="AK49" s="231" t="s">
        <v>393</v>
      </c>
      <c r="AM49" s="32">
        <v>1</v>
      </c>
      <c r="AN49" s="541">
        <f>+AM49*AH49</f>
        <v>150</v>
      </c>
      <c r="AQ49" s="216" t="s">
        <v>368</v>
      </c>
      <c r="AR49" s="225" t="s">
        <v>393</v>
      </c>
      <c r="AS49" s="226" t="s">
        <v>401</v>
      </c>
      <c r="AT49" s="219">
        <f>'Prec Materia Prima y Empaq'!$H$159</f>
        <v>150</v>
      </c>
      <c r="AU49" s="227">
        <v>0</v>
      </c>
      <c r="AV49" s="228">
        <f t="shared" si="37"/>
        <v>150</v>
      </c>
      <c r="AW49" s="229">
        <f>AV49</f>
        <v>150</v>
      </c>
      <c r="AX49" s="230">
        <v>1</v>
      </c>
      <c r="AY49" s="231" t="s">
        <v>393</v>
      </c>
      <c r="BA49" s="32">
        <v>1</v>
      </c>
      <c r="BB49" s="541">
        <f>+BA49*AV49</f>
        <v>150</v>
      </c>
      <c r="BE49" s="216" t="s">
        <v>368</v>
      </c>
      <c r="BF49" s="225" t="s">
        <v>393</v>
      </c>
      <c r="BG49" s="226" t="s">
        <v>401</v>
      </c>
      <c r="BH49" s="219">
        <f>'Prec Materia Prima y Empaq'!$H$159</f>
        <v>150</v>
      </c>
      <c r="BI49" s="227">
        <v>0</v>
      </c>
      <c r="BJ49" s="228">
        <f t="shared" si="38"/>
        <v>150</v>
      </c>
      <c r="BK49" s="229">
        <f>BJ49</f>
        <v>150</v>
      </c>
      <c r="BL49" s="230">
        <v>1</v>
      </c>
      <c r="BM49" s="231" t="s">
        <v>393</v>
      </c>
      <c r="BO49" s="32">
        <v>1</v>
      </c>
      <c r="BP49" s="541">
        <f>+BO49*BJ49</f>
        <v>150</v>
      </c>
      <c r="BS49" s="216" t="s">
        <v>368</v>
      </c>
      <c r="BT49" s="225" t="s">
        <v>393</v>
      </c>
      <c r="BU49" s="226" t="s">
        <v>401</v>
      </c>
      <c r="BV49" s="219">
        <f>'Prec Materia Prima y Empaq'!$H$159</f>
        <v>150</v>
      </c>
      <c r="BW49" s="227">
        <v>0</v>
      </c>
      <c r="BX49" s="228">
        <f t="shared" si="39"/>
        <v>150</v>
      </c>
      <c r="BY49" s="229">
        <f>BX49</f>
        <v>150</v>
      </c>
      <c r="BZ49" s="230">
        <v>1</v>
      </c>
      <c r="CA49" s="231" t="s">
        <v>393</v>
      </c>
    </row>
    <row r="50" spans="1:79" ht="15" customHeight="1" thickBot="1" x14ac:dyDescent="0.3">
      <c r="A50" s="232" t="s">
        <v>368</v>
      </c>
      <c r="B50" s="233" t="s">
        <v>393</v>
      </c>
      <c r="C50" s="234" t="s">
        <v>509</v>
      </c>
      <c r="D50" s="219">
        <f>'Prec Materia Prima y Empaq'!$H$160</f>
        <v>120</v>
      </c>
      <c r="E50" s="235">
        <v>0</v>
      </c>
      <c r="F50" s="236">
        <f t="shared" si="34"/>
        <v>120</v>
      </c>
      <c r="G50" s="237">
        <f>F50</f>
        <v>120</v>
      </c>
      <c r="H50" s="238">
        <v>1</v>
      </c>
      <c r="I50" s="239" t="s">
        <v>393</v>
      </c>
      <c r="K50" s="32">
        <v>1</v>
      </c>
      <c r="L50" s="541">
        <f>+F50*K50</f>
        <v>120</v>
      </c>
      <c r="O50" s="232" t="s">
        <v>368</v>
      </c>
      <c r="P50" s="233" t="s">
        <v>393</v>
      </c>
      <c r="Q50" s="234" t="s">
        <v>509</v>
      </c>
      <c r="R50" s="219">
        <f>'Prec Materia Prima y Empaq'!$H$160</f>
        <v>120</v>
      </c>
      <c r="S50" s="235">
        <v>0</v>
      </c>
      <c r="T50" s="236">
        <f t="shared" si="35"/>
        <v>120</v>
      </c>
      <c r="U50" s="237">
        <f>T50</f>
        <v>120</v>
      </c>
      <c r="V50" s="238">
        <v>1</v>
      </c>
      <c r="W50" s="239" t="s">
        <v>393</v>
      </c>
      <c r="X50" s="213"/>
      <c r="Y50" s="32">
        <v>1</v>
      </c>
      <c r="Z50" s="541">
        <f>+T50*Y50</f>
        <v>120</v>
      </c>
      <c r="AC50" s="232" t="s">
        <v>368</v>
      </c>
      <c r="AD50" s="233" t="s">
        <v>393</v>
      </c>
      <c r="AE50" s="234" t="s">
        <v>509</v>
      </c>
      <c r="AF50" s="219">
        <f>'Prec Materia Prima y Empaq'!$H$160</f>
        <v>120</v>
      </c>
      <c r="AG50" s="235">
        <v>0</v>
      </c>
      <c r="AH50" s="236">
        <f t="shared" si="36"/>
        <v>120</v>
      </c>
      <c r="AI50" s="237">
        <f>AH50</f>
        <v>120</v>
      </c>
      <c r="AJ50" s="238">
        <v>1</v>
      </c>
      <c r="AK50" s="239" t="s">
        <v>393</v>
      </c>
      <c r="AM50" s="32">
        <v>1</v>
      </c>
      <c r="AN50" s="541">
        <f>+AH50*AM50</f>
        <v>120</v>
      </c>
      <c r="AQ50" s="232" t="s">
        <v>368</v>
      </c>
      <c r="AR50" s="233" t="s">
        <v>393</v>
      </c>
      <c r="AS50" s="234" t="s">
        <v>509</v>
      </c>
      <c r="AT50" s="219">
        <f>'Prec Materia Prima y Empaq'!$H$160</f>
        <v>120</v>
      </c>
      <c r="AU50" s="235">
        <v>0</v>
      </c>
      <c r="AV50" s="236">
        <f t="shared" si="37"/>
        <v>120</v>
      </c>
      <c r="AW50" s="237">
        <f>AV50</f>
        <v>120</v>
      </c>
      <c r="AX50" s="238">
        <v>1</v>
      </c>
      <c r="AY50" s="239" t="s">
        <v>393</v>
      </c>
      <c r="BA50" s="32">
        <v>1</v>
      </c>
      <c r="BB50" s="541">
        <f>+AV50*BA50</f>
        <v>120</v>
      </c>
      <c r="BE50" s="232" t="s">
        <v>368</v>
      </c>
      <c r="BF50" s="233" t="s">
        <v>393</v>
      </c>
      <c r="BG50" s="234" t="s">
        <v>509</v>
      </c>
      <c r="BH50" s="219">
        <f>'Prec Materia Prima y Empaq'!$H$160</f>
        <v>120</v>
      </c>
      <c r="BI50" s="235">
        <v>0</v>
      </c>
      <c r="BJ50" s="236">
        <f t="shared" si="38"/>
        <v>120</v>
      </c>
      <c r="BK50" s="237">
        <f>BJ50</f>
        <v>120</v>
      </c>
      <c r="BL50" s="238">
        <v>1</v>
      </c>
      <c r="BM50" s="239" t="s">
        <v>393</v>
      </c>
      <c r="BO50" s="32">
        <v>1</v>
      </c>
      <c r="BP50" s="541">
        <f>+BJ50*BO50</f>
        <v>120</v>
      </c>
      <c r="BS50" s="232" t="s">
        <v>368</v>
      </c>
      <c r="BT50" s="233" t="s">
        <v>393</v>
      </c>
      <c r="BU50" s="234" t="s">
        <v>509</v>
      </c>
      <c r="BV50" s="219">
        <f>'Prec Materia Prima y Empaq'!$H$160</f>
        <v>120</v>
      </c>
      <c r="BW50" s="235">
        <v>0</v>
      </c>
      <c r="BX50" s="236">
        <f t="shared" si="39"/>
        <v>120</v>
      </c>
      <c r="BY50" s="237">
        <f>BX50</f>
        <v>120</v>
      </c>
      <c r="BZ50" s="238">
        <v>1</v>
      </c>
      <c r="CA50" s="239" t="s">
        <v>393</v>
      </c>
    </row>
    <row r="51" spans="1:79" ht="15" customHeight="1" thickBot="1" x14ac:dyDescent="0.3">
      <c r="A51" s="32"/>
      <c r="D51" s="147"/>
      <c r="E51" s="146"/>
      <c r="F51" s="108"/>
      <c r="G51" s="358">
        <f>SUM(G44:G50)</f>
        <v>3158.3</v>
      </c>
      <c r="H51" s="157" t="s">
        <v>454</v>
      </c>
      <c r="L51" s="542">
        <f>SUM(L44:L50)</f>
        <v>1347.885</v>
      </c>
      <c r="O51" s="32"/>
      <c r="R51" s="147"/>
      <c r="S51" s="146"/>
      <c r="T51" s="108"/>
      <c r="U51" s="358">
        <f>SUM(U44:U50)</f>
        <v>3765.2000000000003</v>
      </c>
      <c r="V51" s="157" t="s">
        <v>454</v>
      </c>
      <c r="Z51" s="542">
        <f>SUM(Z44:Z50)</f>
        <v>1358</v>
      </c>
      <c r="AC51" s="32"/>
      <c r="AF51" s="147"/>
      <c r="AG51" s="146"/>
      <c r="AH51" s="108"/>
      <c r="AI51" s="358">
        <f>SUM(AI44:AI50)</f>
        <v>3265.4</v>
      </c>
      <c r="AJ51" s="157" t="s">
        <v>454</v>
      </c>
      <c r="AN51" s="542">
        <f>SUM(AN44:AN50)</f>
        <v>1349.67</v>
      </c>
      <c r="AQ51" s="32"/>
      <c r="AT51" s="147"/>
      <c r="AU51" s="146"/>
      <c r="AV51" s="108"/>
      <c r="AW51" s="358">
        <f>SUM(AW44:AW50)</f>
        <v>3622.4</v>
      </c>
      <c r="AX51" s="157" t="s">
        <v>454</v>
      </c>
      <c r="BB51" s="542">
        <f>SUM(BB44:BB50)</f>
        <v>1355.6200000000001</v>
      </c>
      <c r="BE51" s="32"/>
      <c r="BH51" s="147"/>
      <c r="BI51" s="146"/>
      <c r="BJ51" s="108"/>
      <c r="BK51" s="358">
        <f>SUM(BK44:BK50)</f>
        <v>3311.81</v>
      </c>
      <c r="BL51" s="157" t="s">
        <v>454</v>
      </c>
      <c r="BP51" s="542">
        <f>SUM(BP44:BP50)</f>
        <v>1350.4435000000001</v>
      </c>
      <c r="BS51" s="32"/>
      <c r="BV51" s="147"/>
      <c r="BW51" s="146"/>
      <c r="BX51" s="108"/>
      <c r="BY51" s="358">
        <f>SUM(BY44:BY50)</f>
        <v>2979.8</v>
      </c>
      <c r="BZ51" s="157" t="s">
        <v>454</v>
      </c>
    </row>
    <row r="52" spans="1:79" ht="15" customHeight="1" thickTop="1" x14ac:dyDescent="0.25">
      <c r="A52" s="32"/>
      <c r="D52" s="147"/>
      <c r="E52" s="146"/>
      <c r="F52" s="108"/>
      <c r="G52" s="108"/>
      <c r="H52" s="32"/>
      <c r="O52" s="32"/>
      <c r="R52" s="147"/>
      <c r="S52" s="146"/>
      <c r="T52" s="108"/>
      <c r="U52" s="108"/>
      <c r="V52" s="32"/>
      <c r="AC52" s="32"/>
      <c r="AF52" s="147"/>
      <c r="AG52" s="146"/>
      <c r="AH52" s="108"/>
      <c r="AI52" s="108"/>
      <c r="AJ52" s="32"/>
      <c r="AQ52" s="32"/>
      <c r="AT52" s="147"/>
      <c r="AU52" s="146"/>
      <c r="AV52" s="108"/>
      <c r="AW52" s="108"/>
      <c r="AX52" s="32"/>
      <c r="BE52" s="32"/>
      <c r="BH52" s="147"/>
      <c r="BI52" s="146"/>
      <c r="BJ52" s="108"/>
      <c r="BK52" s="108"/>
      <c r="BL52" s="32"/>
      <c r="BS52" s="32"/>
      <c r="BV52" s="147"/>
      <c r="BW52" s="146"/>
      <c r="BX52" s="108"/>
      <c r="BY52" s="108"/>
      <c r="BZ52" s="32"/>
    </row>
    <row r="53" spans="1:79" s="178" customFormat="1" ht="15" customHeight="1" x14ac:dyDescent="0.25">
      <c r="B53" s="179" t="s">
        <v>409</v>
      </c>
      <c r="C53" s="179"/>
      <c r="D53" s="180"/>
      <c r="E53" s="179"/>
      <c r="F53" s="181">
        <f>+'Gtos Varios'!I14</f>
        <v>3672.93</v>
      </c>
      <c r="G53" s="182">
        <f>F53</f>
        <v>3672.93</v>
      </c>
      <c r="H53" s="179"/>
      <c r="I53" s="179"/>
      <c r="L53" s="543"/>
      <c r="M53" s="183"/>
      <c r="P53" s="179" t="s">
        <v>409</v>
      </c>
      <c r="Q53" s="179"/>
      <c r="R53" s="180"/>
      <c r="S53" s="179"/>
      <c r="T53" s="181">
        <f>+'Gtos Varios'!I14</f>
        <v>3672.93</v>
      </c>
      <c r="U53" s="182">
        <f>T53</f>
        <v>3672.93</v>
      </c>
      <c r="V53" s="179"/>
      <c r="W53" s="179"/>
      <c r="AA53" s="203"/>
      <c r="AD53" s="179" t="s">
        <v>409</v>
      </c>
      <c r="AE53" s="179"/>
      <c r="AF53" s="180"/>
      <c r="AG53" s="179"/>
      <c r="AH53" s="181">
        <f>+'Gtos Varios'!I14</f>
        <v>3672.93</v>
      </c>
      <c r="AI53" s="182">
        <f>AH53</f>
        <v>3672.93</v>
      </c>
      <c r="AJ53" s="179"/>
      <c r="AK53" s="179"/>
      <c r="AO53" s="203"/>
      <c r="AR53" s="179" t="s">
        <v>409</v>
      </c>
      <c r="AS53" s="179"/>
      <c r="AT53" s="180"/>
      <c r="AU53" s="179"/>
      <c r="AV53" s="181">
        <f>+'Gtos Varios'!I14</f>
        <v>3672.93</v>
      </c>
      <c r="AW53" s="182">
        <f>AV53</f>
        <v>3672.93</v>
      </c>
      <c r="AX53" s="179"/>
      <c r="AY53" s="179"/>
      <c r="BC53" s="203"/>
      <c r="BF53" s="179" t="s">
        <v>409</v>
      </c>
      <c r="BG53" s="179"/>
      <c r="BH53" s="180"/>
      <c r="BI53" s="179"/>
      <c r="BJ53" s="181">
        <f>+'Gtos Varios'!I14</f>
        <v>3672.93</v>
      </c>
      <c r="BK53" s="182">
        <f>BJ53</f>
        <v>3672.93</v>
      </c>
      <c r="BL53" s="179"/>
      <c r="BM53" s="179"/>
      <c r="BQ53" s="203"/>
      <c r="BT53" s="179" t="s">
        <v>409</v>
      </c>
      <c r="BU53" s="179"/>
      <c r="BV53" s="180"/>
      <c r="BW53" s="179"/>
      <c r="BX53" s="181">
        <f>+'Gtos Varios'!I14</f>
        <v>3672.93</v>
      </c>
      <c r="BY53" s="182">
        <f>BX53</f>
        <v>3672.93</v>
      </c>
      <c r="BZ53" s="179"/>
      <c r="CA53" s="179"/>
    </row>
    <row r="54" spans="1:79" ht="15" customHeight="1" x14ac:dyDescent="0.25">
      <c r="D54" s="147"/>
      <c r="R54" s="147"/>
      <c r="AF54" s="147"/>
      <c r="AT54" s="147"/>
      <c r="BH54" s="147"/>
      <c r="BV54" s="147"/>
    </row>
    <row r="55" spans="1:79" ht="15" customHeight="1" x14ac:dyDescent="0.25">
      <c r="D55" s="147"/>
      <c r="R55" s="147"/>
      <c r="AF55" s="147"/>
      <c r="AT55" s="147"/>
      <c r="BH55" s="147"/>
      <c r="BV55" s="147"/>
    </row>
    <row r="56" spans="1:79" ht="15" customHeight="1" thickBot="1" x14ac:dyDescent="0.3">
      <c r="F56" s="119">
        <f>SUM(F44:F55)</f>
        <v>32377.13</v>
      </c>
      <c r="G56" s="120">
        <f>SUM(G51:G55)</f>
        <v>6831.23</v>
      </c>
      <c r="H56" t="s">
        <v>412</v>
      </c>
      <c r="T56" s="119">
        <f>SUM(T44:T55)</f>
        <v>52607.13</v>
      </c>
      <c r="U56" s="120">
        <f>SUM(U51:U55)</f>
        <v>7438.13</v>
      </c>
      <c r="V56" t="s">
        <v>412</v>
      </c>
      <c r="AH56" s="119">
        <f>SUM(AH44:AH55)</f>
        <v>35947.129999999997</v>
      </c>
      <c r="AI56" s="120">
        <f>SUM(AI51:AI55)</f>
        <v>6938.33</v>
      </c>
      <c r="AJ56" t="s">
        <v>412</v>
      </c>
      <c r="AV56" s="119">
        <f>SUM(AV44:AV55)</f>
        <v>47847.13</v>
      </c>
      <c r="AW56" s="120">
        <f>SUM(AW51:AW55)</f>
        <v>7295.33</v>
      </c>
      <c r="AX56" t="s">
        <v>412</v>
      </c>
      <c r="BJ56" s="119">
        <f>SUM(BJ44:BJ55)</f>
        <v>37494.129999999997</v>
      </c>
      <c r="BK56" s="120">
        <f>SUM(BK51:BK55)</f>
        <v>6984.74</v>
      </c>
      <c r="BL56" t="s">
        <v>412</v>
      </c>
      <c r="BX56" s="119">
        <f>SUM(BX44:BX55)</f>
        <v>26427.13</v>
      </c>
      <c r="BY56" s="120">
        <f>SUM(BY51:BY55)</f>
        <v>6652.73</v>
      </c>
      <c r="BZ56" t="s">
        <v>412</v>
      </c>
    </row>
    <row r="57" spans="1:79" ht="15" customHeight="1" thickTop="1" x14ac:dyDescent="0.25">
      <c r="G57" s="108">
        <f>G56*49%</f>
        <v>3347.3026999999997</v>
      </c>
      <c r="H57" s="402">
        <v>0.49</v>
      </c>
      <c r="I57" t="s">
        <v>539</v>
      </c>
      <c r="U57" s="108">
        <f>U56*45%</f>
        <v>3347.1585</v>
      </c>
      <c r="V57" s="402">
        <v>0.45</v>
      </c>
      <c r="W57" t="s">
        <v>539</v>
      </c>
      <c r="AI57" s="108">
        <f>AI56*48%</f>
        <v>3330.3984</v>
      </c>
      <c r="AJ57" s="402">
        <v>0.48</v>
      </c>
      <c r="AK57" t="s">
        <v>539</v>
      </c>
      <c r="AW57" s="108">
        <f>AW56*46%</f>
        <v>3355.8517999999999</v>
      </c>
      <c r="AX57" s="402">
        <v>0.46</v>
      </c>
      <c r="AY57" t="s">
        <v>539</v>
      </c>
      <c r="BK57" s="108">
        <f>BK56*49%</f>
        <v>3422.5225999999998</v>
      </c>
      <c r="BL57" s="402">
        <v>0.49</v>
      </c>
      <c r="BM57" t="s">
        <v>539</v>
      </c>
      <c r="BY57" s="108">
        <f>BY56*51%</f>
        <v>3392.8923</v>
      </c>
      <c r="BZ57" s="402">
        <v>0.51</v>
      </c>
      <c r="CA57" t="s">
        <v>539</v>
      </c>
    </row>
    <row r="58" spans="1:79" ht="15" customHeight="1" thickBot="1" x14ac:dyDescent="0.3">
      <c r="G58" s="113">
        <f>G56+G57</f>
        <v>10178.5327</v>
      </c>
      <c r="H58" t="s">
        <v>414</v>
      </c>
      <c r="U58" s="113">
        <f>U56+U57</f>
        <v>10785.288500000001</v>
      </c>
      <c r="V58" t="s">
        <v>414</v>
      </c>
      <c r="AI58" s="113">
        <f>AI56+AI57</f>
        <v>10268.7284</v>
      </c>
      <c r="AJ58" t="s">
        <v>414</v>
      </c>
      <c r="AW58" s="113">
        <f>AW56+AW57</f>
        <v>10651.1818</v>
      </c>
      <c r="AX58" t="s">
        <v>414</v>
      </c>
      <c r="BK58" s="113">
        <f>BK56+BK57</f>
        <v>10407.2626</v>
      </c>
      <c r="BL58" t="s">
        <v>414</v>
      </c>
      <c r="BY58" s="113">
        <f>BY56+BY57</f>
        <v>10045.622299999999</v>
      </c>
      <c r="BZ58" t="s">
        <v>414</v>
      </c>
    </row>
    <row r="59" spans="1:79" ht="15" customHeight="1" thickTop="1" x14ac:dyDescent="0.25"/>
    <row r="65" spans="1:40" ht="15" customHeight="1" x14ac:dyDescent="0.25">
      <c r="C65" s="105" t="s">
        <v>406</v>
      </c>
      <c r="D65" t="s">
        <v>407</v>
      </c>
      <c r="Q65" s="105" t="s">
        <v>406</v>
      </c>
      <c r="R65" t="s">
        <v>407</v>
      </c>
      <c r="AE65" s="105" t="s">
        <v>406</v>
      </c>
      <c r="AF65" t="s">
        <v>407</v>
      </c>
    </row>
    <row r="66" spans="1:40" ht="15" customHeight="1" x14ac:dyDescent="0.25">
      <c r="C66" s="105"/>
      <c r="D66"/>
      <c r="Q66" s="105"/>
      <c r="R66"/>
      <c r="AE66" s="105"/>
      <c r="AF66"/>
    </row>
    <row r="67" spans="1:40" ht="15" customHeight="1" x14ac:dyDescent="0.25">
      <c r="B67" s="100" t="s">
        <v>61</v>
      </c>
      <c r="C67" s="1" t="s">
        <v>388</v>
      </c>
      <c r="D67"/>
      <c r="P67" s="100" t="s">
        <v>61</v>
      </c>
      <c r="Q67" s="1" t="s">
        <v>538</v>
      </c>
      <c r="R67"/>
      <c r="AD67" s="100" t="s">
        <v>61</v>
      </c>
      <c r="AE67" s="1" t="s">
        <v>541</v>
      </c>
      <c r="AF67"/>
    </row>
    <row r="68" spans="1:40" ht="15" customHeight="1" x14ac:dyDescent="0.25">
      <c r="B68" s="100" t="s">
        <v>62</v>
      </c>
      <c r="C68" s="1" t="str">
        <f>VLOOKUP(C67,LISTPROD[],2,FALSE)</f>
        <v>COLAGENO(Capsulas)</v>
      </c>
      <c r="D68"/>
      <c r="P68" s="100" t="s">
        <v>62</v>
      </c>
      <c r="Q68" s="1" t="str">
        <f>VLOOKUP(Q67,LISTPROD[],2,FALSE)</f>
        <v>RESVERATROL (Capsulas)</v>
      </c>
      <c r="R68"/>
      <c r="AD68" s="100" t="s">
        <v>62</v>
      </c>
      <c r="AE68" s="1" t="str">
        <f>VLOOKUP(AE67,LISTPROD[],2,FALSE)</f>
        <v>ASHWANDHA (Capsulas)</v>
      </c>
      <c r="AF68"/>
    </row>
    <row r="69" spans="1:40" ht="15" customHeight="1" x14ac:dyDescent="0.25">
      <c r="B69" s="100" t="s">
        <v>234</v>
      </c>
      <c r="C69" s="1" t="str">
        <f>VLOOKUP(C67,LISTPROD[],9,FALSE)</f>
        <v>CAPSULAS 60 UND</v>
      </c>
      <c r="D69"/>
      <c r="P69" s="100" t="s">
        <v>234</v>
      </c>
      <c r="Q69" s="1" t="str">
        <f>VLOOKUP(Q67,LISTPROD[],9,FALSE)</f>
        <v>CAPSULAS 60 UND</v>
      </c>
      <c r="R69"/>
      <c r="AD69" s="100" t="s">
        <v>234</v>
      </c>
      <c r="AE69" s="1" t="str">
        <f>VLOOKUP(AE67,LISTPROD[],9,FALSE)</f>
        <v>CAPSULAS 60 UND</v>
      </c>
      <c r="AF69"/>
    </row>
    <row r="70" spans="1:40" ht="15" customHeight="1" x14ac:dyDescent="0.25">
      <c r="B70" s="100" t="s">
        <v>239</v>
      </c>
      <c r="C70" s="1">
        <v>1</v>
      </c>
      <c r="D70" s="11"/>
      <c r="P70" s="100" t="s">
        <v>239</v>
      </c>
      <c r="Q70" s="1">
        <v>1</v>
      </c>
      <c r="R70" s="11"/>
      <c r="AD70" s="100" t="s">
        <v>239</v>
      </c>
      <c r="AE70" s="1">
        <v>1</v>
      </c>
      <c r="AF70" s="11"/>
    </row>
    <row r="71" spans="1:40" ht="15" customHeight="1" x14ac:dyDescent="0.25">
      <c r="B71" s="100" t="s">
        <v>240</v>
      </c>
      <c r="C71" s="1">
        <v>1</v>
      </c>
      <c r="D71"/>
      <c r="P71" s="100" t="s">
        <v>240</v>
      </c>
      <c r="Q71" s="1">
        <v>1</v>
      </c>
      <c r="R71"/>
      <c r="AD71" s="100" t="s">
        <v>240</v>
      </c>
      <c r="AE71" s="1">
        <v>1</v>
      </c>
      <c r="AF71"/>
    </row>
    <row r="72" spans="1:40" ht="15" customHeight="1" x14ac:dyDescent="0.25">
      <c r="B72" s="100" t="s">
        <v>238</v>
      </c>
      <c r="C72">
        <v>60</v>
      </c>
      <c r="D72" s="11" t="s">
        <v>520</v>
      </c>
      <c r="P72" s="100" t="s">
        <v>238</v>
      </c>
      <c r="Q72">
        <v>60</v>
      </c>
      <c r="R72" s="11" t="s">
        <v>520</v>
      </c>
      <c r="AD72" s="100" t="s">
        <v>238</v>
      </c>
      <c r="AE72">
        <v>60</v>
      </c>
      <c r="AF72" s="11" t="s">
        <v>520</v>
      </c>
    </row>
    <row r="73" spans="1:40" ht="15" customHeight="1" thickBot="1" x14ac:dyDescent="0.3">
      <c r="B73" s="110" t="s">
        <v>410</v>
      </c>
      <c r="C73" s="144">
        <v>0.5</v>
      </c>
      <c r="D73" s="145">
        <f>C73*C72</f>
        <v>30</v>
      </c>
      <c r="P73" s="110" t="s">
        <v>410</v>
      </c>
      <c r="Q73" s="144">
        <v>0.5</v>
      </c>
      <c r="R73" s="145">
        <f>Q73*Q72</f>
        <v>30</v>
      </c>
      <c r="AD73" s="110" t="s">
        <v>410</v>
      </c>
      <c r="AE73" s="144">
        <v>0.5</v>
      </c>
      <c r="AF73" s="145">
        <f>AE73*AE72</f>
        <v>30</v>
      </c>
    </row>
    <row r="74" spans="1:40" ht="15" customHeight="1" thickBot="1" x14ac:dyDescent="0.3">
      <c r="A74" s="115"/>
      <c r="B74" s="1520" t="s">
        <v>404</v>
      </c>
      <c r="C74" s="1521"/>
      <c r="D74" s="1522"/>
      <c r="E74" s="1522"/>
      <c r="F74" s="1522"/>
      <c r="G74" s="199"/>
      <c r="H74" s="1518" t="s">
        <v>416</v>
      </c>
      <c r="I74" s="1519"/>
      <c r="K74" s="1517" t="s">
        <v>454</v>
      </c>
      <c r="L74" s="1517"/>
      <c r="O74" s="115"/>
      <c r="P74" s="1520" t="s">
        <v>404</v>
      </c>
      <c r="Q74" s="1521"/>
      <c r="R74" s="1522"/>
      <c r="S74" s="1522"/>
      <c r="T74" s="1522"/>
      <c r="U74" s="199"/>
      <c r="V74" s="1518" t="s">
        <v>416</v>
      </c>
      <c r="W74" s="1519"/>
      <c r="X74" s="2"/>
      <c r="Y74" s="1517" t="s">
        <v>454</v>
      </c>
      <c r="Z74" s="1517"/>
      <c r="AC74" s="115"/>
      <c r="AD74" s="1520" t="s">
        <v>404</v>
      </c>
      <c r="AE74" s="1521"/>
      <c r="AF74" s="1522"/>
      <c r="AG74" s="1522"/>
      <c r="AH74" s="1522"/>
      <c r="AI74" s="199"/>
      <c r="AJ74" s="1518" t="s">
        <v>416</v>
      </c>
      <c r="AK74" s="1519"/>
      <c r="AM74" s="1517" t="s">
        <v>454</v>
      </c>
      <c r="AN74" s="1517"/>
    </row>
    <row r="75" spans="1:40" ht="30.75" customHeight="1" thickBot="1" x14ac:dyDescent="0.3">
      <c r="A75" s="202" t="s">
        <v>391</v>
      </c>
      <c r="B75" s="194" t="s">
        <v>511</v>
      </c>
      <c r="C75" s="195" t="s">
        <v>62</v>
      </c>
      <c r="D75" s="196" t="s">
        <v>399</v>
      </c>
      <c r="E75" s="197" t="s">
        <v>402</v>
      </c>
      <c r="F75" s="196" t="s">
        <v>399</v>
      </c>
      <c r="G75" s="201" t="s">
        <v>411</v>
      </c>
      <c r="H75" s="200" t="s">
        <v>408</v>
      </c>
      <c r="I75" s="198" t="s">
        <v>415</v>
      </c>
      <c r="K75" s="316" t="s">
        <v>603</v>
      </c>
      <c r="L75" s="316" t="s">
        <v>604</v>
      </c>
      <c r="O75" s="202" t="s">
        <v>391</v>
      </c>
      <c r="P75" s="194" t="s">
        <v>511</v>
      </c>
      <c r="Q75" s="195" t="s">
        <v>62</v>
      </c>
      <c r="R75" s="196" t="s">
        <v>399</v>
      </c>
      <c r="S75" s="197" t="s">
        <v>402</v>
      </c>
      <c r="T75" s="196" t="s">
        <v>399</v>
      </c>
      <c r="U75" s="201" t="s">
        <v>411</v>
      </c>
      <c r="V75" s="200" t="s">
        <v>408</v>
      </c>
      <c r="W75" s="198" t="s">
        <v>415</v>
      </c>
      <c r="X75" s="117"/>
      <c r="Y75" s="316" t="s">
        <v>603</v>
      </c>
      <c r="Z75" s="316" t="s">
        <v>604</v>
      </c>
      <c r="AC75" s="202" t="s">
        <v>391</v>
      </c>
      <c r="AD75" s="194" t="s">
        <v>511</v>
      </c>
      <c r="AE75" s="195" t="s">
        <v>62</v>
      </c>
      <c r="AF75" s="196" t="s">
        <v>399</v>
      </c>
      <c r="AG75" s="197" t="s">
        <v>402</v>
      </c>
      <c r="AH75" s="196" t="s">
        <v>399</v>
      </c>
      <c r="AI75" s="201" t="s">
        <v>411</v>
      </c>
      <c r="AJ75" s="200" t="s">
        <v>408</v>
      </c>
      <c r="AK75" s="198" t="s">
        <v>415</v>
      </c>
      <c r="AM75" s="316" t="s">
        <v>603</v>
      </c>
      <c r="AN75" s="316" t="s">
        <v>604</v>
      </c>
    </row>
    <row r="76" spans="1:40" ht="26.25" customHeight="1" x14ac:dyDescent="0.25">
      <c r="A76" s="204" t="s">
        <v>510</v>
      </c>
      <c r="B76" s="205" t="s">
        <v>400</v>
      </c>
      <c r="C76" s="206" t="s">
        <v>103</v>
      </c>
      <c r="D76" s="207">
        <f>'Prec Materia Prima y Empaq'!$H$70</f>
        <v>46000</v>
      </c>
      <c r="E76" s="208">
        <f t="shared" ref="E76" si="46">D76*19%</f>
        <v>8740</v>
      </c>
      <c r="F76" s="209">
        <f t="shared" ref="F76" si="47">+E76+D76</f>
        <v>54740</v>
      </c>
      <c r="G76" s="210">
        <f>F76/1000*C73*C72</f>
        <v>1642.2</v>
      </c>
      <c r="H76" s="211">
        <f>C73*C72</f>
        <v>30</v>
      </c>
      <c r="I76" s="212" t="s">
        <v>54</v>
      </c>
      <c r="K76" s="32">
        <f>H76/C72</f>
        <v>0.5</v>
      </c>
      <c r="L76" s="541">
        <f>F76/1000*K76</f>
        <v>27.37</v>
      </c>
      <c r="O76" s="204" t="s">
        <v>510</v>
      </c>
      <c r="P76" s="205" t="s">
        <v>400</v>
      </c>
      <c r="Q76" s="206" t="s">
        <v>661</v>
      </c>
      <c r="R76" s="207">
        <f>'Prec Materia Prima y Empaq'!$H$71</f>
        <v>260000</v>
      </c>
      <c r="S76" s="208">
        <f t="shared" ref="S76" si="48">R76*19%</f>
        <v>49400</v>
      </c>
      <c r="T76" s="209">
        <f t="shared" ref="T76" si="49">+S76+R76</f>
        <v>309400</v>
      </c>
      <c r="U76" s="210">
        <f>T76/1000*Q73*Q72</f>
        <v>9282</v>
      </c>
      <c r="V76" s="211">
        <f>Q73*Q72</f>
        <v>30</v>
      </c>
      <c r="W76" s="212" t="s">
        <v>54</v>
      </c>
      <c r="X76" s="213"/>
      <c r="Y76" s="32">
        <f>V76/Q72</f>
        <v>0.5</v>
      </c>
      <c r="Z76" s="541">
        <f>T76/1000*Y76</f>
        <v>154.69999999999999</v>
      </c>
      <c r="AC76" s="204" t="s">
        <v>510</v>
      </c>
      <c r="AD76" s="205" t="s">
        <v>400</v>
      </c>
      <c r="AE76" s="206" t="s">
        <v>662</v>
      </c>
      <c r="AF76" s="207">
        <f>'Prec Materia Prima y Empaq'!$H$72</f>
        <v>102000</v>
      </c>
      <c r="AG76" s="208">
        <f t="shared" ref="AG76" si="50">AF76*19%</f>
        <v>19380</v>
      </c>
      <c r="AH76" s="209">
        <f t="shared" ref="AH76" si="51">+AG76+AF76</f>
        <v>121380</v>
      </c>
      <c r="AI76" s="210">
        <f>AH76/1000*AE73*AE72</f>
        <v>3641.3999999999996</v>
      </c>
      <c r="AJ76" s="211">
        <f>AE73*AE72</f>
        <v>30</v>
      </c>
      <c r="AK76" s="212" t="s">
        <v>54</v>
      </c>
      <c r="AM76" s="32">
        <f>AJ76/AE72</f>
        <v>0.5</v>
      </c>
      <c r="AN76" s="541">
        <f>AH76/1000*AM76</f>
        <v>60.69</v>
      </c>
    </row>
    <row r="77" spans="1:40" ht="15" customHeight="1" x14ac:dyDescent="0.25">
      <c r="A77" s="216" t="s">
        <v>510</v>
      </c>
      <c r="B77" s="217" t="s">
        <v>393</v>
      </c>
      <c r="C77" s="218" t="s">
        <v>395</v>
      </c>
      <c r="D77" s="219">
        <f>'Prec Materia Prima y Empaq'!$H$155</f>
        <v>547</v>
      </c>
      <c r="E77" s="220">
        <f>D77*19%</f>
        <v>103.93</v>
      </c>
      <c r="F77" s="221">
        <f>+E77+D77</f>
        <v>650.93000000000006</v>
      </c>
      <c r="G77" s="222">
        <f>F77</f>
        <v>650.93000000000006</v>
      </c>
      <c r="H77" s="223">
        <v>1</v>
      </c>
      <c r="I77" s="224" t="s">
        <v>393</v>
      </c>
      <c r="K77" s="32">
        <v>1</v>
      </c>
      <c r="L77" s="541">
        <f>+K77*F77</f>
        <v>650.93000000000006</v>
      </c>
      <c r="O77" s="216" t="s">
        <v>510</v>
      </c>
      <c r="P77" s="217" t="s">
        <v>393</v>
      </c>
      <c r="Q77" s="218" t="s">
        <v>395</v>
      </c>
      <c r="R77" s="219">
        <f>'Prec Materia Prima y Empaq'!$H$155</f>
        <v>547</v>
      </c>
      <c r="S77" s="220">
        <f>R77*19%</f>
        <v>103.93</v>
      </c>
      <c r="T77" s="221">
        <f>+S77+R77</f>
        <v>650.93000000000006</v>
      </c>
      <c r="U77" s="222">
        <f>T77</f>
        <v>650.93000000000006</v>
      </c>
      <c r="V77" s="223">
        <v>1</v>
      </c>
      <c r="W77" s="224" t="s">
        <v>393</v>
      </c>
      <c r="X77" s="213"/>
      <c r="Y77" s="32">
        <v>1</v>
      </c>
      <c r="Z77" s="541">
        <f>+Y77*T77</f>
        <v>650.93000000000006</v>
      </c>
      <c r="AC77" s="216" t="s">
        <v>510</v>
      </c>
      <c r="AD77" s="217" t="s">
        <v>393</v>
      </c>
      <c r="AE77" s="218" t="s">
        <v>395</v>
      </c>
      <c r="AF77" s="219">
        <f>'Prec Materia Prima y Empaq'!$H$155</f>
        <v>547</v>
      </c>
      <c r="AG77" s="220">
        <f>AF77*19%</f>
        <v>103.93</v>
      </c>
      <c r="AH77" s="221">
        <f>+AG77+AF77</f>
        <v>650.93000000000006</v>
      </c>
      <c r="AI77" s="222">
        <f>AH77</f>
        <v>650.93000000000006</v>
      </c>
      <c r="AJ77" s="223">
        <v>1</v>
      </c>
      <c r="AK77" s="224" t="s">
        <v>393</v>
      </c>
      <c r="AM77" s="32">
        <v>1</v>
      </c>
      <c r="AN77" s="541">
        <f>+AM77*AH77</f>
        <v>650.93000000000006</v>
      </c>
    </row>
    <row r="78" spans="1:40" ht="15" customHeight="1" x14ac:dyDescent="0.25">
      <c r="A78" s="216" t="s">
        <v>510</v>
      </c>
      <c r="B78" s="217" t="s">
        <v>393</v>
      </c>
      <c r="C78" s="218" t="s">
        <v>508</v>
      </c>
      <c r="D78" s="219">
        <f>'Prec Materia Prima y Empaq'!$H$156</f>
        <v>17</v>
      </c>
      <c r="E78" s="220">
        <v>0</v>
      </c>
      <c r="F78" s="221">
        <f t="shared" ref="F78:F82" si="52">+E78+D78</f>
        <v>17</v>
      </c>
      <c r="G78" s="222">
        <f>C72*F78</f>
        <v>1020</v>
      </c>
      <c r="H78" s="223">
        <v>60</v>
      </c>
      <c r="I78" s="224" t="s">
        <v>393</v>
      </c>
      <c r="K78" s="32">
        <v>1</v>
      </c>
      <c r="L78" s="541">
        <f>+K78*F78</f>
        <v>17</v>
      </c>
      <c r="O78" s="216" t="s">
        <v>510</v>
      </c>
      <c r="P78" s="217" t="s">
        <v>393</v>
      </c>
      <c r="Q78" s="218" t="s">
        <v>508</v>
      </c>
      <c r="R78" s="219">
        <f>'Prec Materia Prima y Empaq'!$H$156</f>
        <v>17</v>
      </c>
      <c r="S78" s="220">
        <v>0</v>
      </c>
      <c r="T78" s="221">
        <f t="shared" ref="T78:T82" si="53">+S78+R78</f>
        <v>17</v>
      </c>
      <c r="U78" s="222">
        <f>Q72*T78</f>
        <v>1020</v>
      </c>
      <c r="V78" s="223">
        <v>60</v>
      </c>
      <c r="W78" s="224" t="s">
        <v>393</v>
      </c>
      <c r="X78" s="213"/>
      <c r="Y78" s="32">
        <v>1</v>
      </c>
      <c r="Z78" s="541">
        <f>+Y78*T78</f>
        <v>17</v>
      </c>
      <c r="AC78" s="216" t="s">
        <v>510</v>
      </c>
      <c r="AD78" s="217" t="s">
        <v>393</v>
      </c>
      <c r="AE78" s="218" t="s">
        <v>508</v>
      </c>
      <c r="AF78" s="219">
        <f>'Prec Materia Prima y Empaq'!$H$156</f>
        <v>17</v>
      </c>
      <c r="AG78" s="220">
        <v>0</v>
      </c>
      <c r="AH78" s="221">
        <f t="shared" ref="AH78:AH82" si="54">+AG78+AF78</f>
        <v>17</v>
      </c>
      <c r="AI78" s="222">
        <f>AE72*AH78</f>
        <v>1020</v>
      </c>
      <c r="AJ78" s="223">
        <v>60</v>
      </c>
      <c r="AK78" s="224" t="s">
        <v>393</v>
      </c>
      <c r="AM78" s="32">
        <v>1</v>
      </c>
      <c r="AN78" s="541">
        <f>+AM78*AH78</f>
        <v>17</v>
      </c>
    </row>
    <row r="79" spans="1:40" ht="15" customHeight="1" x14ac:dyDescent="0.25">
      <c r="A79" s="216" t="s">
        <v>368</v>
      </c>
      <c r="B79" s="217" t="s">
        <v>393</v>
      </c>
      <c r="C79" s="218" t="s">
        <v>371</v>
      </c>
      <c r="D79" s="219">
        <f>'Prec Materia Prima y Empaq'!$H$157</f>
        <v>252</v>
      </c>
      <c r="E79" s="220">
        <f t="shared" ref="E79:E80" si="55">D79*19%</f>
        <v>47.88</v>
      </c>
      <c r="F79" s="221">
        <f t="shared" si="52"/>
        <v>299.88</v>
      </c>
      <c r="G79" s="222">
        <f>F79</f>
        <v>299.88</v>
      </c>
      <c r="H79" s="223">
        <v>1</v>
      </c>
      <c r="I79" s="224" t="s">
        <v>393</v>
      </c>
      <c r="K79" s="32">
        <v>1</v>
      </c>
      <c r="L79" s="541">
        <f>+F79*K79</f>
        <v>299.88</v>
      </c>
      <c r="O79" s="216" t="s">
        <v>368</v>
      </c>
      <c r="P79" s="217" t="s">
        <v>393</v>
      </c>
      <c r="Q79" s="218" t="s">
        <v>371</v>
      </c>
      <c r="R79" s="219">
        <f>'Prec Materia Prima y Empaq'!$H$157</f>
        <v>252</v>
      </c>
      <c r="S79" s="220">
        <f t="shared" ref="S79:S80" si="56">R79*19%</f>
        <v>47.88</v>
      </c>
      <c r="T79" s="221">
        <f t="shared" si="53"/>
        <v>299.88</v>
      </c>
      <c r="U79" s="222">
        <f>T79</f>
        <v>299.88</v>
      </c>
      <c r="V79" s="223">
        <v>1</v>
      </c>
      <c r="W79" s="224" t="s">
        <v>393</v>
      </c>
      <c r="X79" s="213"/>
      <c r="Y79" s="32">
        <v>1</v>
      </c>
      <c r="Z79" s="541">
        <f>+T79*Y79</f>
        <v>299.88</v>
      </c>
      <c r="AC79" s="216" t="s">
        <v>368</v>
      </c>
      <c r="AD79" s="217" t="s">
        <v>393</v>
      </c>
      <c r="AE79" s="218" t="s">
        <v>371</v>
      </c>
      <c r="AF79" s="219">
        <f>'Prec Materia Prima y Empaq'!$H$157</f>
        <v>252</v>
      </c>
      <c r="AG79" s="220">
        <f t="shared" ref="AG79:AG80" si="57">AF79*19%</f>
        <v>47.88</v>
      </c>
      <c r="AH79" s="221">
        <f t="shared" si="54"/>
        <v>299.88</v>
      </c>
      <c r="AI79" s="222">
        <f>AH79</f>
        <v>299.88</v>
      </c>
      <c r="AJ79" s="223">
        <v>1</v>
      </c>
      <c r="AK79" s="224" t="s">
        <v>393</v>
      </c>
      <c r="AM79" s="32">
        <v>1</v>
      </c>
      <c r="AN79" s="541">
        <f>+AH79*AM79</f>
        <v>299.88</v>
      </c>
    </row>
    <row r="80" spans="1:40" ht="15" customHeight="1" x14ac:dyDescent="0.25">
      <c r="A80" s="216" t="s">
        <v>368</v>
      </c>
      <c r="B80" s="217" t="s">
        <v>393</v>
      </c>
      <c r="C80" s="218" t="s">
        <v>372</v>
      </c>
      <c r="D80" s="219">
        <f>'Prec Materia Prima y Empaq'!$H$158</f>
        <v>81</v>
      </c>
      <c r="E80" s="220">
        <f t="shared" si="55"/>
        <v>15.39</v>
      </c>
      <c r="F80" s="221">
        <f t="shared" si="52"/>
        <v>96.39</v>
      </c>
      <c r="G80" s="222">
        <f>F80</f>
        <v>96.39</v>
      </c>
      <c r="H80" s="223">
        <v>1</v>
      </c>
      <c r="I80" s="224" t="s">
        <v>393</v>
      </c>
      <c r="K80" s="32">
        <v>1</v>
      </c>
      <c r="L80" s="541">
        <f>+K80*F80</f>
        <v>96.39</v>
      </c>
      <c r="O80" s="216" t="s">
        <v>368</v>
      </c>
      <c r="P80" s="217" t="s">
        <v>393</v>
      </c>
      <c r="Q80" s="218" t="s">
        <v>372</v>
      </c>
      <c r="R80" s="219">
        <f>'Prec Materia Prima y Empaq'!$H$158</f>
        <v>81</v>
      </c>
      <c r="S80" s="220">
        <f t="shared" si="56"/>
        <v>15.39</v>
      </c>
      <c r="T80" s="221">
        <f t="shared" si="53"/>
        <v>96.39</v>
      </c>
      <c r="U80" s="222">
        <f>T80</f>
        <v>96.39</v>
      </c>
      <c r="V80" s="223">
        <v>1</v>
      </c>
      <c r="W80" s="224" t="s">
        <v>393</v>
      </c>
      <c r="X80" s="213"/>
      <c r="Y80" s="32">
        <v>1</v>
      </c>
      <c r="Z80" s="541">
        <f>+Y80*T80</f>
        <v>96.39</v>
      </c>
      <c r="AC80" s="216" t="s">
        <v>368</v>
      </c>
      <c r="AD80" s="217" t="s">
        <v>393</v>
      </c>
      <c r="AE80" s="218" t="s">
        <v>372</v>
      </c>
      <c r="AF80" s="219">
        <f>'Prec Materia Prima y Empaq'!$H$158</f>
        <v>81</v>
      </c>
      <c r="AG80" s="220">
        <f t="shared" si="57"/>
        <v>15.39</v>
      </c>
      <c r="AH80" s="221">
        <f t="shared" si="54"/>
        <v>96.39</v>
      </c>
      <c r="AI80" s="222">
        <f>AH80</f>
        <v>96.39</v>
      </c>
      <c r="AJ80" s="223">
        <v>1</v>
      </c>
      <c r="AK80" s="224" t="s">
        <v>393</v>
      </c>
      <c r="AM80" s="32">
        <v>1</v>
      </c>
      <c r="AN80" s="541">
        <f>+AM80*AH80</f>
        <v>96.39</v>
      </c>
    </row>
    <row r="81" spans="1:78" ht="15" customHeight="1" x14ac:dyDescent="0.25">
      <c r="A81" s="216" t="s">
        <v>368</v>
      </c>
      <c r="B81" s="225" t="s">
        <v>393</v>
      </c>
      <c r="C81" s="226" t="s">
        <v>401</v>
      </c>
      <c r="D81" s="219">
        <f>'Prec Materia Prima y Empaq'!$H$159</f>
        <v>150</v>
      </c>
      <c r="E81" s="227">
        <v>0</v>
      </c>
      <c r="F81" s="228">
        <f t="shared" si="52"/>
        <v>150</v>
      </c>
      <c r="G81" s="229">
        <f>F81</f>
        <v>150</v>
      </c>
      <c r="H81" s="230">
        <v>1</v>
      </c>
      <c r="I81" s="231" t="s">
        <v>393</v>
      </c>
      <c r="K81" s="32">
        <v>1</v>
      </c>
      <c r="L81" s="541">
        <f>+K81*F81</f>
        <v>150</v>
      </c>
      <c r="O81" s="216" t="s">
        <v>368</v>
      </c>
      <c r="P81" s="225" t="s">
        <v>393</v>
      </c>
      <c r="Q81" s="226" t="s">
        <v>401</v>
      </c>
      <c r="R81" s="219">
        <f>'Prec Materia Prima y Empaq'!$H$159</f>
        <v>150</v>
      </c>
      <c r="S81" s="227">
        <v>0</v>
      </c>
      <c r="T81" s="228">
        <f t="shared" si="53"/>
        <v>150</v>
      </c>
      <c r="U81" s="229">
        <f>T81</f>
        <v>150</v>
      </c>
      <c r="V81" s="230">
        <v>1</v>
      </c>
      <c r="W81" s="231" t="s">
        <v>393</v>
      </c>
      <c r="X81" s="213"/>
      <c r="Y81" s="32">
        <v>1</v>
      </c>
      <c r="Z81" s="541">
        <f>+Y81*T81</f>
        <v>150</v>
      </c>
      <c r="AC81" s="216" t="s">
        <v>368</v>
      </c>
      <c r="AD81" s="225" t="s">
        <v>393</v>
      </c>
      <c r="AE81" s="226" t="s">
        <v>401</v>
      </c>
      <c r="AF81" s="219">
        <f>'Prec Materia Prima y Empaq'!$H$159</f>
        <v>150</v>
      </c>
      <c r="AG81" s="227">
        <v>0</v>
      </c>
      <c r="AH81" s="228">
        <f t="shared" si="54"/>
        <v>150</v>
      </c>
      <c r="AI81" s="229">
        <f>AH81</f>
        <v>150</v>
      </c>
      <c r="AJ81" s="230">
        <v>1</v>
      </c>
      <c r="AK81" s="231" t="s">
        <v>393</v>
      </c>
      <c r="AM81" s="32">
        <v>1</v>
      </c>
      <c r="AN81" s="541">
        <f>+AM81*AH81</f>
        <v>150</v>
      </c>
      <c r="AT81" s="147"/>
      <c r="BH81" s="147"/>
      <c r="BV81" s="147"/>
    </row>
    <row r="82" spans="1:78" ht="15" customHeight="1" thickBot="1" x14ac:dyDescent="0.3">
      <c r="A82" s="232" t="s">
        <v>368</v>
      </c>
      <c r="B82" s="233" t="s">
        <v>393</v>
      </c>
      <c r="C82" s="234" t="s">
        <v>509</v>
      </c>
      <c r="D82" s="219">
        <f>'Prec Materia Prima y Empaq'!$H$160</f>
        <v>120</v>
      </c>
      <c r="E82" s="235">
        <v>0</v>
      </c>
      <c r="F82" s="236">
        <f t="shared" si="52"/>
        <v>120</v>
      </c>
      <c r="G82" s="237">
        <f>F82</f>
        <v>120</v>
      </c>
      <c r="H82" s="238">
        <v>1</v>
      </c>
      <c r="I82" s="239" t="s">
        <v>393</v>
      </c>
      <c r="K82" s="32">
        <v>1</v>
      </c>
      <c r="L82" s="541">
        <f>+F82*K82</f>
        <v>120</v>
      </c>
      <c r="O82" s="232" t="s">
        <v>368</v>
      </c>
      <c r="P82" s="233" t="s">
        <v>393</v>
      </c>
      <c r="Q82" s="234" t="s">
        <v>509</v>
      </c>
      <c r="R82" s="219">
        <f>'Prec Materia Prima y Empaq'!$H$160</f>
        <v>120</v>
      </c>
      <c r="S82" s="235">
        <v>0</v>
      </c>
      <c r="T82" s="236">
        <f t="shared" si="53"/>
        <v>120</v>
      </c>
      <c r="U82" s="237">
        <f>T82</f>
        <v>120</v>
      </c>
      <c r="V82" s="238">
        <v>1</v>
      </c>
      <c r="W82" s="239" t="s">
        <v>393</v>
      </c>
      <c r="X82" s="213"/>
      <c r="Y82" s="32">
        <v>1</v>
      </c>
      <c r="Z82" s="541">
        <f>+T82*Y82</f>
        <v>120</v>
      </c>
      <c r="AC82" s="232" t="s">
        <v>368</v>
      </c>
      <c r="AD82" s="233" t="s">
        <v>393</v>
      </c>
      <c r="AE82" s="234" t="s">
        <v>509</v>
      </c>
      <c r="AF82" s="219">
        <f>'Prec Materia Prima y Empaq'!$H$160</f>
        <v>120</v>
      </c>
      <c r="AG82" s="235">
        <v>0</v>
      </c>
      <c r="AH82" s="236">
        <f t="shared" si="54"/>
        <v>120</v>
      </c>
      <c r="AI82" s="237">
        <f>AH82</f>
        <v>120</v>
      </c>
      <c r="AJ82" s="238">
        <v>1</v>
      </c>
      <c r="AK82" s="239" t="s">
        <v>393</v>
      </c>
      <c r="AM82" s="32">
        <v>1</v>
      </c>
      <c r="AN82" s="541">
        <f>+AH82*AM82</f>
        <v>120</v>
      </c>
      <c r="AT82" s="147"/>
      <c r="BH82" s="147"/>
      <c r="BV82" s="147"/>
    </row>
    <row r="83" spans="1:78" ht="15" customHeight="1" thickBot="1" x14ac:dyDescent="0.3">
      <c r="A83" s="32"/>
      <c r="D83" s="147"/>
      <c r="E83" s="146"/>
      <c r="F83" s="108"/>
      <c r="G83" s="358">
        <f>SUM(G76:G82)</f>
        <v>3979.4</v>
      </c>
      <c r="H83" s="157" t="s">
        <v>454</v>
      </c>
      <c r="L83" s="542">
        <f>SUM(L76:L82)</f>
        <v>1361.5700000000002</v>
      </c>
      <c r="O83" s="32"/>
      <c r="R83" s="147"/>
      <c r="S83" s="146"/>
      <c r="T83" s="108"/>
      <c r="U83" s="358">
        <f>SUM(U76:U82)</f>
        <v>11619.199999999999</v>
      </c>
      <c r="V83" s="157" t="s">
        <v>454</v>
      </c>
      <c r="Z83" s="542">
        <f>SUM(Z76:Z82)</f>
        <v>1488.9000000000003</v>
      </c>
      <c r="AC83" s="32"/>
      <c r="AF83" s="147"/>
      <c r="AG83" s="146"/>
      <c r="AH83" s="108"/>
      <c r="AI83" s="358">
        <f>SUM(AI76:AI82)</f>
        <v>5978.6</v>
      </c>
      <c r="AJ83" s="157" t="s">
        <v>454</v>
      </c>
      <c r="AN83" s="542">
        <f>SUM(AN76:AN82)</f>
        <v>1394.89</v>
      </c>
      <c r="AQ83" s="32"/>
      <c r="AT83" s="147"/>
      <c r="AU83" s="146"/>
      <c r="AV83" s="108"/>
      <c r="AW83" s="108"/>
      <c r="AX83" s="157"/>
      <c r="BE83" s="32"/>
      <c r="BH83" s="147"/>
      <c r="BI83" s="146"/>
      <c r="BJ83" s="108"/>
      <c r="BK83" s="108"/>
      <c r="BL83" s="157"/>
      <c r="BS83" s="32"/>
      <c r="BV83" s="147"/>
      <c r="BW83" s="146"/>
      <c r="BX83" s="108"/>
      <c r="BY83" s="108"/>
      <c r="BZ83" s="157"/>
    </row>
    <row r="84" spans="1:78" ht="15" customHeight="1" thickTop="1" x14ac:dyDescent="0.25">
      <c r="A84" s="32"/>
      <c r="D84" s="147"/>
      <c r="E84" s="146"/>
      <c r="F84" s="108"/>
      <c r="G84" s="108"/>
      <c r="H84" s="32"/>
      <c r="O84" s="32"/>
      <c r="R84" s="147"/>
      <c r="S84" s="146"/>
      <c r="T84" s="108"/>
      <c r="U84" s="108"/>
      <c r="V84" s="32"/>
      <c r="AC84" s="32"/>
      <c r="AF84" s="147"/>
      <c r="AG84" s="146"/>
      <c r="AH84" s="108"/>
      <c r="AI84" s="108"/>
      <c r="AJ84" s="32"/>
      <c r="AQ84" s="32"/>
      <c r="AT84" s="147"/>
      <c r="AU84" s="146"/>
      <c r="AV84" s="108"/>
      <c r="AW84" s="108"/>
      <c r="AX84" s="32"/>
      <c r="BE84" s="32"/>
      <c r="BH84" s="147"/>
      <c r="BI84" s="146"/>
      <c r="BJ84" s="108"/>
      <c r="BK84" s="108"/>
      <c r="BL84" s="32"/>
      <c r="BS84" s="32"/>
      <c r="BV84" s="147"/>
      <c r="BW84" s="146"/>
      <c r="BX84" s="108"/>
      <c r="BY84" s="108"/>
      <c r="BZ84" s="32"/>
    </row>
    <row r="85" spans="1:78" s="178" customFormat="1" ht="15" customHeight="1" x14ac:dyDescent="0.25">
      <c r="B85" s="179" t="s">
        <v>409</v>
      </c>
      <c r="C85" s="179"/>
      <c r="D85" s="180"/>
      <c r="E85" s="179"/>
      <c r="F85" s="181">
        <f>+'Gtos Varios'!I14</f>
        <v>3672.93</v>
      </c>
      <c r="G85" s="182">
        <f>F85</f>
        <v>3672.93</v>
      </c>
      <c r="H85" s="179"/>
      <c r="I85" s="179"/>
      <c r="L85" s="543"/>
      <c r="M85" s="183"/>
      <c r="P85" s="179" t="s">
        <v>409</v>
      </c>
      <c r="Q85" s="179"/>
      <c r="R85" s="180"/>
      <c r="S85" s="179"/>
      <c r="T85" s="181">
        <f>+'Gtos Varios'!I14</f>
        <v>3672.93</v>
      </c>
      <c r="U85" s="182">
        <f>T85</f>
        <v>3672.93</v>
      </c>
      <c r="V85" s="179"/>
      <c r="W85" s="179"/>
      <c r="AA85" s="203"/>
      <c r="AD85" s="179" t="s">
        <v>409</v>
      </c>
      <c r="AE85" s="179"/>
      <c r="AF85" s="180"/>
      <c r="AG85" s="179"/>
      <c r="AH85" s="181">
        <f>+'Gtos Varios'!I14</f>
        <v>3672.93</v>
      </c>
      <c r="AI85" s="182">
        <f>AH85</f>
        <v>3672.93</v>
      </c>
      <c r="AJ85" s="179"/>
      <c r="AK85" s="179"/>
      <c r="AO85" s="203"/>
      <c r="AT85" s="363"/>
      <c r="AV85" s="364"/>
      <c r="AW85" s="365"/>
      <c r="BC85" s="203"/>
      <c r="BH85" s="363"/>
      <c r="BJ85" s="364"/>
      <c r="BK85" s="365"/>
      <c r="BQ85" s="203"/>
      <c r="BV85" s="363"/>
      <c r="BX85" s="364"/>
      <c r="BY85" s="365"/>
    </row>
    <row r="86" spans="1:78" ht="15" customHeight="1" x14ac:dyDescent="0.25">
      <c r="D86" s="147"/>
      <c r="R86" s="147"/>
      <c r="AF86" s="147"/>
      <c r="AT86" s="147"/>
      <c r="BH86" s="147"/>
      <c r="BV86" s="147"/>
    </row>
    <row r="87" spans="1:78" ht="15" customHeight="1" x14ac:dyDescent="0.25">
      <c r="D87" s="147"/>
      <c r="R87" s="147"/>
      <c r="AF87" s="147"/>
      <c r="AT87" s="147"/>
      <c r="BH87" s="147"/>
      <c r="BV87" s="147"/>
    </row>
    <row r="88" spans="1:78" ht="15" customHeight="1" thickBot="1" x14ac:dyDescent="0.3">
      <c r="F88" s="119">
        <f>SUM(F76:F87)</f>
        <v>59747.13</v>
      </c>
      <c r="G88" s="120">
        <f>SUM(G83:G87)</f>
        <v>7652.33</v>
      </c>
      <c r="H88" t="s">
        <v>412</v>
      </c>
      <c r="T88" s="119">
        <f>SUM(T76:T87)</f>
        <v>314407.13</v>
      </c>
      <c r="U88" s="120">
        <f>SUM(U83:U87)</f>
        <v>15292.13</v>
      </c>
      <c r="V88" t="s">
        <v>412</v>
      </c>
      <c r="AH88" s="119">
        <f>SUM(AH76:AH87)</f>
        <v>126387.12999999999</v>
      </c>
      <c r="AI88" s="120">
        <f>SUM(AI83:AI87)</f>
        <v>9651.5300000000007</v>
      </c>
      <c r="AJ88" t="s">
        <v>412</v>
      </c>
      <c r="AT88" s="147"/>
      <c r="BH88" s="147"/>
      <c r="BV88" s="147"/>
    </row>
    <row r="89" spans="1:78" ht="15" customHeight="1" thickTop="1" x14ac:dyDescent="0.25">
      <c r="G89" s="108">
        <f>G88*43%</f>
        <v>3290.5018999999998</v>
      </c>
      <c r="H89" s="402">
        <v>0.43</v>
      </c>
      <c r="I89" t="s">
        <v>539</v>
      </c>
      <c r="U89" s="108">
        <f>U88*21%</f>
        <v>3211.3472999999999</v>
      </c>
      <c r="V89" s="402">
        <v>0.21</v>
      </c>
      <c r="W89" t="s">
        <v>539</v>
      </c>
      <c r="AI89" s="108">
        <f>AI88*34%</f>
        <v>3281.5202000000004</v>
      </c>
      <c r="AJ89" s="402">
        <v>0.34</v>
      </c>
      <c r="AK89" t="s">
        <v>539</v>
      </c>
    </row>
    <row r="90" spans="1:78" ht="15" customHeight="1" thickBot="1" x14ac:dyDescent="0.3">
      <c r="G90" s="113">
        <f>G88+G89</f>
        <v>10942.831899999999</v>
      </c>
      <c r="H90" t="s">
        <v>414</v>
      </c>
      <c r="U90" s="113">
        <f>U88+U89</f>
        <v>18503.477299999999</v>
      </c>
      <c r="V90" t="s">
        <v>414</v>
      </c>
      <c r="AI90" s="113">
        <f>AI88+AI89</f>
        <v>12933.050200000001</v>
      </c>
      <c r="AJ90" t="s">
        <v>414</v>
      </c>
    </row>
    <row r="91" spans="1:78" ht="15" customHeight="1" thickTop="1" x14ac:dyDescent="0.25"/>
    <row r="96" spans="1:78" ht="15" customHeight="1" x14ac:dyDescent="0.25">
      <c r="C96" s="105" t="s">
        <v>406</v>
      </c>
      <c r="D96" t="s">
        <v>407</v>
      </c>
    </row>
    <row r="97" spans="1:12" ht="15" customHeight="1" x14ac:dyDescent="0.25">
      <c r="C97" s="105"/>
      <c r="D97"/>
    </row>
    <row r="98" spans="1:12" ht="15" customHeight="1" x14ac:dyDescent="0.25">
      <c r="B98" s="100" t="s">
        <v>61</v>
      </c>
      <c r="C98" s="1" t="s">
        <v>627</v>
      </c>
      <c r="D98"/>
    </row>
    <row r="99" spans="1:12" ht="15" customHeight="1" x14ac:dyDescent="0.25">
      <c r="B99" s="100" t="s">
        <v>62</v>
      </c>
      <c r="C99" s="1" t="str">
        <f>VLOOKUP(C98,LISTPROD[],2,FALSE)</f>
        <v>CHANCA PIEDRA(Capsulas)</v>
      </c>
      <c r="D99"/>
    </row>
    <row r="100" spans="1:12" ht="15" customHeight="1" x14ac:dyDescent="0.25">
      <c r="B100" s="100" t="s">
        <v>234</v>
      </c>
      <c r="C100" s="1" t="str">
        <f>VLOOKUP(C98,LISTPROD[],9,FALSE)</f>
        <v>CAPSULAS 60 UND</v>
      </c>
      <c r="D100"/>
    </row>
    <row r="101" spans="1:12" ht="15" customHeight="1" x14ac:dyDescent="0.25">
      <c r="B101" s="100" t="s">
        <v>239</v>
      </c>
      <c r="C101" s="1">
        <v>1</v>
      </c>
      <c r="D101" s="11"/>
    </row>
    <row r="102" spans="1:12" ht="15" customHeight="1" x14ac:dyDescent="0.25">
      <c r="B102" s="100" t="s">
        <v>240</v>
      </c>
      <c r="C102" s="1">
        <v>1</v>
      </c>
      <c r="D102"/>
    </row>
    <row r="103" spans="1:12" ht="15" customHeight="1" x14ac:dyDescent="0.25">
      <c r="B103" s="100" t="s">
        <v>238</v>
      </c>
      <c r="C103">
        <v>60</v>
      </c>
      <c r="D103" s="11" t="s">
        <v>520</v>
      </c>
    </row>
    <row r="104" spans="1:12" ht="15" customHeight="1" thickBot="1" x14ac:dyDescent="0.3">
      <c r="B104" s="110" t="s">
        <v>410</v>
      </c>
      <c r="C104" s="144">
        <v>0.5</v>
      </c>
      <c r="D104" s="145">
        <f>C104*C103</f>
        <v>30</v>
      </c>
    </row>
    <row r="105" spans="1:12" ht="15" customHeight="1" thickBot="1" x14ac:dyDescent="0.3">
      <c r="A105" s="115"/>
      <c r="B105" s="1520" t="s">
        <v>404</v>
      </c>
      <c r="C105" s="1521"/>
      <c r="D105" s="1522"/>
      <c r="E105" s="1522"/>
      <c r="F105" s="1522"/>
      <c r="G105" s="199"/>
      <c r="H105" s="1518" t="s">
        <v>416</v>
      </c>
      <c r="I105" s="1519"/>
      <c r="K105" s="1517" t="s">
        <v>454</v>
      </c>
      <c r="L105" s="1517"/>
    </row>
    <row r="106" spans="1:12" ht="15" customHeight="1" thickBot="1" x14ac:dyDescent="0.3">
      <c r="A106" s="202" t="s">
        <v>391</v>
      </c>
      <c r="B106" s="194" t="s">
        <v>511</v>
      </c>
      <c r="C106" s="195" t="s">
        <v>62</v>
      </c>
      <c r="D106" s="196" t="s">
        <v>399</v>
      </c>
      <c r="E106" s="197" t="s">
        <v>402</v>
      </c>
      <c r="F106" s="196" t="s">
        <v>399</v>
      </c>
      <c r="G106" s="201" t="s">
        <v>411</v>
      </c>
      <c r="H106" s="200" t="s">
        <v>408</v>
      </c>
      <c r="I106" s="198" t="s">
        <v>415</v>
      </c>
      <c r="K106" s="316" t="s">
        <v>603</v>
      </c>
      <c r="L106" s="316" t="s">
        <v>604</v>
      </c>
    </row>
    <row r="107" spans="1:12" ht="41.25" customHeight="1" x14ac:dyDescent="0.25">
      <c r="A107" s="204" t="s">
        <v>510</v>
      </c>
      <c r="B107" s="205" t="s">
        <v>400</v>
      </c>
      <c r="C107" s="206" t="s">
        <v>98</v>
      </c>
      <c r="D107" s="207">
        <f>'Prec Materia Prima y Empaq'!$H$73</f>
        <v>70000</v>
      </c>
      <c r="E107" s="208">
        <f t="shared" ref="E107" si="58">D107*19%</f>
        <v>13300</v>
      </c>
      <c r="F107" s="209">
        <f t="shared" ref="F107" si="59">+E107+D107</f>
        <v>83300</v>
      </c>
      <c r="G107" s="210">
        <f>F107/1000*C104*C103</f>
        <v>2499</v>
      </c>
      <c r="H107" s="211">
        <f>C104*C103</f>
        <v>30</v>
      </c>
      <c r="I107" s="212" t="s">
        <v>54</v>
      </c>
      <c r="K107" s="32">
        <f>H107/C103</f>
        <v>0.5</v>
      </c>
      <c r="L107" s="541">
        <f>F107/1000*K107</f>
        <v>41.65</v>
      </c>
    </row>
    <row r="108" spans="1:12" ht="15" customHeight="1" x14ac:dyDescent="0.25">
      <c r="A108" s="216" t="s">
        <v>510</v>
      </c>
      <c r="B108" s="217" t="s">
        <v>393</v>
      </c>
      <c r="C108" s="218" t="s">
        <v>395</v>
      </c>
      <c r="D108" s="219">
        <f>'Prec Materia Prima y Empaq'!$H$155</f>
        <v>547</v>
      </c>
      <c r="E108" s="220">
        <f>D108*19%</f>
        <v>103.93</v>
      </c>
      <c r="F108" s="221">
        <f>+E108+D108</f>
        <v>650.93000000000006</v>
      </c>
      <c r="G108" s="222">
        <f>F108</f>
        <v>650.93000000000006</v>
      </c>
      <c r="H108" s="223">
        <v>1</v>
      </c>
      <c r="I108" s="224" t="s">
        <v>393</v>
      </c>
      <c r="K108" s="32">
        <v>1</v>
      </c>
      <c r="L108" s="541">
        <f>+K108*F108</f>
        <v>650.93000000000006</v>
      </c>
    </row>
    <row r="109" spans="1:12" ht="15" customHeight="1" x14ac:dyDescent="0.25">
      <c r="A109" s="216" t="s">
        <v>510</v>
      </c>
      <c r="B109" s="217" t="s">
        <v>393</v>
      </c>
      <c r="C109" s="218" t="s">
        <v>508</v>
      </c>
      <c r="D109" s="219">
        <f>'Prec Materia Prima y Empaq'!$H$156</f>
        <v>17</v>
      </c>
      <c r="E109" s="220">
        <v>0</v>
      </c>
      <c r="F109" s="221">
        <f t="shared" ref="F109:F113" si="60">+E109+D109</f>
        <v>17</v>
      </c>
      <c r="G109" s="222">
        <f>C103*F109</f>
        <v>1020</v>
      </c>
      <c r="H109" s="223">
        <v>60</v>
      </c>
      <c r="I109" s="224" t="s">
        <v>393</v>
      </c>
      <c r="K109" s="32">
        <v>1</v>
      </c>
      <c r="L109" s="541">
        <f>+K109*F109</f>
        <v>17</v>
      </c>
    </row>
    <row r="110" spans="1:12" ht="15" customHeight="1" x14ac:dyDescent="0.25">
      <c r="A110" s="216" t="s">
        <v>368</v>
      </c>
      <c r="B110" s="217" t="s">
        <v>393</v>
      </c>
      <c r="C110" s="218" t="s">
        <v>371</v>
      </c>
      <c r="D110" s="219">
        <f>'Prec Materia Prima y Empaq'!$H$157</f>
        <v>252</v>
      </c>
      <c r="E110" s="220">
        <f t="shared" ref="E110:E111" si="61">D110*19%</f>
        <v>47.88</v>
      </c>
      <c r="F110" s="221">
        <f t="shared" si="60"/>
        <v>299.88</v>
      </c>
      <c r="G110" s="222">
        <f>F110</f>
        <v>299.88</v>
      </c>
      <c r="H110" s="223">
        <v>1</v>
      </c>
      <c r="I110" s="224" t="s">
        <v>393</v>
      </c>
      <c r="K110" s="32">
        <v>1</v>
      </c>
      <c r="L110" s="541">
        <f>+F110*K110</f>
        <v>299.88</v>
      </c>
    </row>
    <row r="111" spans="1:12" ht="15" customHeight="1" x14ac:dyDescent="0.25">
      <c r="A111" s="216" t="s">
        <v>368</v>
      </c>
      <c r="B111" s="217" t="s">
        <v>393</v>
      </c>
      <c r="C111" s="218" t="s">
        <v>372</v>
      </c>
      <c r="D111" s="219">
        <f>'Prec Materia Prima y Empaq'!$H$158</f>
        <v>81</v>
      </c>
      <c r="E111" s="220">
        <f t="shared" si="61"/>
        <v>15.39</v>
      </c>
      <c r="F111" s="221">
        <f t="shared" si="60"/>
        <v>96.39</v>
      </c>
      <c r="G111" s="222">
        <f>F111</f>
        <v>96.39</v>
      </c>
      <c r="H111" s="223">
        <v>1</v>
      </c>
      <c r="I111" s="224" t="s">
        <v>393</v>
      </c>
      <c r="K111" s="32">
        <v>1</v>
      </c>
      <c r="L111" s="541">
        <f>+K111*F111</f>
        <v>96.39</v>
      </c>
    </row>
    <row r="112" spans="1:12" ht="15" customHeight="1" x14ac:dyDescent="0.25">
      <c r="A112" s="216" t="s">
        <v>368</v>
      </c>
      <c r="B112" s="225" t="s">
        <v>393</v>
      </c>
      <c r="C112" s="226" t="s">
        <v>401</v>
      </c>
      <c r="D112" s="219">
        <f>'Prec Materia Prima y Empaq'!$H$159</f>
        <v>150</v>
      </c>
      <c r="E112" s="227">
        <v>0</v>
      </c>
      <c r="F112" s="228">
        <f t="shared" si="60"/>
        <v>150</v>
      </c>
      <c r="G112" s="229">
        <f>F112</f>
        <v>150</v>
      </c>
      <c r="H112" s="230">
        <v>1</v>
      </c>
      <c r="I112" s="231" t="s">
        <v>393</v>
      </c>
      <c r="K112" s="32">
        <v>1</v>
      </c>
      <c r="L112" s="541">
        <f>+K112*F112</f>
        <v>150</v>
      </c>
    </row>
    <row r="113" spans="1:12" ht="15" customHeight="1" thickBot="1" x14ac:dyDescent="0.3">
      <c r="A113" s="232" t="s">
        <v>368</v>
      </c>
      <c r="B113" s="233" t="s">
        <v>393</v>
      </c>
      <c r="C113" s="234" t="s">
        <v>509</v>
      </c>
      <c r="D113" s="219">
        <f>'Prec Materia Prima y Empaq'!$H$160</f>
        <v>120</v>
      </c>
      <c r="E113" s="235">
        <v>0</v>
      </c>
      <c r="F113" s="236">
        <f t="shared" si="60"/>
        <v>120</v>
      </c>
      <c r="G113" s="237">
        <f>F113</f>
        <v>120</v>
      </c>
      <c r="H113" s="238">
        <v>1</v>
      </c>
      <c r="I113" s="239" t="s">
        <v>393</v>
      </c>
      <c r="K113" s="32">
        <v>1</v>
      </c>
      <c r="L113" s="541">
        <f>+F113*K113</f>
        <v>120</v>
      </c>
    </row>
    <row r="114" spans="1:12" ht="15" customHeight="1" thickBot="1" x14ac:dyDescent="0.3">
      <c r="A114" s="32"/>
      <c r="D114" s="147"/>
      <c r="E114" s="146"/>
      <c r="F114" s="108"/>
      <c r="G114" s="358">
        <f>SUM(G107:G113)</f>
        <v>4836.2000000000007</v>
      </c>
      <c r="H114" s="157" t="s">
        <v>454</v>
      </c>
      <c r="L114" s="542">
        <f>SUM(L107:L113)</f>
        <v>1375.8500000000001</v>
      </c>
    </row>
    <row r="115" spans="1:12" ht="15" customHeight="1" thickTop="1" x14ac:dyDescent="0.25">
      <c r="A115" s="32"/>
      <c r="D115" s="147"/>
      <c r="E115" s="146"/>
      <c r="F115" s="108"/>
      <c r="G115" s="108"/>
      <c r="H115" s="32"/>
    </row>
    <row r="116" spans="1:12" ht="15" customHeight="1" x14ac:dyDescent="0.25">
      <c r="A116" s="178"/>
      <c r="B116" s="179" t="s">
        <v>409</v>
      </c>
      <c r="C116" s="179"/>
      <c r="D116" s="180"/>
      <c r="E116" s="179"/>
      <c r="F116" s="181">
        <f>+'Gtos Varios'!I14</f>
        <v>3672.93</v>
      </c>
      <c r="G116" s="182">
        <f>F116</f>
        <v>3672.93</v>
      </c>
      <c r="H116" s="179"/>
      <c r="I116" s="179"/>
    </row>
    <row r="117" spans="1:12" ht="15" customHeight="1" x14ac:dyDescent="0.25">
      <c r="D117" s="147"/>
    </row>
    <row r="118" spans="1:12" ht="15" customHeight="1" x14ac:dyDescent="0.25">
      <c r="D118" s="147"/>
    </row>
    <row r="119" spans="1:12" ht="15" customHeight="1" thickBot="1" x14ac:dyDescent="0.3">
      <c r="F119" s="119">
        <f>SUM(F107:F118)</f>
        <v>88307.12999999999</v>
      </c>
      <c r="G119" s="120">
        <f>SUM(G114:G118)</f>
        <v>8509.130000000001</v>
      </c>
      <c r="H119" t="s">
        <v>412</v>
      </c>
    </row>
    <row r="120" spans="1:12" ht="15" customHeight="1" thickTop="1" x14ac:dyDescent="0.25">
      <c r="G120" s="108">
        <f>G119*38%</f>
        <v>3233.4694000000004</v>
      </c>
      <c r="H120" s="402">
        <v>0.38</v>
      </c>
      <c r="I120" t="s">
        <v>539</v>
      </c>
    </row>
    <row r="121" spans="1:12" ht="15" customHeight="1" thickBot="1" x14ac:dyDescent="0.3">
      <c r="G121" s="113">
        <f>G119+G120</f>
        <v>11742.599400000001</v>
      </c>
      <c r="H121" t="s">
        <v>414</v>
      </c>
    </row>
    <row r="122" spans="1:12" ht="15" customHeight="1" thickTop="1" x14ac:dyDescent="0.25"/>
    <row r="127" spans="1:12" ht="15" customHeight="1" x14ac:dyDescent="0.25">
      <c r="C127" s="105" t="s">
        <v>406</v>
      </c>
      <c r="D127" t="s">
        <v>407</v>
      </c>
    </row>
    <row r="128" spans="1:12" ht="15" customHeight="1" x14ac:dyDescent="0.25">
      <c r="C128" s="105"/>
      <c r="D128"/>
    </row>
    <row r="129" spans="1:12" ht="15" customHeight="1" x14ac:dyDescent="0.25">
      <c r="B129" s="426" t="s">
        <v>61</v>
      </c>
      <c r="C129" s="21" t="s">
        <v>1151</v>
      </c>
      <c r="D129"/>
    </row>
    <row r="130" spans="1:12" ht="15" customHeight="1" x14ac:dyDescent="0.25">
      <c r="B130" s="426" t="s">
        <v>62</v>
      </c>
      <c r="C130" s="21" t="str">
        <f>VLOOKUP(C129,LISTPROD[],2,FALSE)</f>
        <v>COLAGENO HIDROLIZADO MARINO CAPSULAS</v>
      </c>
      <c r="D130"/>
    </row>
    <row r="131" spans="1:12" ht="15" customHeight="1" x14ac:dyDescent="0.25">
      <c r="B131" s="100" t="s">
        <v>234</v>
      </c>
      <c r="C131" s="1">
        <f>VLOOKUP(C129,LISTPROD[],9,FALSE)</f>
        <v>0</v>
      </c>
      <c r="D131"/>
    </row>
    <row r="132" spans="1:12" ht="15" customHeight="1" x14ac:dyDescent="0.25">
      <c r="B132" s="100" t="s">
        <v>239</v>
      </c>
      <c r="C132" s="1">
        <v>1</v>
      </c>
      <c r="D132" s="11"/>
    </row>
    <row r="133" spans="1:12" ht="15" customHeight="1" x14ac:dyDescent="0.25">
      <c r="B133" s="100" t="s">
        <v>240</v>
      </c>
      <c r="C133" s="1">
        <v>1</v>
      </c>
      <c r="D133"/>
    </row>
    <row r="134" spans="1:12" ht="15" customHeight="1" x14ac:dyDescent="0.25">
      <c r="B134" s="100" t="s">
        <v>238</v>
      </c>
      <c r="C134">
        <v>60</v>
      </c>
      <c r="D134" s="11" t="s">
        <v>520</v>
      </c>
    </row>
    <row r="135" spans="1:12" ht="15" customHeight="1" thickBot="1" x14ac:dyDescent="0.3">
      <c r="B135" s="110" t="s">
        <v>410</v>
      </c>
      <c r="C135" s="144">
        <v>0.5</v>
      </c>
      <c r="D135" s="145">
        <f>C135*C134</f>
        <v>30</v>
      </c>
    </row>
    <row r="136" spans="1:12" ht="15" customHeight="1" thickBot="1" x14ac:dyDescent="0.3">
      <c r="A136" s="115"/>
      <c r="B136" s="1520" t="s">
        <v>404</v>
      </c>
      <c r="C136" s="1521"/>
      <c r="D136" s="1522"/>
      <c r="E136" s="1522"/>
      <c r="F136" s="1522"/>
      <c r="G136" s="199"/>
      <c r="H136" s="1518" t="s">
        <v>416</v>
      </c>
      <c r="I136" s="1519"/>
      <c r="K136" s="1517" t="s">
        <v>454</v>
      </c>
      <c r="L136" s="1517"/>
    </row>
    <row r="137" spans="1:12" ht="15" customHeight="1" thickBot="1" x14ac:dyDescent="0.3">
      <c r="A137" s="202" t="s">
        <v>391</v>
      </c>
      <c r="B137" s="194" t="s">
        <v>511</v>
      </c>
      <c r="C137" s="195" t="s">
        <v>62</v>
      </c>
      <c r="D137" s="196" t="s">
        <v>399</v>
      </c>
      <c r="E137" s="197" t="s">
        <v>402</v>
      </c>
      <c r="F137" s="196" t="s">
        <v>399</v>
      </c>
      <c r="G137" s="201" t="s">
        <v>411</v>
      </c>
      <c r="H137" s="200" t="s">
        <v>408</v>
      </c>
      <c r="I137" s="198" t="s">
        <v>415</v>
      </c>
      <c r="K137" s="316" t="s">
        <v>603</v>
      </c>
      <c r="L137" s="316" t="s">
        <v>604</v>
      </c>
    </row>
    <row r="138" spans="1:12" ht="15" customHeight="1" x14ac:dyDescent="0.25">
      <c r="A138" s="204" t="s">
        <v>510</v>
      </c>
      <c r="B138" s="205" t="s">
        <v>400</v>
      </c>
      <c r="C138" s="706" t="s">
        <v>98</v>
      </c>
      <c r="D138" s="710">
        <f>'Prec Materia Prima y Empaq'!$H$73</f>
        <v>70000</v>
      </c>
      <c r="E138" s="208">
        <f t="shared" ref="E138" si="62">D138*19%</f>
        <v>13300</v>
      </c>
      <c r="F138" s="209">
        <f t="shared" ref="F138" si="63">+E138+D138</f>
        <v>83300</v>
      </c>
      <c r="G138" s="210">
        <f>F138/1000*C135*C134</f>
        <v>2499</v>
      </c>
      <c r="H138" s="211">
        <f>C135*C134</f>
        <v>30</v>
      </c>
      <c r="I138" s="212" t="s">
        <v>54</v>
      </c>
      <c r="K138" s="32">
        <f>H138/C134</f>
        <v>0.5</v>
      </c>
      <c r="L138" s="541">
        <f>F138/1000*K138</f>
        <v>41.65</v>
      </c>
    </row>
    <row r="139" spans="1:12" ht="15" customHeight="1" x14ac:dyDescent="0.25">
      <c r="A139" s="216" t="s">
        <v>510</v>
      </c>
      <c r="B139" s="217" t="s">
        <v>393</v>
      </c>
      <c r="C139" s="707" t="s">
        <v>395</v>
      </c>
      <c r="D139" s="711">
        <f>'Prec Materia Prima y Empaq'!$H$155</f>
        <v>547</v>
      </c>
      <c r="E139" s="220">
        <f>D139*19%</f>
        <v>103.93</v>
      </c>
      <c r="F139" s="221">
        <f>+E139+D139</f>
        <v>650.93000000000006</v>
      </c>
      <c r="G139" s="222">
        <f>F139</f>
        <v>650.93000000000006</v>
      </c>
      <c r="H139" s="223">
        <v>1</v>
      </c>
      <c r="I139" s="224" t="s">
        <v>393</v>
      </c>
      <c r="K139" s="32">
        <v>1</v>
      </c>
      <c r="L139" s="541">
        <f>+K139*F139</f>
        <v>650.93000000000006</v>
      </c>
    </row>
    <row r="140" spans="1:12" ht="15" customHeight="1" x14ac:dyDescent="0.25">
      <c r="A140" s="216" t="s">
        <v>510</v>
      </c>
      <c r="B140" s="217" t="s">
        <v>393</v>
      </c>
      <c r="C140" s="707" t="s">
        <v>508</v>
      </c>
      <c r="D140" s="711">
        <f>'Prec Materia Prima y Empaq'!$H$156</f>
        <v>17</v>
      </c>
      <c r="E140" s="220">
        <v>0</v>
      </c>
      <c r="F140" s="221">
        <f t="shared" ref="F140:F144" si="64">+E140+D140</f>
        <v>17</v>
      </c>
      <c r="G140" s="222">
        <f>C134*F140</f>
        <v>1020</v>
      </c>
      <c r="H140" s="223">
        <v>60</v>
      </c>
      <c r="I140" s="224" t="s">
        <v>393</v>
      </c>
      <c r="K140" s="32">
        <v>1</v>
      </c>
      <c r="L140" s="541">
        <f>+K140*F140</f>
        <v>17</v>
      </c>
    </row>
    <row r="141" spans="1:12" ht="15" customHeight="1" x14ac:dyDescent="0.25">
      <c r="A141" s="216" t="s">
        <v>368</v>
      </c>
      <c r="B141" s="217" t="s">
        <v>393</v>
      </c>
      <c r="C141" s="707" t="s">
        <v>371</v>
      </c>
      <c r="D141" s="711">
        <f>'Prec Materia Prima y Empaq'!$H$157</f>
        <v>252</v>
      </c>
      <c r="E141" s="220">
        <f t="shared" ref="E141:E142" si="65">D141*19%</f>
        <v>47.88</v>
      </c>
      <c r="F141" s="221">
        <f t="shared" si="64"/>
        <v>299.88</v>
      </c>
      <c r="G141" s="222">
        <f>F141</f>
        <v>299.88</v>
      </c>
      <c r="H141" s="223">
        <v>1</v>
      </c>
      <c r="I141" s="224" t="s">
        <v>393</v>
      </c>
      <c r="K141" s="32">
        <v>1</v>
      </c>
      <c r="L141" s="541">
        <f>+F141*K141</f>
        <v>299.88</v>
      </c>
    </row>
    <row r="142" spans="1:12" ht="15" customHeight="1" x14ac:dyDescent="0.25">
      <c r="A142" s="216" t="s">
        <v>368</v>
      </c>
      <c r="B142" s="217" t="s">
        <v>393</v>
      </c>
      <c r="C142" s="707" t="s">
        <v>372</v>
      </c>
      <c r="D142" s="711">
        <f>'Prec Materia Prima y Empaq'!$H$158</f>
        <v>81</v>
      </c>
      <c r="E142" s="220">
        <f t="shared" si="65"/>
        <v>15.39</v>
      </c>
      <c r="F142" s="221">
        <f t="shared" si="64"/>
        <v>96.39</v>
      </c>
      <c r="G142" s="222">
        <f>F142</f>
        <v>96.39</v>
      </c>
      <c r="H142" s="223">
        <v>1</v>
      </c>
      <c r="I142" s="224" t="s">
        <v>393</v>
      </c>
      <c r="K142" s="32">
        <v>1</v>
      </c>
      <c r="L142" s="541">
        <f>+K142*F142</f>
        <v>96.39</v>
      </c>
    </row>
    <row r="143" spans="1:12" ht="15" customHeight="1" x14ac:dyDescent="0.25">
      <c r="A143" s="216" t="s">
        <v>368</v>
      </c>
      <c r="B143" s="225" t="s">
        <v>393</v>
      </c>
      <c r="C143" s="708" t="s">
        <v>401</v>
      </c>
      <c r="D143" s="711">
        <f>'Prec Materia Prima y Empaq'!$H$159</f>
        <v>150</v>
      </c>
      <c r="E143" s="227">
        <v>0</v>
      </c>
      <c r="F143" s="228">
        <f t="shared" si="64"/>
        <v>150</v>
      </c>
      <c r="G143" s="229">
        <f>F143</f>
        <v>150</v>
      </c>
      <c r="H143" s="230">
        <v>1</v>
      </c>
      <c r="I143" s="231" t="s">
        <v>393</v>
      </c>
      <c r="K143" s="32">
        <v>1</v>
      </c>
      <c r="L143" s="541">
        <f>+K143*F143</f>
        <v>150</v>
      </c>
    </row>
    <row r="144" spans="1:12" ht="15" customHeight="1" thickBot="1" x14ac:dyDescent="0.3">
      <c r="A144" s="232" t="s">
        <v>368</v>
      </c>
      <c r="B144" s="233" t="s">
        <v>393</v>
      </c>
      <c r="C144" s="709" t="s">
        <v>509</v>
      </c>
      <c r="D144" s="711">
        <f>'Prec Materia Prima y Empaq'!$H$160</f>
        <v>120</v>
      </c>
      <c r="E144" s="235">
        <v>0</v>
      </c>
      <c r="F144" s="236">
        <f t="shared" si="64"/>
        <v>120</v>
      </c>
      <c r="G144" s="237">
        <f>F144</f>
        <v>120</v>
      </c>
      <c r="H144" s="238">
        <v>1</v>
      </c>
      <c r="I144" s="239" t="s">
        <v>393</v>
      </c>
      <c r="K144" s="32">
        <v>1</v>
      </c>
      <c r="L144" s="541">
        <f>+F144*K144</f>
        <v>120</v>
      </c>
    </row>
    <row r="145" spans="1:12" ht="15" customHeight="1" thickBot="1" x14ac:dyDescent="0.3">
      <c r="A145" s="32"/>
      <c r="D145" s="147"/>
      <c r="E145" s="146"/>
      <c r="F145" s="108"/>
      <c r="G145" s="358">
        <f>SUM(G138:G144)</f>
        <v>4836.2000000000007</v>
      </c>
      <c r="H145" s="157" t="s">
        <v>454</v>
      </c>
      <c r="L145" s="542">
        <f>SUM(L138:L144)</f>
        <v>1375.8500000000001</v>
      </c>
    </row>
    <row r="146" spans="1:12" ht="15" customHeight="1" thickTop="1" x14ac:dyDescent="0.25">
      <c r="A146" s="32"/>
      <c r="D146" s="147"/>
      <c r="E146" s="146"/>
      <c r="F146" s="108"/>
      <c r="G146" s="108"/>
      <c r="H146" s="32"/>
    </row>
    <row r="147" spans="1:12" ht="15" customHeight="1" x14ac:dyDescent="0.25">
      <c r="A147" s="178"/>
      <c r="B147" s="179" t="s">
        <v>409</v>
      </c>
      <c r="C147" s="179"/>
      <c r="D147" s="180"/>
      <c r="E147" s="179"/>
      <c r="F147" s="181">
        <f>+'Gtos Varios'!I14</f>
        <v>3672.93</v>
      </c>
      <c r="G147" s="182">
        <f>F147</f>
        <v>3672.93</v>
      </c>
      <c r="H147" s="179"/>
      <c r="I147" s="179"/>
    </row>
    <row r="148" spans="1:12" ht="15" customHeight="1" x14ac:dyDescent="0.25">
      <c r="D148" s="147"/>
    </row>
    <row r="149" spans="1:12" ht="15" customHeight="1" x14ac:dyDescent="0.25">
      <c r="D149" s="147"/>
    </row>
    <row r="150" spans="1:12" ht="15" customHeight="1" thickBot="1" x14ac:dyDescent="0.3">
      <c r="F150" s="119">
        <f>SUM(F138:F149)</f>
        <v>88307.12999999999</v>
      </c>
      <c r="G150" s="120">
        <f>SUM(G145:G149)</f>
        <v>8509.130000000001</v>
      </c>
      <c r="H150" t="s">
        <v>412</v>
      </c>
    </row>
    <row r="151" spans="1:12" ht="15" customHeight="1" thickTop="1" x14ac:dyDescent="0.25">
      <c r="G151" s="108">
        <f>G150*38%</f>
        <v>3233.4694000000004</v>
      </c>
      <c r="H151" s="402">
        <v>0.38</v>
      </c>
      <c r="I151" t="s">
        <v>539</v>
      </c>
    </row>
    <row r="152" spans="1:12" ht="15" customHeight="1" thickBot="1" x14ac:dyDescent="0.3">
      <c r="G152" s="113">
        <f>G150+G151</f>
        <v>11742.599400000001</v>
      </c>
      <c r="H152" t="s">
        <v>414</v>
      </c>
    </row>
    <row r="153" spans="1:12" ht="15" customHeight="1" thickTop="1" x14ac:dyDescent="0.25"/>
    <row r="159" spans="1:12" ht="15" customHeight="1" x14ac:dyDescent="0.25">
      <c r="C159" s="105" t="s">
        <v>406</v>
      </c>
      <c r="D159" t="s">
        <v>407</v>
      </c>
    </row>
    <row r="160" spans="1:12" ht="15" customHeight="1" x14ac:dyDescent="0.25">
      <c r="C160" s="105"/>
      <c r="D160"/>
    </row>
    <row r="161" spans="1:12" ht="15" customHeight="1" x14ac:dyDescent="0.25">
      <c r="B161" s="426" t="s">
        <v>61</v>
      </c>
      <c r="C161" s="21" t="s">
        <v>1156</v>
      </c>
      <c r="D161"/>
    </row>
    <row r="162" spans="1:12" ht="15" customHeight="1" x14ac:dyDescent="0.25">
      <c r="B162" s="426" t="s">
        <v>62</v>
      </c>
      <c r="C162" s="21"/>
      <c r="D162"/>
    </row>
    <row r="163" spans="1:12" ht="15" customHeight="1" x14ac:dyDescent="0.25">
      <c r="B163" s="426" t="s">
        <v>234</v>
      </c>
      <c r="C163" s="21">
        <f>VLOOKUP(C161,LISTPROD[],9,FALSE)</f>
        <v>0</v>
      </c>
      <c r="D163"/>
    </row>
    <row r="164" spans="1:12" ht="15" customHeight="1" x14ac:dyDescent="0.25">
      <c r="B164" s="426" t="s">
        <v>239</v>
      </c>
      <c r="C164" s="21">
        <v>1</v>
      </c>
      <c r="D164" s="11"/>
    </row>
    <row r="165" spans="1:12" ht="15" customHeight="1" x14ac:dyDescent="0.25">
      <c r="B165" s="426" t="s">
        <v>240</v>
      </c>
      <c r="C165" s="21">
        <v>1</v>
      </c>
      <c r="D165"/>
    </row>
    <row r="166" spans="1:12" ht="15" customHeight="1" x14ac:dyDescent="0.25">
      <c r="B166" s="100" t="s">
        <v>238</v>
      </c>
      <c r="C166">
        <v>60</v>
      </c>
      <c r="D166" s="11" t="s">
        <v>520</v>
      </c>
    </row>
    <row r="167" spans="1:12" ht="15" customHeight="1" thickBot="1" x14ac:dyDescent="0.3">
      <c r="B167" s="110" t="s">
        <v>410</v>
      </c>
      <c r="C167" s="144">
        <v>0.5</v>
      </c>
      <c r="D167" s="145">
        <f>C167*C166</f>
        <v>30</v>
      </c>
    </row>
    <row r="168" spans="1:12" ht="15" customHeight="1" thickBot="1" x14ac:dyDescent="0.3">
      <c r="A168" s="115"/>
      <c r="B168" s="1520" t="s">
        <v>404</v>
      </c>
      <c r="C168" s="1521"/>
      <c r="D168" s="1522"/>
      <c r="E168" s="1522"/>
      <c r="F168" s="1522"/>
      <c r="G168" s="199"/>
      <c r="H168" s="1518" t="s">
        <v>416</v>
      </c>
      <c r="I168" s="1519"/>
      <c r="K168" s="1517" t="s">
        <v>454</v>
      </c>
      <c r="L168" s="1517"/>
    </row>
    <row r="169" spans="1:12" ht="15" customHeight="1" thickBot="1" x14ac:dyDescent="0.3">
      <c r="A169" s="202" t="s">
        <v>391</v>
      </c>
      <c r="B169" s="194" t="s">
        <v>511</v>
      </c>
      <c r="C169" s="195" t="s">
        <v>62</v>
      </c>
      <c r="D169" s="196" t="s">
        <v>399</v>
      </c>
      <c r="E169" s="197" t="s">
        <v>402</v>
      </c>
      <c r="F169" s="196" t="s">
        <v>399</v>
      </c>
      <c r="G169" s="201" t="s">
        <v>411</v>
      </c>
      <c r="H169" s="200" t="s">
        <v>408</v>
      </c>
      <c r="I169" s="198" t="s">
        <v>415</v>
      </c>
      <c r="K169" s="316" t="s">
        <v>603</v>
      </c>
      <c r="L169" s="316" t="s">
        <v>604</v>
      </c>
    </row>
    <row r="170" spans="1:12" ht="15" customHeight="1" x14ac:dyDescent="0.25">
      <c r="A170" s="204" t="s">
        <v>510</v>
      </c>
      <c r="B170" s="205" t="s">
        <v>400</v>
      </c>
      <c r="C170" s="206" t="s">
        <v>98</v>
      </c>
      <c r="D170" s="207">
        <f>'Prec Materia Prima y Empaq'!$H$73</f>
        <v>70000</v>
      </c>
      <c r="E170" s="208">
        <f t="shared" ref="E170" si="66">D170*19%</f>
        <v>13300</v>
      </c>
      <c r="F170" s="209">
        <f t="shared" ref="F170" si="67">+E170+D170</f>
        <v>83300</v>
      </c>
      <c r="G170" s="210">
        <f>F170/1000*C167*C166</f>
        <v>2499</v>
      </c>
      <c r="H170" s="211">
        <f>C167*C166</f>
        <v>30</v>
      </c>
      <c r="I170" s="212" t="s">
        <v>54</v>
      </c>
      <c r="K170" s="32">
        <f>H170/C166</f>
        <v>0.5</v>
      </c>
      <c r="L170" s="541">
        <f>F170/1000*K170</f>
        <v>41.65</v>
      </c>
    </row>
    <row r="171" spans="1:12" ht="15" customHeight="1" x14ac:dyDescent="0.25">
      <c r="A171" s="216" t="s">
        <v>510</v>
      </c>
      <c r="B171" s="217" t="s">
        <v>393</v>
      </c>
      <c r="C171" s="218" t="s">
        <v>395</v>
      </c>
      <c r="D171" s="219">
        <f>'Prec Materia Prima y Empaq'!$H$155</f>
        <v>547</v>
      </c>
      <c r="E171" s="220">
        <f>D171*19%</f>
        <v>103.93</v>
      </c>
      <c r="F171" s="221">
        <f>+E171+D171</f>
        <v>650.93000000000006</v>
      </c>
      <c r="G171" s="222">
        <f>F171</f>
        <v>650.93000000000006</v>
      </c>
      <c r="H171" s="223">
        <v>1</v>
      </c>
      <c r="I171" s="224" t="s">
        <v>393</v>
      </c>
      <c r="K171" s="32">
        <v>1</v>
      </c>
      <c r="L171" s="541">
        <f>+K171*F171</f>
        <v>650.93000000000006</v>
      </c>
    </row>
    <row r="172" spans="1:12" ht="15" customHeight="1" x14ac:dyDescent="0.25">
      <c r="A172" s="216" t="s">
        <v>510</v>
      </c>
      <c r="B172" s="217" t="s">
        <v>393</v>
      </c>
      <c r="C172" s="218" t="s">
        <v>508</v>
      </c>
      <c r="D172" s="219">
        <f>'Prec Materia Prima y Empaq'!$H$156</f>
        <v>17</v>
      </c>
      <c r="E172" s="220">
        <v>0</v>
      </c>
      <c r="F172" s="221">
        <f t="shared" ref="F172:F176" si="68">+E172+D172</f>
        <v>17</v>
      </c>
      <c r="G172" s="222">
        <f>C166*F172</f>
        <v>1020</v>
      </c>
      <c r="H172" s="223">
        <v>60</v>
      </c>
      <c r="I172" s="224" t="s">
        <v>393</v>
      </c>
      <c r="K172" s="32">
        <v>1</v>
      </c>
      <c r="L172" s="541">
        <f>+K172*F172</f>
        <v>17</v>
      </c>
    </row>
    <row r="173" spans="1:12" ht="15" customHeight="1" x14ac:dyDescent="0.25">
      <c r="A173" s="216" t="s">
        <v>368</v>
      </c>
      <c r="B173" s="217" t="s">
        <v>393</v>
      </c>
      <c r="C173" s="218" t="s">
        <v>371</v>
      </c>
      <c r="D173" s="219">
        <f>'Prec Materia Prima y Empaq'!$H$157</f>
        <v>252</v>
      </c>
      <c r="E173" s="220">
        <f t="shared" ref="E173:E174" si="69">D173*19%</f>
        <v>47.88</v>
      </c>
      <c r="F173" s="221">
        <f t="shared" si="68"/>
        <v>299.88</v>
      </c>
      <c r="G173" s="222">
        <f>F173</f>
        <v>299.88</v>
      </c>
      <c r="H173" s="223">
        <v>1</v>
      </c>
      <c r="I173" s="224" t="s">
        <v>393</v>
      </c>
      <c r="K173" s="32">
        <v>1</v>
      </c>
      <c r="L173" s="541">
        <f>+F173*K173</f>
        <v>299.88</v>
      </c>
    </row>
    <row r="174" spans="1:12" ht="15" customHeight="1" x14ac:dyDescent="0.25">
      <c r="A174" s="216" t="s">
        <v>368</v>
      </c>
      <c r="B174" s="217" t="s">
        <v>393</v>
      </c>
      <c r="C174" s="218" t="s">
        <v>372</v>
      </c>
      <c r="D174" s="219">
        <f>'Prec Materia Prima y Empaq'!$H$158</f>
        <v>81</v>
      </c>
      <c r="E174" s="220">
        <f t="shared" si="69"/>
        <v>15.39</v>
      </c>
      <c r="F174" s="221">
        <f t="shared" si="68"/>
        <v>96.39</v>
      </c>
      <c r="G174" s="222">
        <f>F174</f>
        <v>96.39</v>
      </c>
      <c r="H174" s="223">
        <v>1</v>
      </c>
      <c r="I174" s="224" t="s">
        <v>393</v>
      </c>
      <c r="K174" s="32">
        <v>1</v>
      </c>
      <c r="L174" s="541">
        <f>+K174*F174</f>
        <v>96.39</v>
      </c>
    </row>
    <row r="175" spans="1:12" ht="15" customHeight="1" x14ac:dyDescent="0.25">
      <c r="A175" s="216" t="s">
        <v>368</v>
      </c>
      <c r="B175" s="225" t="s">
        <v>393</v>
      </c>
      <c r="C175" s="226" t="s">
        <v>401</v>
      </c>
      <c r="D175" s="219">
        <f>'Prec Materia Prima y Empaq'!$H$159</f>
        <v>150</v>
      </c>
      <c r="E175" s="227">
        <v>0</v>
      </c>
      <c r="F175" s="228">
        <f t="shared" si="68"/>
        <v>150</v>
      </c>
      <c r="G175" s="229">
        <f>F175</f>
        <v>150</v>
      </c>
      <c r="H175" s="230">
        <v>1</v>
      </c>
      <c r="I175" s="231" t="s">
        <v>393</v>
      </c>
      <c r="K175" s="32">
        <v>1</v>
      </c>
      <c r="L175" s="541">
        <f>+K175*F175</f>
        <v>150</v>
      </c>
    </row>
    <row r="176" spans="1:12" ht="15" customHeight="1" thickBot="1" x14ac:dyDescent="0.3">
      <c r="A176" s="232" t="s">
        <v>368</v>
      </c>
      <c r="B176" s="233" t="s">
        <v>393</v>
      </c>
      <c r="C176" s="234" t="s">
        <v>509</v>
      </c>
      <c r="D176" s="219">
        <f>'Prec Materia Prima y Empaq'!$H$160</f>
        <v>120</v>
      </c>
      <c r="E176" s="235">
        <v>0</v>
      </c>
      <c r="F176" s="236">
        <f t="shared" si="68"/>
        <v>120</v>
      </c>
      <c r="G176" s="237">
        <f>F176</f>
        <v>120</v>
      </c>
      <c r="H176" s="238">
        <v>1</v>
      </c>
      <c r="I176" s="239" t="s">
        <v>393</v>
      </c>
      <c r="K176" s="32">
        <v>1</v>
      </c>
      <c r="L176" s="541">
        <f>+F176*K176</f>
        <v>120</v>
      </c>
    </row>
    <row r="177" spans="1:12" ht="15" customHeight="1" thickBot="1" x14ac:dyDescent="0.3">
      <c r="A177" s="32"/>
      <c r="D177" s="147"/>
      <c r="E177" s="146"/>
      <c r="F177" s="108"/>
      <c r="G177" s="358">
        <f>SUM(G170:G176)</f>
        <v>4836.2000000000007</v>
      </c>
      <c r="H177" s="157" t="s">
        <v>454</v>
      </c>
      <c r="L177" s="542">
        <f>SUM(L170:L176)</f>
        <v>1375.8500000000001</v>
      </c>
    </row>
    <row r="178" spans="1:12" ht="15" customHeight="1" thickTop="1" x14ac:dyDescent="0.25">
      <c r="A178" s="32"/>
      <c r="D178" s="147"/>
      <c r="E178" s="146"/>
      <c r="F178" s="108"/>
      <c r="G178" s="108"/>
      <c r="H178" s="32"/>
    </row>
    <row r="179" spans="1:12" ht="15" customHeight="1" x14ac:dyDescent="0.25">
      <c r="A179" s="178"/>
      <c r="B179" s="179" t="s">
        <v>409</v>
      </c>
      <c r="C179" s="179"/>
      <c r="D179" s="180"/>
      <c r="E179" s="179"/>
      <c r="F179" s="181">
        <f>+'Gtos Varios'!I14</f>
        <v>3672.93</v>
      </c>
      <c r="G179" s="182">
        <f>F179</f>
        <v>3672.93</v>
      </c>
      <c r="H179" s="179"/>
      <c r="I179" s="179"/>
    </row>
    <row r="180" spans="1:12" ht="15" customHeight="1" x14ac:dyDescent="0.25">
      <c r="D180" s="147"/>
    </row>
    <row r="181" spans="1:12" ht="15" customHeight="1" x14ac:dyDescent="0.25">
      <c r="D181" s="147"/>
    </row>
    <row r="182" spans="1:12" ht="15" customHeight="1" thickBot="1" x14ac:dyDescent="0.3">
      <c r="F182" s="119">
        <f>SUM(F170:F181)</f>
        <v>88307.12999999999</v>
      </c>
      <c r="G182" s="120">
        <f>SUM(G177:G181)</f>
        <v>8509.130000000001</v>
      </c>
      <c r="H182" t="s">
        <v>412</v>
      </c>
    </row>
    <row r="183" spans="1:12" ht="15" customHeight="1" thickTop="1" x14ac:dyDescent="0.25">
      <c r="G183" s="108">
        <f>G182*38%</f>
        <v>3233.4694000000004</v>
      </c>
      <c r="H183" s="402">
        <v>0.38</v>
      </c>
      <c r="I183" t="s">
        <v>539</v>
      </c>
    </row>
    <row r="184" spans="1:12" ht="15" customHeight="1" thickBot="1" x14ac:dyDescent="0.3">
      <c r="G184" s="113">
        <f>G182+G183</f>
        <v>11742.599400000001</v>
      </c>
      <c r="H184" t="s">
        <v>414</v>
      </c>
    </row>
    <row r="185" spans="1:12" ht="15" customHeight="1" thickTop="1" x14ac:dyDescent="0.25"/>
    <row r="191" spans="1:12" ht="15" customHeight="1" x14ac:dyDescent="0.25">
      <c r="B191" s="426" t="s">
        <v>61</v>
      </c>
      <c r="C191" s="21" t="s">
        <v>1155</v>
      </c>
      <c r="D191"/>
    </row>
    <row r="192" spans="1:12" ht="15" customHeight="1" x14ac:dyDescent="0.25">
      <c r="B192" s="426" t="s">
        <v>62</v>
      </c>
      <c r="C192" s="21" t="str">
        <f>VLOOKUP(C191,LISTPROD[],2,FALSE)</f>
        <v>MACA</v>
      </c>
      <c r="D192"/>
    </row>
    <row r="193" spans="1:12" ht="15" customHeight="1" x14ac:dyDescent="0.25">
      <c r="B193" s="426" t="s">
        <v>234</v>
      </c>
      <c r="C193" s="21">
        <f>VLOOKUP(C191,LISTPROD[],9,FALSE)</f>
        <v>0</v>
      </c>
      <c r="D193"/>
    </row>
    <row r="194" spans="1:12" ht="15" customHeight="1" x14ac:dyDescent="0.25">
      <c r="B194" s="426" t="s">
        <v>239</v>
      </c>
      <c r="C194" s="21">
        <v>1</v>
      </c>
      <c r="D194" s="11"/>
    </row>
    <row r="195" spans="1:12" ht="15" customHeight="1" x14ac:dyDescent="0.25">
      <c r="B195" s="426" t="s">
        <v>240</v>
      </c>
      <c r="C195" s="21">
        <v>1</v>
      </c>
      <c r="D195"/>
    </row>
    <row r="196" spans="1:12" ht="15" customHeight="1" x14ac:dyDescent="0.25">
      <c r="B196" s="100" t="s">
        <v>238</v>
      </c>
      <c r="C196">
        <v>60</v>
      </c>
      <c r="D196" s="11" t="s">
        <v>520</v>
      </c>
    </row>
    <row r="197" spans="1:12" ht="15" customHeight="1" thickBot="1" x14ac:dyDescent="0.3">
      <c r="B197" s="110" t="s">
        <v>410</v>
      </c>
      <c r="C197" s="144">
        <v>0.5</v>
      </c>
      <c r="D197" s="145">
        <f>C197*C196</f>
        <v>30</v>
      </c>
    </row>
    <row r="198" spans="1:12" ht="15" customHeight="1" thickBot="1" x14ac:dyDescent="0.3">
      <c r="A198" s="115"/>
      <c r="B198" s="1520" t="s">
        <v>404</v>
      </c>
      <c r="C198" s="1521"/>
      <c r="D198" s="1522"/>
      <c r="E198" s="1522"/>
      <c r="F198" s="1522"/>
      <c r="G198" s="199"/>
      <c r="H198" s="1518" t="s">
        <v>416</v>
      </c>
      <c r="I198" s="1519"/>
      <c r="K198" s="1517" t="s">
        <v>454</v>
      </c>
      <c r="L198" s="1517"/>
    </row>
    <row r="199" spans="1:12" ht="15" customHeight="1" thickBot="1" x14ac:dyDescent="0.3">
      <c r="A199" s="202" t="s">
        <v>391</v>
      </c>
      <c r="B199" s="194" t="s">
        <v>511</v>
      </c>
      <c r="C199" s="195" t="s">
        <v>62</v>
      </c>
      <c r="D199" s="196" t="s">
        <v>399</v>
      </c>
      <c r="E199" s="197" t="s">
        <v>402</v>
      </c>
      <c r="F199" s="196" t="s">
        <v>399</v>
      </c>
      <c r="G199" s="201" t="s">
        <v>411</v>
      </c>
      <c r="H199" s="200" t="s">
        <v>408</v>
      </c>
      <c r="I199" s="198" t="s">
        <v>415</v>
      </c>
      <c r="K199" s="316" t="s">
        <v>603</v>
      </c>
      <c r="L199" s="316" t="s">
        <v>604</v>
      </c>
    </row>
    <row r="200" spans="1:12" ht="15" customHeight="1" x14ac:dyDescent="0.25">
      <c r="A200" s="204" t="s">
        <v>510</v>
      </c>
      <c r="B200" s="205" t="s">
        <v>400</v>
      </c>
      <c r="C200" s="206" t="s">
        <v>98</v>
      </c>
      <c r="D200" s="207">
        <f>'Prec Materia Prima y Empaq'!$H$73</f>
        <v>70000</v>
      </c>
      <c r="E200" s="208">
        <f t="shared" ref="E200" si="70">D200*19%</f>
        <v>13300</v>
      </c>
      <c r="F200" s="209">
        <f t="shared" ref="F200" si="71">+E200+D200</f>
        <v>83300</v>
      </c>
      <c r="G200" s="210">
        <f>F200/1000*C197*C196</f>
        <v>2499</v>
      </c>
      <c r="H200" s="211">
        <f>C197*C196</f>
        <v>30</v>
      </c>
      <c r="I200" s="212" t="s">
        <v>54</v>
      </c>
      <c r="K200" s="32">
        <f>H200/C196</f>
        <v>0.5</v>
      </c>
      <c r="L200" s="541">
        <f>F200/1000*K200</f>
        <v>41.65</v>
      </c>
    </row>
    <row r="201" spans="1:12" ht="15" customHeight="1" x14ac:dyDescent="0.25">
      <c r="A201" s="216" t="s">
        <v>510</v>
      </c>
      <c r="B201" s="217" t="s">
        <v>393</v>
      </c>
      <c r="C201" s="218" t="s">
        <v>395</v>
      </c>
      <c r="D201" s="219">
        <f>'Prec Materia Prima y Empaq'!$H$155</f>
        <v>547</v>
      </c>
      <c r="E201" s="220">
        <f>D201*19%</f>
        <v>103.93</v>
      </c>
      <c r="F201" s="221">
        <f>+E201+D201</f>
        <v>650.93000000000006</v>
      </c>
      <c r="G201" s="222">
        <f>F201</f>
        <v>650.93000000000006</v>
      </c>
      <c r="H201" s="223">
        <v>1</v>
      </c>
      <c r="I201" s="224" t="s">
        <v>393</v>
      </c>
      <c r="K201" s="32">
        <v>1</v>
      </c>
      <c r="L201" s="541">
        <f>+K201*F201</f>
        <v>650.93000000000006</v>
      </c>
    </row>
    <row r="202" spans="1:12" ht="15" customHeight="1" x14ac:dyDescent="0.25">
      <c r="A202" s="216" t="s">
        <v>510</v>
      </c>
      <c r="B202" s="217" t="s">
        <v>393</v>
      </c>
      <c r="C202" s="218" t="s">
        <v>508</v>
      </c>
      <c r="D202" s="219">
        <f>'Prec Materia Prima y Empaq'!$H$156</f>
        <v>17</v>
      </c>
      <c r="E202" s="220">
        <v>0</v>
      </c>
      <c r="F202" s="221">
        <f t="shared" ref="F202:F206" si="72">+E202+D202</f>
        <v>17</v>
      </c>
      <c r="G202" s="222">
        <f>C196*F202</f>
        <v>1020</v>
      </c>
      <c r="H202" s="223">
        <v>60</v>
      </c>
      <c r="I202" s="224" t="s">
        <v>393</v>
      </c>
      <c r="K202" s="32">
        <v>1</v>
      </c>
      <c r="L202" s="541">
        <f>+K202*F202</f>
        <v>17</v>
      </c>
    </row>
    <row r="203" spans="1:12" ht="15" customHeight="1" x14ac:dyDescent="0.25">
      <c r="A203" s="216" t="s">
        <v>368</v>
      </c>
      <c r="B203" s="217" t="s">
        <v>393</v>
      </c>
      <c r="C203" s="218" t="s">
        <v>371</v>
      </c>
      <c r="D203" s="219">
        <f>'Prec Materia Prima y Empaq'!$H$157</f>
        <v>252</v>
      </c>
      <c r="E203" s="220">
        <f t="shared" ref="E203:E204" si="73">D203*19%</f>
        <v>47.88</v>
      </c>
      <c r="F203" s="221">
        <f t="shared" si="72"/>
        <v>299.88</v>
      </c>
      <c r="G203" s="222">
        <f>F203</f>
        <v>299.88</v>
      </c>
      <c r="H203" s="223">
        <v>1</v>
      </c>
      <c r="I203" s="224" t="s">
        <v>393</v>
      </c>
      <c r="K203" s="32">
        <v>1</v>
      </c>
      <c r="L203" s="541">
        <f>+F203*K203</f>
        <v>299.88</v>
      </c>
    </row>
    <row r="204" spans="1:12" ht="15" customHeight="1" x14ac:dyDescent="0.25">
      <c r="A204" s="216" t="s">
        <v>368</v>
      </c>
      <c r="B204" s="217" t="s">
        <v>393</v>
      </c>
      <c r="C204" s="218" t="s">
        <v>372</v>
      </c>
      <c r="D204" s="219">
        <f>'Prec Materia Prima y Empaq'!$H$158</f>
        <v>81</v>
      </c>
      <c r="E204" s="220">
        <f t="shared" si="73"/>
        <v>15.39</v>
      </c>
      <c r="F204" s="221">
        <f t="shared" si="72"/>
        <v>96.39</v>
      </c>
      <c r="G204" s="222">
        <f>F204</f>
        <v>96.39</v>
      </c>
      <c r="H204" s="223">
        <v>1</v>
      </c>
      <c r="I204" s="224" t="s">
        <v>393</v>
      </c>
      <c r="K204" s="32">
        <v>1</v>
      </c>
      <c r="L204" s="541">
        <f>+K204*F204</f>
        <v>96.39</v>
      </c>
    </row>
    <row r="205" spans="1:12" ht="15" customHeight="1" x14ac:dyDescent="0.25">
      <c r="A205" s="216" t="s">
        <v>368</v>
      </c>
      <c r="B205" s="225" t="s">
        <v>393</v>
      </c>
      <c r="C205" s="226" t="s">
        <v>401</v>
      </c>
      <c r="D205" s="219">
        <f>'Prec Materia Prima y Empaq'!$H$159</f>
        <v>150</v>
      </c>
      <c r="E205" s="227">
        <v>0</v>
      </c>
      <c r="F205" s="228">
        <f t="shared" si="72"/>
        <v>150</v>
      </c>
      <c r="G205" s="229">
        <f>F205</f>
        <v>150</v>
      </c>
      <c r="H205" s="230">
        <v>1</v>
      </c>
      <c r="I205" s="231" t="s">
        <v>393</v>
      </c>
      <c r="K205" s="32">
        <v>1</v>
      </c>
      <c r="L205" s="541">
        <f>+K205*F205</f>
        <v>150</v>
      </c>
    </row>
    <row r="206" spans="1:12" ht="15" customHeight="1" thickBot="1" x14ac:dyDescent="0.3">
      <c r="A206" s="232" t="s">
        <v>368</v>
      </c>
      <c r="B206" s="233" t="s">
        <v>393</v>
      </c>
      <c r="C206" s="234" t="s">
        <v>509</v>
      </c>
      <c r="D206" s="219">
        <f>'Prec Materia Prima y Empaq'!$H$160</f>
        <v>120</v>
      </c>
      <c r="E206" s="235">
        <v>0</v>
      </c>
      <c r="F206" s="236">
        <f t="shared" si="72"/>
        <v>120</v>
      </c>
      <c r="G206" s="237">
        <f>F206</f>
        <v>120</v>
      </c>
      <c r="H206" s="238">
        <v>1</v>
      </c>
      <c r="I206" s="239" t="s">
        <v>393</v>
      </c>
      <c r="K206" s="32">
        <v>1</v>
      </c>
      <c r="L206" s="541">
        <f>+F206*K206</f>
        <v>120</v>
      </c>
    </row>
    <row r="207" spans="1:12" ht="15" customHeight="1" thickBot="1" x14ac:dyDescent="0.3">
      <c r="A207" s="32"/>
      <c r="D207" s="147"/>
      <c r="E207" s="146"/>
      <c r="F207" s="108"/>
      <c r="G207" s="358">
        <f>SUM(G200:G206)</f>
        <v>4836.2000000000007</v>
      </c>
      <c r="H207" s="157" t="s">
        <v>454</v>
      </c>
      <c r="L207" s="542">
        <f>SUM(L200:L206)</f>
        <v>1375.8500000000001</v>
      </c>
    </row>
    <row r="208" spans="1:12" ht="15" customHeight="1" thickTop="1" x14ac:dyDescent="0.25">
      <c r="A208" s="32"/>
      <c r="D208" s="147"/>
      <c r="E208" s="146"/>
      <c r="F208" s="108"/>
      <c r="G208" s="108"/>
      <c r="H208" s="32"/>
    </row>
    <row r="209" spans="1:9" ht="15" customHeight="1" x14ac:dyDescent="0.25">
      <c r="A209" s="178"/>
      <c r="B209" s="179" t="s">
        <v>409</v>
      </c>
      <c r="C209" s="179"/>
      <c r="D209" s="180"/>
      <c r="E209" s="179"/>
      <c r="F209" s="181">
        <f>+'Gtos Varios'!I14</f>
        <v>3672.93</v>
      </c>
      <c r="G209" s="182">
        <f>F209</f>
        <v>3672.93</v>
      </c>
      <c r="H209" s="179"/>
      <c r="I209" s="179"/>
    </row>
    <row r="210" spans="1:9" ht="15" customHeight="1" x14ac:dyDescent="0.25">
      <c r="D210" s="147"/>
    </row>
    <row r="211" spans="1:9" ht="15" customHeight="1" x14ac:dyDescent="0.25">
      <c r="D211" s="147"/>
    </row>
    <row r="212" spans="1:9" ht="15" customHeight="1" thickBot="1" x14ac:dyDescent="0.3">
      <c r="F212" s="119">
        <f>SUM(F200:F211)</f>
        <v>88307.12999999999</v>
      </c>
      <c r="G212" s="120">
        <f>SUM(G207:G211)</f>
        <v>8509.130000000001</v>
      </c>
      <c r="H212" t="s">
        <v>412</v>
      </c>
    </row>
    <row r="213" spans="1:9" ht="15" customHeight="1" thickTop="1" x14ac:dyDescent="0.25">
      <c r="G213" s="108">
        <f>G212*38%</f>
        <v>3233.4694000000004</v>
      </c>
      <c r="H213" s="402">
        <v>0.38</v>
      </c>
      <c r="I213" t="s">
        <v>539</v>
      </c>
    </row>
    <row r="214" spans="1:9" ht="15" customHeight="1" thickBot="1" x14ac:dyDescent="0.3">
      <c r="G214" s="113">
        <f>G212+G213</f>
        <v>11742.599400000001</v>
      </c>
      <c r="H214" t="s">
        <v>414</v>
      </c>
    </row>
    <row r="215" spans="1:9" ht="15" customHeight="1" thickTop="1" x14ac:dyDescent="0.25"/>
  </sheetData>
  <mergeCells count="56">
    <mergeCell ref="B198:F198"/>
    <mergeCell ref="H198:I198"/>
    <mergeCell ref="K198:L198"/>
    <mergeCell ref="B136:F136"/>
    <mergeCell ref="H136:I136"/>
    <mergeCell ref="K136:L136"/>
    <mergeCell ref="B168:F168"/>
    <mergeCell ref="H168:I168"/>
    <mergeCell ref="K168:L168"/>
    <mergeCell ref="BT42:BX42"/>
    <mergeCell ref="BZ42:CA42"/>
    <mergeCell ref="V10:W10"/>
    <mergeCell ref="AD10:AH10"/>
    <mergeCell ref="AJ10:AK10"/>
    <mergeCell ref="B42:F42"/>
    <mergeCell ref="H42:I42"/>
    <mergeCell ref="P42:T42"/>
    <mergeCell ref="V42:W42"/>
    <mergeCell ref="AD42:AH42"/>
    <mergeCell ref="B10:F10"/>
    <mergeCell ref="H10:I10"/>
    <mergeCell ref="P10:T10"/>
    <mergeCell ref="BO10:BP10"/>
    <mergeCell ref="BZ10:CA10"/>
    <mergeCell ref="B105:F105"/>
    <mergeCell ref="H105:I105"/>
    <mergeCell ref="B74:F74"/>
    <mergeCell ref="H74:I74"/>
    <mergeCell ref="BF10:BJ10"/>
    <mergeCell ref="P74:T74"/>
    <mergeCell ref="V74:W74"/>
    <mergeCell ref="AD74:AH74"/>
    <mergeCell ref="AJ74:AK74"/>
    <mergeCell ref="K10:L10"/>
    <mergeCell ref="Y10:Z10"/>
    <mergeCell ref="AM10:AN10"/>
    <mergeCell ref="BA10:BB10"/>
    <mergeCell ref="K74:L74"/>
    <mergeCell ref="Y74:Z74"/>
    <mergeCell ref="AR10:AV10"/>
    <mergeCell ref="AM74:AN74"/>
    <mergeCell ref="K105:L105"/>
    <mergeCell ref="CC10:CD10"/>
    <mergeCell ref="K42:L42"/>
    <mergeCell ref="Y42:Z42"/>
    <mergeCell ref="AM42:AN42"/>
    <mergeCell ref="BA42:BB42"/>
    <mergeCell ref="BO42:BP42"/>
    <mergeCell ref="BL10:BM10"/>
    <mergeCell ref="BT10:BX10"/>
    <mergeCell ref="AX10:AY10"/>
    <mergeCell ref="AJ42:AK42"/>
    <mergeCell ref="AR42:AV42"/>
    <mergeCell ref="AX42:AY42"/>
    <mergeCell ref="BF42:BJ42"/>
    <mergeCell ref="BL42:BM4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D604-D81C-45B5-8EDE-31B46BB3B769}">
  <sheetPr>
    <tabColor rgb="FF00B0F0"/>
  </sheetPr>
  <dimension ref="A1:AC395"/>
  <sheetViews>
    <sheetView topLeftCell="A367" zoomScale="70" zoomScaleNormal="70" workbookViewId="0">
      <selection activeCell="I388" sqref="I388"/>
    </sheetView>
  </sheetViews>
  <sheetFormatPr baseColWidth="10" defaultRowHeight="15" customHeight="1" x14ac:dyDescent="0.3"/>
  <cols>
    <col min="1" max="1" width="7.5703125" style="712" customWidth="1"/>
    <col min="2" max="2" width="26.5703125" style="712" customWidth="1"/>
    <col min="3" max="3" width="13.140625" style="712" customWidth="1"/>
    <col min="4" max="4" width="20.85546875" style="724" customWidth="1"/>
    <col min="5" max="5" width="17.42578125" style="712" customWidth="1"/>
    <col min="6" max="6" width="22.140625" style="712" customWidth="1"/>
    <col min="7" max="7" width="19.7109375" style="712" customWidth="1"/>
    <col min="8" max="8" width="11.85546875" style="712" customWidth="1"/>
    <col min="9" max="9" width="11.42578125" style="712"/>
    <col min="10" max="10" width="9.28515625" style="712" customWidth="1"/>
    <col min="11" max="11" width="13.85546875" style="712" customWidth="1"/>
    <col min="12" max="12" width="16.28515625" style="712" customWidth="1"/>
    <col min="13" max="13" width="11.42578125" style="712"/>
    <col min="14" max="14" width="25.140625" style="712" customWidth="1"/>
    <col min="15" max="15" width="11.42578125" style="712"/>
    <col min="16" max="17" width="17.28515625" style="712" customWidth="1"/>
    <col min="18" max="18" width="15.5703125" style="712" customWidth="1"/>
    <col min="19" max="21" width="11.42578125" style="712"/>
    <col min="22" max="22" width="17.7109375" style="712" customWidth="1"/>
    <col min="23" max="23" width="12.7109375" style="712" customWidth="1"/>
    <col min="24" max="25" width="11.42578125" style="712"/>
    <col min="26" max="26" width="16.42578125" style="712" customWidth="1"/>
    <col min="27" max="27" width="13.28515625" style="712" customWidth="1"/>
    <col min="28" max="16384" width="11.42578125" style="712"/>
  </cols>
  <sheetData>
    <row r="1" spans="1:12" ht="15" customHeight="1" x14ac:dyDescent="0.3">
      <c r="D1" s="724" t="s">
        <v>406</v>
      </c>
      <c r="E1" s="712" t="s">
        <v>407</v>
      </c>
      <c r="F1" s="712" t="s">
        <v>439</v>
      </c>
      <c r="G1" s="712">
        <v>1000</v>
      </c>
    </row>
    <row r="4" spans="1:12" ht="15" customHeight="1" x14ac:dyDescent="0.3">
      <c r="B4" s="802" t="s">
        <v>61</v>
      </c>
      <c r="C4" s="802"/>
      <c r="D4" s="801" t="s">
        <v>545</v>
      </c>
    </row>
    <row r="5" spans="1:12" ht="15" customHeight="1" x14ac:dyDescent="0.3">
      <c r="A5" s="850" t="s">
        <v>718</v>
      </c>
      <c r="B5" s="802" t="s">
        <v>62</v>
      </c>
      <c r="C5" s="802"/>
      <c r="D5" s="801" t="str">
        <f>VLOOKUP(D4,LISTPROD[],2,FALSE)</f>
        <v>REGULADOR MESTRUAL</v>
      </c>
      <c r="E5" s="712" t="s">
        <v>486</v>
      </c>
      <c r="F5" s="712" t="s">
        <v>487</v>
      </c>
    </row>
    <row r="6" spans="1:12" ht="15" customHeight="1" x14ac:dyDescent="0.3">
      <c r="B6" s="802" t="s">
        <v>234</v>
      </c>
      <c r="C6" s="802"/>
      <c r="D6" s="801" t="str">
        <f>VLOOKUP(D4,LISTPROD[],9,FALSE)</f>
        <v>500 ML</v>
      </c>
    </row>
    <row r="7" spans="1:12" ht="15" customHeight="1" x14ac:dyDescent="0.3">
      <c r="B7" s="802" t="s">
        <v>239</v>
      </c>
      <c r="C7" s="802"/>
      <c r="D7" s="859">
        <v>420</v>
      </c>
      <c r="E7" s="800"/>
    </row>
    <row r="8" spans="1:12" ht="15" customHeight="1" x14ac:dyDescent="0.3">
      <c r="B8" s="802" t="s">
        <v>240</v>
      </c>
      <c r="C8" s="802"/>
      <c r="D8" s="801"/>
    </row>
    <row r="9" spans="1:12" ht="15" customHeight="1" x14ac:dyDescent="0.3">
      <c r="B9" s="802" t="s">
        <v>238</v>
      </c>
      <c r="C9" s="802"/>
      <c r="D9" s="712" t="s">
        <v>56</v>
      </c>
      <c r="E9" s="800" t="s">
        <v>449</v>
      </c>
    </row>
    <row r="10" spans="1:12" ht="15" customHeight="1" x14ac:dyDescent="0.3">
      <c r="B10" s="806" t="s">
        <v>410</v>
      </c>
      <c r="C10" s="806"/>
      <c r="D10" s="807">
        <v>500</v>
      </c>
      <c r="E10" s="808"/>
    </row>
    <row r="11" spans="1:12" ht="15" customHeight="1" x14ac:dyDescent="0.3">
      <c r="A11" s="722"/>
      <c r="B11" s="1498" t="s">
        <v>404</v>
      </c>
      <c r="C11" s="1498"/>
      <c r="D11" s="1498"/>
      <c r="E11" s="1498"/>
      <c r="F11" s="1498"/>
      <c r="G11" s="714"/>
      <c r="H11" s="1499" t="s">
        <v>416</v>
      </c>
      <c r="I11" s="1500"/>
    </row>
    <row r="12" spans="1:12" ht="34.5" customHeight="1" x14ac:dyDescent="0.3">
      <c r="A12" s="809"/>
      <c r="B12" s="810" t="s">
        <v>398</v>
      </c>
      <c r="C12" s="811" t="s">
        <v>441</v>
      </c>
      <c r="D12" s="812" t="s">
        <v>399</v>
      </c>
      <c r="E12" s="813" t="s">
        <v>402</v>
      </c>
      <c r="F12" s="812" t="s">
        <v>399</v>
      </c>
      <c r="G12" s="812" t="s">
        <v>411</v>
      </c>
      <c r="H12" s="814" t="s">
        <v>408</v>
      </c>
      <c r="I12" s="815" t="s">
        <v>415</v>
      </c>
      <c r="K12" s="816" t="s">
        <v>603</v>
      </c>
      <c r="L12" s="816" t="s">
        <v>604</v>
      </c>
    </row>
    <row r="13" spans="1:12" ht="15" customHeight="1" x14ac:dyDescent="0.3">
      <c r="A13" s="817"/>
      <c r="B13" s="714" t="s">
        <v>248</v>
      </c>
      <c r="C13" s="714">
        <v>1000</v>
      </c>
      <c r="D13" s="818">
        <f>'Prec Materia Prima y Empaq'!$H$21</f>
        <v>15400</v>
      </c>
      <c r="E13" s="819">
        <f>D13*19%</f>
        <v>2926</v>
      </c>
      <c r="F13" s="820">
        <f>+E13+D13</f>
        <v>18326</v>
      </c>
      <c r="G13" s="819">
        <f>F13/C13*H13</f>
        <v>12828.2</v>
      </c>
      <c r="H13" s="821">
        <v>700</v>
      </c>
      <c r="I13" s="714" t="s">
        <v>450</v>
      </c>
      <c r="K13" s="821">
        <f>H13/$D$7</f>
        <v>1.6666666666666667</v>
      </c>
      <c r="L13" s="819">
        <f>F13/C13*K13</f>
        <v>30.543333333333337</v>
      </c>
    </row>
    <row r="14" spans="1:12" ht="15" customHeight="1" x14ac:dyDescent="0.3">
      <c r="A14" s="817"/>
      <c r="B14" s="714" t="s">
        <v>443</v>
      </c>
      <c r="C14" s="714">
        <v>1000</v>
      </c>
      <c r="D14" s="818">
        <f>'Prec Materia Prima y Empaq'!$H$11</f>
        <v>8000</v>
      </c>
      <c r="E14" s="819">
        <f t="shared" ref="E14:E20" si="0">D14*19%</f>
        <v>1520</v>
      </c>
      <c r="F14" s="820">
        <f t="shared" ref="F14:F22" si="1">+E14+D14</f>
        <v>9520</v>
      </c>
      <c r="G14" s="819">
        <f t="shared" ref="G14:G16" si="2">F14/C14*H14</f>
        <v>5712</v>
      </c>
      <c r="H14" s="821">
        <v>600</v>
      </c>
      <c r="I14" s="714" t="s">
        <v>450</v>
      </c>
      <c r="K14" s="821">
        <f t="shared" ref="K14:K27" si="3">H14/$D$7</f>
        <v>1.4285714285714286</v>
      </c>
      <c r="L14" s="819">
        <f t="shared" ref="L14:L27" si="4">F14/C14*K14</f>
        <v>13.6</v>
      </c>
    </row>
    <row r="15" spans="1:12" ht="15" customHeight="1" x14ac:dyDescent="0.3">
      <c r="A15" s="817"/>
      <c r="B15" s="714" t="s">
        <v>253</v>
      </c>
      <c r="C15" s="714">
        <v>1000</v>
      </c>
      <c r="D15" s="818">
        <f>'Prec Materia Prima y Empaq'!$H$9</f>
        <v>5400</v>
      </c>
      <c r="E15" s="819">
        <f t="shared" si="0"/>
        <v>1026</v>
      </c>
      <c r="F15" s="820">
        <f t="shared" si="1"/>
        <v>6426</v>
      </c>
      <c r="G15" s="819">
        <f t="shared" si="2"/>
        <v>1927.8</v>
      </c>
      <c r="H15" s="821">
        <v>300</v>
      </c>
      <c r="I15" s="714" t="s">
        <v>450</v>
      </c>
      <c r="K15" s="821">
        <f t="shared" si="3"/>
        <v>0.7142857142857143</v>
      </c>
      <c r="L15" s="819">
        <f t="shared" si="4"/>
        <v>4.59</v>
      </c>
    </row>
    <row r="16" spans="1:12" ht="15" customHeight="1" x14ac:dyDescent="0.3">
      <c r="A16" s="817"/>
      <c r="B16" s="714" t="s">
        <v>261</v>
      </c>
      <c r="C16" s="714">
        <v>1000</v>
      </c>
      <c r="D16" s="818">
        <f>'Prec Materia Prima y Empaq'!$H$16</f>
        <v>14000</v>
      </c>
      <c r="E16" s="819">
        <f t="shared" si="0"/>
        <v>2660</v>
      </c>
      <c r="F16" s="820">
        <f t="shared" si="1"/>
        <v>16660</v>
      </c>
      <c r="G16" s="819">
        <f t="shared" si="2"/>
        <v>0</v>
      </c>
      <c r="H16" s="821"/>
      <c r="I16" s="714" t="s">
        <v>450</v>
      </c>
      <c r="K16" s="821">
        <f t="shared" si="3"/>
        <v>0</v>
      </c>
      <c r="L16" s="819">
        <f t="shared" si="4"/>
        <v>0</v>
      </c>
    </row>
    <row r="17" spans="1:29" ht="15" customHeight="1" x14ac:dyDescent="0.3">
      <c r="A17" s="817"/>
      <c r="B17" s="714" t="s">
        <v>259</v>
      </c>
      <c r="C17" s="714">
        <v>1000</v>
      </c>
      <c r="D17" s="843">
        <f>'Prec Materia Prima y Empaq'!$H$42</f>
        <v>63103</v>
      </c>
      <c r="E17" s="819">
        <f t="shared" si="0"/>
        <v>11989.57</v>
      </c>
      <c r="F17" s="820">
        <f t="shared" si="1"/>
        <v>75092.570000000007</v>
      </c>
      <c r="G17" s="819">
        <f>F17/C17*H17</f>
        <v>1501.8514000000002</v>
      </c>
      <c r="H17" s="821">
        <v>20</v>
      </c>
      <c r="I17" s="714" t="s">
        <v>450</v>
      </c>
      <c r="K17" s="821">
        <f t="shared" si="3"/>
        <v>4.7619047619047616E-2</v>
      </c>
      <c r="L17" s="819">
        <f t="shared" si="4"/>
        <v>3.575836666666667</v>
      </c>
    </row>
    <row r="18" spans="1:29" ht="15" customHeight="1" x14ac:dyDescent="0.3">
      <c r="B18" s="714" t="s">
        <v>269</v>
      </c>
      <c r="C18" s="714">
        <v>1000</v>
      </c>
      <c r="D18" s="843">
        <f>'Prec Materia Prima y Empaq'!H47</f>
        <v>49240</v>
      </c>
      <c r="E18" s="819">
        <f t="shared" si="0"/>
        <v>9355.6</v>
      </c>
      <c r="F18" s="820">
        <f t="shared" si="1"/>
        <v>58595.6</v>
      </c>
      <c r="G18" s="819">
        <f t="shared" ref="G18" si="5">F18/C18*H18</f>
        <v>5859.5599999999995</v>
      </c>
      <c r="H18" s="821">
        <v>100</v>
      </c>
      <c r="I18" s="714" t="s">
        <v>450</v>
      </c>
      <c r="K18" s="821">
        <f t="shared" si="3"/>
        <v>0.23809523809523808</v>
      </c>
      <c r="L18" s="819">
        <f t="shared" si="4"/>
        <v>13.951333333333332</v>
      </c>
    </row>
    <row r="19" spans="1:29" ht="30.75" customHeight="1" x14ac:dyDescent="0.3">
      <c r="B19" s="714" t="s">
        <v>251</v>
      </c>
      <c r="C19" s="714">
        <v>1000</v>
      </c>
      <c r="D19" s="843"/>
      <c r="E19" s="819">
        <f t="shared" ref="E19" si="6">D19*19%</f>
        <v>0</v>
      </c>
      <c r="F19" s="820">
        <f t="shared" ref="F19" si="7">+E19+D19</f>
        <v>0</v>
      </c>
      <c r="G19" s="819">
        <f t="shared" ref="G19" si="8">F19/C19*H19</f>
        <v>0</v>
      </c>
      <c r="H19" s="821">
        <v>100</v>
      </c>
      <c r="I19" s="714" t="s">
        <v>450</v>
      </c>
      <c r="K19" s="821">
        <f t="shared" si="3"/>
        <v>0.23809523809523808</v>
      </c>
      <c r="L19" s="819">
        <f t="shared" si="4"/>
        <v>0</v>
      </c>
    </row>
    <row r="20" spans="1:29" ht="30.75" customHeight="1" x14ac:dyDescent="0.3">
      <c r="B20" s="714" t="s">
        <v>382</v>
      </c>
      <c r="C20" s="714">
        <v>3785</v>
      </c>
      <c r="D20" s="818">
        <f>'Prec Materia Prima y Empaq'!$H$18</f>
        <v>24</v>
      </c>
      <c r="E20" s="819">
        <f t="shared" si="0"/>
        <v>4.5600000000000005</v>
      </c>
      <c r="F20" s="820">
        <f t="shared" si="1"/>
        <v>28.560000000000002</v>
      </c>
      <c r="G20" s="819">
        <f>F20/C20*H20</f>
        <v>0.37727873183619554</v>
      </c>
      <c r="H20" s="821">
        <v>50</v>
      </c>
      <c r="I20" s="714" t="s">
        <v>450</v>
      </c>
      <c r="K20" s="821">
        <f t="shared" si="3"/>
        <v>0.11904761904761904</v>
      </c>
      <c r="L20" s="819">
        <f t="shared" si="4"/>
        <v>8.9828269484808459E-4</v>
      </c>
    </row>
    <row r="21" spans="1:29" ht="31.5" customHeight="1" x14ac:dyDescent="0.3">
      <c r="B21" s="716" t="s">
        <v>247</v>
      </c>
      <c r="C21" s="714">
        <v>1000</v>
      </c>
      <c r="D21" s="822">
        <f>'Prec Materia Prima y Empaq'!$H$7</f>
        <v>50000</v>
      </c>
      <c r="E21" s="819">
        <v>0</v>
      </c>
      <c r="F21" s="820">
        <f t="shared" si="1"/>
        <v>50000</v>
      </c>
      <c r="G21" s="819">
        <f>F21/C21*H21</f>
        <v>32.022471910112351</v>
      </c>
      <c r="H21" s="823">
        <v>0.64044943820224698</v>
      </c>
      <c r="I21" s="823" t="s">
        <v>453</v>
      </c>
      <c r="K21" s="821">
        <f t="shared" si="3"/>
        <v>1.5248796147672547E-3</v>
      </c>
      <c r="L21" s="819">
        <f t="shared" si="4"/>
        <v>7.6243980738362735E-2</v>
      </c>
      <c r="N21" s="716" t="s">
        <v>247</v>
      </c>
      <c r="O21" s="824">
        <v>1</v>
      </c>
      <c r="P21" s="819" t="e">
        <f>$F$398/$C$398*$O$398</f>
        <v>#DIV/0!</v>
      </c>
      <c r="Q21" s="732"/>
      <c r="R21" s="825" t="e">
        <f>P21/O10</f>
        <v>#DIV/0!</v>
      </c>
      <c r="S21" s="732" t="e">
        <f>R21*1000</f>
        <v>#DIV/0!</v>
      </c>
      <c r="T21" s="826" t="e">
        <f>O21/$O$387*1000</f>
        <v>#DIV/0!</v>
      </c>
      <c r="U21" s="817" t="e">
        <f>T21*$M$387</f>
        <v>#DIV/0!</v>
      </c>
      <c r="Y21" s="817"/>
      <c r="Z21" s="817"/>
      <c r="AA21" s="827"/>
      <c r="AC21" s="828"/>
    </row>
    <row r="22" spans="1:29" ht="30.75" customHeight="1" x14ac:dyDescent="0.3">
      <c r="B22" s="716" t="s">
        <v>485</v>
      </c>
      <c r="C22" s="716">
        <v>1</v>
      </c>
      <c r="D22" s="822">
        <f>'Prec Materia Prima y Empaq'!$H$138</f>
        <v>650</v>
      </c>
      <c r="E22" s="819">
        <v>0</v>
      </c>
      <c r="F22" s="820">
        <f t="shared" si="1"/>
        <v>650</v>
      </c>
      <c r="G22" s="829">
        <f t="shared" ref="G22:G27" si="9">F22*H22</f>
        <v>273000</v>
      </c>
      <c r="H22" s="823">
        <f>$D$7</f>
        <v>420</v>
      </c>
      <c r="I22" s="823" t="s">
        <v>453</v>
      </c>
      <c r="K22" s="821">
        <f t="shared" si="3"/>
        <v>1</v>
      </c>
      <c r="L22" s="819">
        <f t="shared" si="4"/>
        <v>650</v>
      </c>
    </row>
    <row r="23" spans="1:29" ht="30.75" customHeight="1" x14ac:dyDescent="0.3">
      <c r="B23" s="716" t="s">
        <v>614</v>
      </c>
      <c r="C23" s="716">
        <v>1</v>
      </c>
      <c r="D23" s="822">
        <f>'Prec Materia Prima y Empaq'!$H$144</f>
        <v>70</v>
      </c>
      <c r="E23" s="819">
        <v>0</v>
      </c>
      <c r="F23" s="820">
        <f t="shared" ref="F23:F25" si="10">+E23+D23</f>
        <v>70</v>
      </c>
      <c r="G23" s="829">
        <f t="shared" si="9"/>
        <v>29400</v>
      </c>
      <c r="H23" s="823">
        <f t="shared" ref="H23:H27" si="11">$D$7</f>
        <v>420</v>
      </c>
      <c r="I23" s="823" t="s">
        <v>453</v>
      </c>
      <c r="K23" s="821">
        <f t="shared" si="3"/>
        <v>1</v>
      </c>
      <c r="L23" s="819">
        <f t="shared" si="4"/>
        <v>70</v>
      </c>
    </row>
    <row r="24" spans="1:29" ht="49.5" customHeight="1" x14ac:dyDescent="0.3">
      <c r="B24" s="716" t="s">
        <v>695</v>
      </c>
      <c r="C24" s="823">
        <v>1</v>
      </c>
      <c r="D24" s="842">
        <f>'Prec Materia Prima y Empaq'!$H$161</f>
        <v>300</v>
      </c>
      <c r="E24" s="819">
        <v>0</v>
      </c>
      <c r="F24" s="820">
        <f t="shared" si="10"/>
        <v>300</v>
      </c>
      <c r="G24" s="829">
        <f t="shared" si="9"/>
        <v>126000</v>
      </c>
      <c r="H24" s="823">
        <f t="shared" si="11"/>
        <v>420</v>
      </c>
      <c r="I24" s="823" t="s">
        <v>453</v>
      </c>
      <c r="K24" s="821">
        <f t="shared" si="3"/>
        <v>1</v>
      </c>
      <c r="L24" s="819">
        <f t="shared" si="4"/>
        <v>300</v>
      </c>
    </row>
    <row r="25" spans="1:29" ht="15" customHeight="1" x14ac:dyDescent="0.3">
      <c r="B25" s="713" t="s">
        <v>675</v>
      </c>
      <c r="C25" s="823">
        <v>1</v>
      </c>
      <c r="D25" s="842">
        <f>'Prec Materia Prima y Empaq'!$H$162</f>
        <v>100</v>
      </c>
      <c r="E25" s="819"/>
      <c r="F25" s="820">
        <f t="shared" si="10"/>
        <v>100</v>
      </c>
      <c r="G25" s="829">
        <f t="shared" si="9"/>
        <v>42000</v>
      </c>
      <c r="H25" s="823">
        <f t="shared" si="11"/>
        <v>420</v>
      </c>
      <c r="I25" s="823" t="s">
        <v>453</v>
      </c>
      <c r="K25" s="821">
        <f t="shared" si="3"/>
        <v>1</v>
      </c>
      <c r="L25" s="819">
        <f t="shared" si="4"/>
        <v>100</v>
      </c>
    </row>
    <row r="26" spans="1:29" ht="15" customHeight="1" x14ac:dyDescent="0.3">
      <c r="B26" s="716" t="s">
        <v>310</v>
      </c>
      <c r="C26" s="823">
        <v>1</v>
      </c>
      <c r="D26" s="842">
        <f>'Prec Materia Prima y Empaq'!$H$130</f>
        <v>100</v>
      </c>
      <c r="E26" s="819">
        <v>0</v>
      </c>
      <c r="F26" s="820">
        <f t="shared" ref="F26:F27" si="12">+E26+D26</f>
        <v>100</v>
      </c>
      <c r="G26" s="829">
        <f t="shared" si="9"/>
        <v>42000</v>
      </c>
      <c r="H26" s="823">
        <f t="shared" si="11"/>
        <v>420</v>
      </c>
      <c r="I26" s="823" t="s">
        <v>453</v>
      </c>
      <c r="K26" s="821">
        <f t="shared" si="3"/>
        <v>1</v>
      </c>
      <c r="L26" s="819">
        <f t="shared" si="4"/>
        <v>100</v>
      </c>
    </row>
    <row r="27" spans="1:29" ht="15" customHeight="1" x14ac:dyDescent="0.3">
      <c r="B27" s="823" t="s">
        <v>309</v>
      </c>
      <c r="C27" s="823">
        <v>1</v>
      </c>
      <c r="D27" s="842">
        <f>'Prec Materia Prima y Empaq'!$H$129</f>
        <v>800</v>
      </c>
      <c r="E27" s="819">
        <v>0</v>
      </c>
      <c r="F27" s="820">
        <f t="shared" si="12"/>
        <v>800</v>
      </c>
      <c r="G27" s="829">
        <f t="shared" si="9"/>
        <v>336000</v>
      </c>
      <c r="H27" s="823">
        <f t="shared" si="11"/>
        <v>420</v>
      </c>
      <c r="I27" s="823" t="s">
        <v>453</v>
      </c>
      <c r="K27" s="821">
        <f t="shared" si="3"/>
        <v>1</v>
      </c>
      <c r="L27" s="819">
        <f t="shared" si="4"/>
        <v>800</v>
      </c>
    </row>
    <row r="28" spans="1:29" ht="19.5" customHeight="1" thickBot="1" x14ac:dyDescent="0.35">
      <c r="B28" s="805"/>
      <c r="C28" s="805"/>
      <c r="D28" s="832"/>
      <c r="E28" s="732"/>
      <c r="F28" s="833"/>
      <c r="G28" s="834">
        <f>SUM(G13:G27)/D7</f>
        <v>2086.3376455967664</v>
      </c>
      <c r="H28" s="835" t="s">
        <v>454</v>
      </c>
      <c r="I28" s="805"/>
      <c r="K28" s="817"/>
      <c r="L28" s="841">
        <f>SUM(L12:L27)</f>
        <v>2086.3376455967664</v>
      </c>
    </row>
    <row r="29" spans="1:29" ht="15" customHeight="1" thickTop="1" x14ac:dyDescent="0.3">
      <c r="B29" s="1007" t="s">
        <v>409</v>
      </c>
      <c r="C29" s="1008"/>
      <c r="D29" s="1009">
        <f>+'Gtos Varios'!I14</f>
        <v>3672.93</v>
      </c>
      <c r="E29" s="1008"/>
      <c r="F29" s="1010">
        <f>+'Gtos Varios'!I14</f>
        <v>3672.93</v>
      </c>
      <c r="G29" s="1011">
        <f>F29</f>
        <v>3672.93</v>
      </c>
      <c r="H29" s="1008" t="str">
        <f>B29</f>
        <v xml:space="preserve">GASTOS VARIOS </v>
      </c>
      <c r="I29" s="1008"/>
    </row>
    <row r="30" spans="1:29" ht="15" customHeight="1" x14ac:dyDescent="0.3">
      <c r="B30" s="805"/>
      <c r="C30" s="805"/>
      <c r="D30" s="832"/>
      <c r="E30" s="732"/>
      <c r="F30" s="833"/>
      <c r="G30" s="837"/>
      <c r="H30" s="805"/>
      <c r="I30" s="805"/>
    </row>
    <row r="31" spans="1:29" ht="15" customHeight="1" x14ac:dyDescent="0.3">
      <c r="B31" s="805"/>
      <c r="C31" s="805"/>
      <c r="D31" s="832"/>
      <c r="E31" s="732"/>
      <c r="F31" s="833"/>
      <c r="G31" s="837"/>
      <c r="H31" s="805"/>
      <c r="I31" s="805"/>
    </row>
    <row r="32" spans="1:29" ht="15" customHeight="1" thickBot="1" x14ac:dyDescent="0.35">
      <c r="F32" s="838">
        <f>SUM(F13:F27)</f>
        <v>236668.73</v>
      </c>
      <c r="G32" s="839">
        <f>SUM(G28:G29)</f>
        <v>5759.2676455967667</v>
      </c>
      <c r="H32" s="712" t="s">
        <v>412</v>
      </c>
    </row>
    <row r="33" spans="1:12" ht="15" customHeight="1" thickTop="1" x14ac:dyDescent="0.3">
      <c r="G33" s="833">
        <f>G32*59%</f>
        <v>3397.9679109020922</v>
      </c>
      <c r="H33" s="844">
        <v>0.59</v>
      </c>
      <c r="I33" s="712" t="s">
        <v>539</v>
      </c>
    </row>
    <row r="34" spans="1:12" ht="15" customHeight="1" thickBot="1" x14ac:dyDescent="0.35">
      <c r="G34" s="841">
        <f>G32+G33</f>
        <v>9157.2355564988593</v>
      </c>
      <c r="H34" s="712" t="s">
        <v>414</v>
      </c>
    </row>
    <row r="35" spans="1:12" ht="15" customHeight="1" thickTop="1" x14ac:dyDescent="0.3"/>
    <row r="40" spans="1:12" ht="15" customHeight="1" x14ac:dyDescent="0.3">
      <c r="B40" s="802" t="s">
        <v>61</v>
      </c>
      <c r="C40" s="802"/>
      <c r="D40" s="801" t="s">
        <v>549</v>
      </c>
    </row>
    <row r="41" spans="1:12" ht="15" customHeight="1" x14ac:dyDescent="0.3">
      <c r="A41" s="803" t="s">
        <v>718</v>
      </c>
      <c r="B41" s="802" t="s">
        <v>62</v>
      </c>
      <c r="C41" s="802"/>
      <c r="D41" s="801" t="str">
        <f>VLOOKUP(D40,LISTPROD[],2,FALSE)</f>
        <v>OMEGA 3,6,9</v>
      </c>
      <c r="E41" s="712" t="s">
        <v>486</v>
      </c>
      <c r="F41" s="712" t="s">
        <v>487</v>
      </c>
    </row>
    <row r="42" spans="1:12" ht="15" customHeight="1" x14ac:dyDescent="0.3">
      <c r="B42" s="802" t="s">
        <v>234</v>
      </c>
      <c r="C42" s="802"/>
      <c r="D42" s="801" t="str">
        <f>VLOOKUP(D40,LISTPROD[],9,FALSE)</f>
        <v>500 ML</v>
      </c>
    </row>
    <row r="43" spans="1:12" ht="15" customHeight="1" x14ac:dyDescent="0.3">
      <c r="B43" s="802" t="s">
        <v>239</v>
      </c>
      <c r="C43" s="802"/>
      <c r="D43" s="804">
        <v>420</v>
      </c>
      <c r="E43" s="800"/>
    </row>
    <row r="44" spans="1:12" ht="15" customHeight="1" x14ac:dyDescent="0.3">
      <c r="B44" s="802" t="s">
        <v>240</v>
      </c>
      <c r="C44" s="802"/>
      <c r="D44" s="801"/>
    </row>
    <row r="45" spans="1:12" ht="15" customHeight="1" x14ac:dyDescent="0.3">
      <c r="B45" s="802" t="s">
        <v>238</v>
      </c>
      <c r="C45" s="802"/>
      <c r="D45" s="712" t="s">
        <v>56</v>
      </c>
      <c r="E45" s="800" t="s">
        <v>449</v>
      </c>
    </row>
    <row r="46" spans="1:12" ht="15" customHeight="1" x14ac:dyDescent="0.3">
      <c r="B46" s="806" t="s">
        <v>410</v>
      </c>
      <c r="C46" s="806"/>
      <c r="D46" s="807">
        <v>500</v>
      </c>
      <c r="E46" s="808"/>
    </row>
    <row r="47" spans="1:12" ht="15" customHeight="1" x14ac:dyDescent="0.3">
      <c r="B47" s="1498" t="s">
        <v>404</v>
      </c>
      <c r="C47" s="1498"/>
      <c r="D47" s="1498"/>
      <c r="E47" s="1498"/>
      <c r="F47" s="1498"/>
      <c r="G47" s="714"/>
      <c r="H47" s="1499" t="s">
        <v>416</v>
      </c>
      <c r="I47" s="1500"/>
    </row>
    <row r="48" spans="1:12" ht="15" customHeight="1" x14ac:dyDescent="0.3">
      <c r="B48" s="810" t="s">
        <v>398</v>
      </c>
      <c r="C48" s="811" t="s">
        <v>441</v>
      </c>
      <c r="D48" s="812" t="s">
        <v>399</v>
      </c>
      <c r="E48" s="813" t="s">
        <v>402</v>
      </c>
      <c r="F48" s="812" t="s">
        <v>399</v>
      </c>
      <c r="G48" s="812" t="s">
        <v>411</v>
      </c>
      <c r="H48" s="814" t="s">
        <v>408</v>
      </c>
      <c r="I48" s="815" t="s">
        <v>415</v>
      </c>
      <c r="K48" s="816" t="s">
        <v>603</v>
      </c>
      <c r="L48" s="816" t="s">
        <v>604</v>
      </c>
    </row>
    <row r="49" spans="2:29" ht="15" customHeight="1" x14ac:dyDescent="0.3">
      <c r="B49" s="714" t="s">
        <v>248</v>
      </c>
      <c r="C49" s="714">
        <v>1000</v>
      </c>
      <c r="D49" s="818">
        <f>'Prec Materia Prima y Empaq'!$H$21</f>
        <v>15400</v>
      </c>
      <c r="E49" s="819">
        <f>D49*19%</f>
        <v>2926</v>
      </c>
      <c r="F49" s="820">
        <f>+E49+D49</f>
        <v>18326</v>
      </c>
      <c r="G49" s="820">
        <f>F49/C49*H49</f>
        <v>12828.2</v>
      </c>
      <c r="H49" s="821">
        <v>700</v>
      </c>
      <c r="I49" s="714" t="s">
        <v>450</v>
      </c>
      <c r="K49" s="821">
        <f>H49/$D$43</f>
        <v>1.6666666666666667</v>
      </c>
      <c r="L49" s="819">
        <f>F49/C49*K49</f>
        <v>30.543333333333337</v>
      </c>
    </row>
    <row r="50" spans="2:29" ht="15" customHeight="1" x14ac:dyDescent="0.3">
      <c r="B50" s="714" t="s">
        <v>443</v>
      </c>
      <c r="C50" s="714">
        <v>1000</v>
      </c>
      <c r="D50" s="818">
        <f>'Prec Materia Prima y Empaq'!$H$11</f>
        <v>8000</v>
      </c>
      <c r="E50" s="819">
        <f t="shared" ref="E50:E56" si="13">D50*19%</f>
        <v>1520</v>
      </c>
      <c r="F50" s="820">
        <f t="shared" ref="F50:F61" si="14">+E50+D50</f>
        <v>9520</v>
      </c>
      <c r="G50" s="820">
        <f t="shared" ref="G50:G51" si="15">F50/C50*H50</f>
        <v>5712</v>
      </c>
      <c r="H50" s="821">
        <v>600</v>
      </c>
      <c r="I50" s="714" t="s">
        <v>450</v>
      </c>
      <c r="K50" s="821">
        <f t="shared" ref="K50:K63" si="16">H50/$D$43</f>
        <v>1.4285714285714286</v>
      </c>
      <c r="L50" s="819">
        <f t="shared" ref="L50:L63" si="17">F50/C50*K50</f>
        <v>13.6</v>
      </c>
    </row>
    <row r="51" spans="2:29" ht="15" customHeight="1" x14ac:dyDescent="0.3">
      <c r="B51" s="714" t="s">
        <v>261</v>
      </c>
      <c r="C51" s="714">
        <v>1000</v>
      </c>
      <c r="D51" s="818">
        <f>'Prec Materia Prima y Empaq'!$H$16</f>
        <v>14000</v>
      </c>
      <c r="E51" s="819">
        <f t="shared" si="13"/>
        <v>2660</v>
      </c>
      <c r="F51" s="820">
        <f t="shared" si="14"/>
        <v>16660</v>
      </c>
      <c r="G51" s="820">
        <f t="shared" si="15"/>
        <v>1666</v>
      </c>
      <c r="H51" s="821">
        <v>100</v>
      </c>
      <c r="I51" s="714" t="s">
        <v>450</v>
      </c>
      <c r="K51" s="821">
        <f t="shared" si="16"/>
        <v>0.23809523809523808</v>
      </c>
      <c r="L51" s="819">
        <f t="shared" si="17"/>
        <v>3.9666666666666663</v>
      </c>
    </row>
    <row r="52" spans="2:29" ht="15" customHeight="1" x14ac:dyDescent="0.3">
      <c r="B52" s="714" t="s">
        <v>246</v>
      </c>
      <c r="C52" s="714">
        <v>1000</v>
      </c>
      <c r="D52" s="818">
        <f>'Prec Materia Prima y Empaq'!$H$41</f>
        <v>80268</v>
      </c>
      <c r="E52" s="819">
        <f t="shared" si="13"/>
        <v>15250.92</v>
      </c>
      <c r="F52" s="820">
        <f t="shared" si="14"/>
        <v>95518.92</v>
      </c>
      <c r="G52" s="820">
        <f>F52/C52*H52</f>
        <v>1719.3405599999999</v>
      </c>
      <c r="H52" s="821">
        <v>18</v>
      </c>
      <c r="I52" s="714" t="s">
        <v>450</v>
      </c>
      <c r="K52" s="821">
        <f t="shared" si="16"/>
        <v>4.2857142857142858E-2</v>
      </c>
      <c r="L52" s="819">
        <f t="shared" si="17"/>
        <v>4.0936680000000001</v>
      </c>
    </row>
    <row r="53" spans="2:29" ht="15" customHeight="1" x14ac:dyDescent="0.3">
      <c r="B53" s="714" t="s">
        <v>270</v>
      </c>
      <c r="C53" s="714">
        <v>1000</v>
      </c>
      <c r="D53" s="843">
        <f>'Prec Materia Prima y Empaq'!$H$49</f>
        <v>70000</v>
      </c>
      <c r="E53" s="819">
        <f t="shared" si="13"/>
        <v>13300</v>
      </c>
      <c r="F53" s="820">
        <f t="shared" si="14"/>
        <v>83300</v>
      </c>
      <c r="G53" s="820">
        <f t="shared" ref="G53" si="18">F53/C53*H53</f>
        <v>8330</v>
      </c>
      <c r="H53" s="821">
        <v>100</v>
      </c>
      <c r="I53" s="714" t="s">
        <v>450</v>
      </c>
      <c r="K53" s="821">
        <f t="shared" si="16"/>
        <v>0.23809523809523808</v>
      </c>
      <c r="L53" s="819">
        <f t="shared" si="17"/>
        <v>19.833333333333332</v>
      </c>
    </row>
    <row r="54" spans="2:29" ht="15" customHeight="1" x14ac:dyDescent="0.3">
      <c r="B54" s="714" t="s">
        <v>245</v>
      </c>
      <c r="C54" s="714">
        <v>1000</v>
      </c>
      <c r="D54" s="843">
        <f>'Prec Materia Prima y Empaq'!$H$44</f>
        <v>52325</v>
      </c>
      <c r="E54" s="819">
        <f t="shared" ref="E54" si="19">D54*19%</f>
        <v>9941.75</v>
      </c>
      <c r="F54" s="820">
        <f t="shared" ref="F54" si="20">+E54+D54</f>
        <v>62266.75</v>
      </c>
      <c r="G54" s="820">
        <f t="shared" ref="G54" si="21">F54/C54*H54</f>
        <v>6226.6750000000002</v>
      </c>
      <c r="H54" s="821">
        <v>100</v>
      </c>
      <c r="I54" s="714" t="s">
        <v>450</v>
      </c>
      <c r="K54" s="821">
        <f t="shared" si="16"/>
        <v>0.23809523809523808</v>
      </c>
      <c r="L54" s="819">
        <f t="shared" si="17"/>
        <v>14.825416666666666</v>
      </c>
    </row>
    <row r="55" spans="2:29" ht="15" customHeight="1" x14ac:dyDescent="0.3">
      <c r="B55" s="714" t="s">
        <v>272</v>
      </c>
      <c r="C55" s="714">
        <v>1000</v>
      </c>
      <c r="D55" s="843">
        <f>'Prec Materia Prima y Empaq'!$H$15</f>
        <v>18000</v>
      </c>
      <c r="E55" s="819">
        <f t="shared" ref="E55" si="22">D55*19%</f>
        <v>3420</v>
      </c>
      <c r="F55" s="820">
        <f t="shared" ref="F55" si="23">+E55+D55</f>
        <v>21420</v>
      </c>
      <c r="G55" s="820">
        <f t="shared" ref="G55" si="24">F55/C55*H55</f>
        <v>2142</v>
      </c>
      <c r="H55" s="821">
        <v>100</v>
      </c>
      <c r="I55" s="714" t="s">
        <v>450</v>
      </c>
      <c r="K55" s="821">
        <f t="shared" si="16"/>
        <v>0.23809523809523808</v>
      </c>
      <c r="L55" s="819">
        <f t="shared" si="17"/>
        <v>5.1000000000000005</v>
      </c>
    </row>
    <row r="56" spans="2:29" ht="15" customHeight="1" x14ac:dyDescent="0.3">
      <c r="B56" s="714" t="s">
        <v>382</v>
      </c>
      <c r="C56" s="714">
        <v>3785</v>
      </c>
      <c r="D56" s="818">
        <f>'Prec Materia Prima y Empaq'!$H$18</f>
        <v>24</v>
      </c>
      <c r="E56" s="819">
        <f t="shared" si="13"/>
        <v>4.5600000000000005</v>
      </c>
      <c r="F56" s="820">
        <f t="shared" si="14"/>
        <v>28.560000000000002</v>
      </c>
      <c r="G56" s="820">
        <f>F56/C56*H56</f>
        <v>0.37727873183619554</v>
      </c>
      <c r="H56" s="821">
        <v>50</v>
      </c>
      <c r="I56" s="714" t="s">
        <v>450</v>
      </c>
      <c r="K56" s="821">
        <f t="shared" si="16"/>
        <v>0.11904761904761904</v>
      </c>
      <c r="L56" s="819">
        <f t="shared" si="17"/>
        <v>8.9828269484808459E-4</v>
      </c>
    </row>
    <row r="57" spans="2:29" ht="31.5" customHeight="1" x14ac:dyDescent="0.3">
      <c r="B57" s="716" t="s">
        <v>247</v>
      </c>
      <c r="C57" s="714">
        <v>1000</v>
      </c>
      <c r="D57" s="822">
        <f>'Prec Materia Prima y Empaq'!$H$7</f>
        <v>50000</v>
      </c>
      <c r="E57" s="819">
        <v>0</v>
      </c>
      <c r="F57" s="820">
        <f t="shared" si="14"/>
        <v>50000</v>
      </c>
      <c r="G57" s="819">
        <f>F57/C57*H57</f>
        <v>32.022471910112351</v>
      </c>
      <c r="H57" s="823">
        <v>0.64044943820224698</v>
      </c>
      <c r="I57" s="823" t="s">
        <v>453</v>
      </c>
      <c r="K57" s="821">
        <f t="shared" ref="K57" si="25">H57/$D$7</f>
        <v>1.5248796147672547E-3</v>
      </c>
      <c r="L57" s="819">
        <f t="shared" si="17"/>
        <v>7.6243980738362735E-2</v>
      </c>
      <c r="N57" s="716" t="s">
        <v>247</v>
      </c>
      <c r="O57" s="824">
        <v>1</v>
      </c>
      <c r="P57" s="819" t="e">
        <f>$F$398/$C$398*$O$398</f>
        <v>#DIV/0!</v>
      </c>
      <c r="Q57" s="732"/>
      <c r="R57" s="825" t="e">
        <f>P57/O46</f>
        <v>#DIV/0!</v>
      </c>
      <c r="S57" s="732" t="e">
        <f>R57*1000</f>
        <v>#DIV/0!</v>
      </c>
      <c r="T57" s="826" t="e">
        <f>O57/$O$387*1000</f>
        <v>#DIV/0!</v>
      </c>
      <c r="U57" s="817" t="e">
        <f>T57*$M$387</f>
        <v>#DIV/0!</v>
      </c>
      <c r="Y57" s="817"/>
      <c r="Z57" s="817"/>
      <c r="AA57" s="827"/>
      <c r="AC57" s="828"/>
    </row>
    <row r="58" spans="2:29" ht="15" customHeight="1" x14ac:dyDescent="0.3">
      <c r="B58" s="716" t="s">
        <v>485</v>
      </c>
      <c r="C58" s="716">
        <v>1</v>
      </c>
      <c r="D58" s="822">
        <f>'Prec Materia Prima y Empaq'!$H$138</f>
        <v>650</v>
      </c>
      <c r="E58" s="819">
        <v>0</v>
      </c>
      <c r="F58" s="820">
        <f t="shared" si="14"/>
        <v>650</v>
      </c>
      <c r="G58" s="829">
        <f>F58*H58</f>
        <v>273000</v>
      </c>
      <c r="H58" s="823">
        <f>$D$43</f>
        <v>420</v>
      </c>
      <c r="I58" s="823" t="s">
        <v>453</v>
      </c>
      <c r="K58" s="821">
        <f t="shared" si="16"/>
        <v>1</v>
      </c>
      <c r="L58" s="819">
        <f t="shared" si="17"/>
        <v>650</v>
      </c>
    </row>
    <row r="59" spans="2:29" ht="15" customHeight="1" x14ac:dyDescent="0.3">
      <c r="B59" s="716" t="s">
        <v>614</v>
      </c>
      <c r="C59" s="716">
        <v>1</v>
      </c>
      <c r="D59" s="822">
        <f>'Prec Materia Prima y Empaq'!$H$144</f>
        <v>70</v>
      </c>
      <c r="E59" s="819">
        <v>0</v>
      </c>
      <c r="F59" s="820">
        <f t="shared" si="14"/>
        <v>70</v>
      </c>
      <c r="G59" s="829">
        <f t="shared" ref="G59:G63" si="26">F59*H59</f>
        <v>29400</v>
      </c>
      <c r="H59" s="823">
        <f t="shared" ref="H59:H63" si="27">$D$43</f>
        <v>420</v>
      </c>
      <c r="I59" s="823" t="s">
        <v>453</v>
      </c>
      <c r="K59" s="821">
        <f t="shared" si="16"/>
        <v>1</v>
      </c>
      <c r="L59" s="819">
        <f t="shared" si="17"/>
        <v>70</v>
      </c>
    </row>
    <row r="60" spans="2:29" ht="45" customHeight="1" x14ac:dyDescent="0.3">
      <c r="B60" s="716" t="s">
        <v>695</v>
      </c>
      <c r="C60" s="823">
        <v>1</v>
      </c>
      <c r="D60" s="842">
        <f>'Prec Materia Prima y Empaq'!$H$161</f>
        <v>300</v>
      </c>
      <c r="E60" s="819">
        <v>0</v>
      </c>
      <c r="F60" s="820">
        <f t="shared" si="14"/>
        <v>300</v>
      </c>
      <c r="G60" s="829">
        <f>F60*H60</f>
        <v>126000</v>
      </c>
      <c r="H60" s="823">
        <f t="shared" si="27"/>
        <v>420</v>
      </c>
      <c r="I60" s="823" t="s">
        <v>453</v>
      </c>
      <c r="K60" s="821">
        <f t="shared" si="16"/>
        <v>1</v>
      </c>
      <c r="L60" s="819">
        <f t="shared" si="17"/>
        <v>300</v>
      </c>
    </row>
    <row r="61" spans="2:29" ht="15" customHeight="1" x14ac:dyDescent="0.3">
      <c r="B61" s="713" t="s">
        <v>675</v>
      </c>
      <c r="C61" s="823">
        <v>1</v>
      </c>
      <c r="D61" s="842">
        <f>'Prec Materia Prima y Empaq'!$H$162</f>
        <v>100</v>
      </c>
      <c r="E61" s="819"/>
      <c r="F61" s="820">
        <f t="shared" si="14"/>
        <v>100</v>
      </c>
      <c r="G61" s="829">
        <f t="shared" si="26"/>
        <v>42000</v>
      </c>
      <c r="H61" s="823">
        <f t="shared" si="27"/>
        <v>420</v>
      </c>
      <c r="I61" s="823" t="s">
        <v>453</v>
      </c>
      <c r="K61" s="821">
        <f t="shared" si="16"/>
        <v>1</v>
      </c>
      <c r="L61" s="819">
        <f t="shared" si="17"/>
        <v>100</v>
      </c>
    </row>
    <row r="62" spans="2:29" ht="15" customHeight="1" x14ac:dyDescent="0.3">
      <c r="B62" s="716" t="s">
        <v>310</v>
      </c>
      <c r="C62" s="823">
        <v>1</v>
      </c>
      <c r="D62" s="842">
        <f>'Prec Materia Prima y Empaq'!$H$130</f>
        <v>100</v>
      </c>
      <c r="E62" s="819">
        <v>0</v>
      </c>
      <c r="F62" s="820">
        <f t="shared" ref="F62:F63" si="28">+E62+D62</f>
        <v>100</v>
      </c>
      <c r="G62" s="829">
        <f t="shared" si="26"/>
        <v>42000</v>
      </c>
      <c r="H62" s="823">
        <f t="shared" si="27"/>
        <v>420</v>
      </c>
      <c r="I62" s="823" t="s">
        <v>453</v>
      </c>
      <c r="K62" s="821">
        <f t="shared" si="16"/>
        <v>1</v>
      </c>
      <c r="L62" s="819">
        <f t="shared" si="17"/>
        <v>100</v>
      </c>
    </row>
    <row r="63" spans="2:29" ht="15" customHeight="1" x14ac:dyDescent="0.3">
      <c r="B63" s="823" t="s">
        <v>309</v>
      </c>
      <c r="C63" s="823">
        <v>1</v>
      </c>
      <c r="D63" s="842">
        <f>'Prec Materia Prima y Empaq'!$H$129</f>
        <v>800</v>
      </c>
      <c r="E63" s="819">
        <v>0</v>
      </c>
      <c r="F63" s="820">
        <f t="shared" si="28"/>
        <v>800</v>
      </c>
      <c r="G63" s="829">
        <f t="shared" si="26"/>
        <v>336000</v>
      </c>
      <c r="H63" s="823">
        <f t="shared" si="27"/>
        <v>420</v>
      </c>
      <c r="I63" s="823" t="s">
        <v>453</v>
      </c>
      <c r="K63" s="821">
        <f t="shared" si="16"/>
        <v>1</v>
      </c>
      <c r="L63" s="819">
        <f t="shared" si="17"/>
        <v>800</v>
      </c>
    </row>
    <row r="64" spans="2:29" ht="15" customHeight="1" thickBot="1" x14ac:dyDescent="0.35">
      <c r="B64" s="805"/>
      <c r="C64" s="805"/>
      <c r="D64" s="832"/>
      <c r="E64" s="732"/>
      <c r="F64" s="833"/>
      <c r="G64" s="995">
        <f>SUM(G49:G63)/D43</f>
        <v>2112.039560263433</v>
      </c>
      <c r="H64" s="835" t="s">
        <v>454</v>
      </c>
      <c r="I64" s="805"/>
      <c r="L64" s="996">
        <f>SUM(L49:L63)</f>
        <v>2112.0395602634335</v>
      </c>
    </row>
    <row r="65" spans="1:9" ht="15" customHeight="1" thickTop="1" x14ac:dyDescent="0.3">
      <c r="B65" s="1007" t="s">
        <v>409</v>
      </c>
      <c r="C65" s="1008"/>
      <c r="D65" s="1009">
        <f>+'Gtos Varios'!I14</f>
        <v>3672.93</v>
      </c>
      <c r="E65" s="1008"/>
      <c r="F65" s="1010">
        <f t="shared" ref="F65" si="29">+E65+D65</f>
        <v>3672.93</v>
      </c>
      <c r="G65" s="1011">
        <f>F65</f>
        <v>3672.93</v>
      </c>
      <c r="H65" s="1008" t="str">
        <f>B65</f>
        <v xml:space="preserve">GASTOS VARIOS </v>
      </c>
      <c r="I65" s="805"/>
    </row>
    <row r="66" spans="1:9" ht="15" customHeight="1" x14ac:dyDescent="0.3">
      <c r="B66" s="805"/>
      <c r="C66" s="805"/>
      <c r="D66" s="832"/>
      <c r="E66" s="732"/>
      <c r="F66" s="833"/>
      <c r="G66" s="837"/>
      <c r="H66" s="805"/>
      <c r="I66" s="805"/>
    </row>
    <row r="67" spans="1:9" ht="15" customHeight="1" x14ac:dyDescent="0.3">
      <c r="B67" s="805"/>
      <c r="C67" s="805"/>
      <c r="D67" s="832"/>
      <c r="E67" s="732"/>
      <c r="F67" s="833"/>
      <c r="G67" s="837"/>
      <c r="H67" s="805"/>
      <c r="I67" s="805"/>
    </row>
    <row r="68" spans="1:9" ht="15" customHeight="1" thickBot="1" x14ac:dyDescent="0.35">
      <c r="F68" s="838">
        <f>SUM(F49:F63)</f>
        <v>359060.23</v>
      </c>
      <c r="G68" s="839">
        <f>SUM(G64:G65)</f>
        <v>5784.9695602634329</v>
      </c>
      <c r="H68" s="712" t="s">
        <v>412</v>
      </c>
    </row>
    <row r="69" spans="1:9" ht="15" customHeight="1" thickTop="1" x14ac:dyDescent="0.3">
      <c r="G69" s="833">
        <f>G68*58%</f>
        <v>3355.2823449527909</v>
      </c>
      <c r="H69" s="844">
        <v>0.57999999999999996</v>
      </c>
      <c r="I69" s="712" t="s">
        <v>539</v>
      </c>
    </row>
    <row r="70" spans="1:9" ht="15" customHeight="1" thickBot="1" x14ac:dyDescent="0.35">
      <c r="G70" s="841">
        <f>G68+G69</f>
        <v>9140.2519052162243</v>
      </c>
      <c r="H70" s="712" t="s">
        <v>414</v>
      </c>
    </row>
    <row r="71" spans="1:9" ht="15" customHeight="1" thickTop="1" x14ac:dyDescent="0.3"/>
    <row r="78" spans="1:9" ht="15" customHeight="1" x14ac:dyDescent="0.3">
      <c r="B78" s="802" t="s">
        <v>61</v>
      </c>
      <c r="C78" s="802"/>
      <c r="D78" s="801" t="s">
        <v>547</v>
      </c>
    </row>
    <row r="79" spans="1:9" ht="15" customHeight="1" x14ac:dyDescent="0.3">
      <c r="A79" s="803" t="s">
        <v>718</v>
      </c>
      <c r="B79" s="802" t="s">
        <v>62</v>
      </c>
      <c r="C79" s="802"/>
      <c r="D79" s="801" t="str">
        <f>VLOOKUP(D78,LISTPROD[],2,FALSE)</f>
        <v>HIGAZAN</v>
      </c>
      <c r="E79" s="712" t="s">
        <v>486</v>
      </c>
      <c r="F79" s="712" t="s">
        <v>487</v>
      </c>
    </row>
    <row r="80" spans="1:9" ht="15" customHeight="1" x14ac:dyDescent="0.3">
      <c r="B80" s="802" t="s">
        <v>234</v>
      </c>
      <c r="C80" s="802"/>
      <c r="D80" s="801" t="str">
        <f>VLOOKUP(D78,LISTPROD[],9,FALSE)</f>
        <v>500 ML</v>
      </c>
    </row>
    <row r="81" spans="2:29" ht="15" customHeight="1" x14ac:dyDescent="0.3">
      <c r="B81" s="802" t="s">
        <v>239</v>
      </c>
      <c r="C81" s="802"/>
      <c r="D81" s="804">
        <v>420</v>
      </c>
      <c r="E81" s="800"/>
    </row>
    <row r="82" spans="2:29" ht="15" customHeight="1" x14ac:dyDescent="0.3">
      <c r="B82" s="802" t="s">
        <v>240</v>
      </c>
      <c r="C82" s="802"/>
      <c r="D82" s="801"/>
    </row>
    <row r="83" spans="2:29" ht="15" customHeight="1" x14ac:dyDescent="0.3">
      <c r="B83" s="802" t="s">
        <v>238</v>
      </c>
      <c r="C83" s="802"/>
      <c r="D83" s="712" t="s">
        <v>56</v>
      </c>
      <c r="E83" s="800" t="s">
        <v>449</v>
      </c>
    </row>
    <row r="84" spans="2:29" ht="15" customHeight="1" x14ac:dyDescent="0.3">
      <c r="B84" s="806" t="s">
        <v>410</v>
      </c>
      <c r="C84" s="806"/>
      <c r="D84" s="807">
        <v>500</v>
      </c>
      <c r="E84" s="808"/>
    </row>
    <row r="85" spans="2:29" ht="15" customHeight="1" x14ac:dyDescent="0.3">
      <c r="B85" s="1498" t="s">
        <v>404</v>
      </c>
      <c r="C85" s="1498"/>
      <c r="D85" s="1498"/>
      <c r="E85" s="1498"/>
      <c r="F85" s="1498"/>
      <c r="G85" s="714"/>
      <c r="H85" s="1499" t="s">
        <v>416</v>
      </c>
      <c r="I85" s="1500"/>
    </row>
    <row r="86" spans="2:29" ht="34.5" customHeight="1" x14ac:dyDescent="0.3">
      <c r="B86" s="810" t="s">
        <v>398</v>
      </c>
      <c r="C86" s="811" t="s">
        <v>441</v>
      </c>
      <c r="D86" s="812" t="s">
        <v>399</v>
      </c>
      <c r="E86" s="813" t="s">
        <v>402</v>
      </c>
      <c r="F86" s="812" t="s">
        <v>399</v>
      </c>
      <c r="G86" s="812" t="s">
        <v>411</v>
      </c>
      <c r="H86" s="814" t="s">
        <v>408</v>
      </c>
      <c r="I86" s="815" t="s">
        <v>415</v>
      </c>
      <c r="K86" s="816" t="s">
        <v>603</v>
      </c>
      <c r="L86" s="816" t="s">
        <v>604</v>
      </c>
    </row>
    <row r="87" spans="2:29" ht="15" customHeight="1" x14ac:dyDescent="0.3">
      <c r="B87" s="714" t="s">
        <v>248</v>
      </c>
      <c r="C87" s="714">
        <v>1000</v>
      </c>
      <c r="D87" s="818">
        <f>'Prec Materia Prima y Empaq'!$H$21</f>
        <v>15400</v>
      </c>
      <c r="E87" s="819">
        <f>D87*19%</f>
        <v>2926</v>
      </c>
      <c r="F87" s="820">
        <f>+E87+D87</f>
        <v>18326</v>
      </c>
      <c r="G87" s="819">
        <f>F87/C87*H87</f>
        <v>12828.2</v>
      </c>
      <c r="H87" s="821">
        <v>700</v>
      </c>
      <c r="I87" s="714" t="s">
        <v>450</v>
      </c>
      <c r="K87" s="821">
        <f t="shared" ref="K87:K101" si="30">H87/$D$81</f>
        <v>1.6666666666666667</v>
      </c>
      <c r="L87" s="819">
        <f>F87/C87*K87</f>
        <v>30.543333333333337</v>
      </c>
    </row>
    <row r="88" spans="2:29" ht="15" customHeight="1" x14ac:dyDescent="0.3">
      <c r="B88" s="714" t="s">
        <v>443</v>
      </c>
      <c r="C88" s="714">
        <v>1000</v>
      </c>
      <c r="D88" s="818">
        <f>'Prec Materia Prima y Empaq'!$H$11</f>
        <v>8000</v>
      </c>
      <c r="E88" s="819">
        <f t="shared" ref="E88:E94" si="31">D88*19%</f>
        <v>1520</v>
      </c>
      <c r="F88" s="820">
        <f t="shared" ref="F88:F99" si="32">+E88+D88</f>
        <v>9520</v>
      </c>
      <c r="G88" s="819">
        <f t="shared" ref="G88:G90" si="33">F88/C88*H88</f>
        <v>5712</v>
      </c>
      <c r="H88" s="821">
        <v>600</v>
      </c>
      <c r="I88" s="714" t="s">
        <v>450</v>
      </c>
      <c r="K88" s="821">
        <f t="shared" si="30"/>
        <v>1.4285714285714286</v>
      </c>
      <c r="L88" s="819">
        <f t="shared" ref="L88:L101" si="34">F88/C88*K88</f>
        <v>13.6</v>
      </c>
    </row>
    <row r="89" spans="2:29" ht="15" customHeight="1" x14ac:dyDescent="0.3">
      <c r="B89" s="714" t="s">
        <v>253</v>
      </c>
      <c r="C89" s="714">
        <v>1000</v>
      </c>
      <c r="D89" s="818">
        <f>'Prec Materia Prima y Empaq'!$H$9</f>
        <v>5400</v>
      </c>
      <c r="E89" s="819">
        <f t="shared" si="31"/>
        <v>1026</v>
      </c>
      <c r="F89" s="820">
        <f t="shared" si="32"/>
        <v>6426</v>
      </c>
      <c r="G89" s="819">
        <f t="shared" si="33"/>
        <v>3213</v>
      </c>
      <c r="H89" s="821">
        <v>500</v>
      </c>
      <c r="I89" s="714" t="s">
        <v>450</v>
      </c>
      <c r="K89" s="821">
        <f t="shared" si="30"/>
        <v>1.1904761904761905</v>
      </c>
      <c r="L89" s="819">
        <f t="shared" si="34"/>
        <v>7.65</v>
      </c>
    </row>
    <row r="90" spans="2:29" ht="15" customHeight="1" x14ac:dyDescent="0.3">
      <c r="B90" s="714" t="s">
        <v>261</v>
      </c>
      <c r="C90" s="714">
        <v>1000</v>
      </c>
      <c r="D90" s="818">
        <f>'Prec Materia Prima y Empaq'!$H$16</f>
        <v>14000</v>
      </c>
      <c r="E90" s="819">
        <f t="shared" si="31"/>
        <v>2660</v>
      </c>
      <c r="F90" s="820">
        <f t="shared" si="32"/>
        <v>16660</v>
      </c>
      <c r="G90" s="819">
        <f t="shared" si="33"/>
        <v>3332</v>
      </c>
      <c r="H90" s="821">
        <v>200</v>
      </c>
      <c r="I90" s="714" t="s">
        <v>450</v>
      </c>
      <c r="K90" s="821">
        <f t="shared" si="30"/>
        <v>0.47619047619047616</v>
      </c>
      <c r="L90" s="819">
        <f t="shared" si="34"/>
        <v>7.9333333333333327</v>
      </c>
    </row>
    <row r="91" spans="2:29" ht="15" customHeight="1" x14ac:dyDescent="0.3">
      <c r="B91" s="714" t="s">
        <v>246</v>
      </c>
      <c r="C91" s="714">
        <v>1000</v>
      </c>
      <c r="D91" s="818">
        <f>'Prec Materia Prima y Empaq'!$H$41</f>
        <v>80268</v>
      </c>
      <c r="E91" s="819">
        <f t="shared" si="31"/>
        <v>15250.92</v>
      </c>
      <c r="F91" s="820">
        <f t="shared" si="32"/>
        <v>95518.92</v>
      </c>
      <c r="G91" s="819">
        <f>F91/C91*H91</f>
        <v>1910.3783999999998</v>
      </c>
      <c r="H91" s="821">
        <v>20</v>
      </c>
      <c r="I91" s="714" t="s">
        <v>450</v>
      </c>
      <c r="K91" s="821">
        <f t="shared" si="30"/>
        <v>4.7619047619047616E-2</v>
      </c>
      <c r="L91" s="819">
        <f t="shared" si="34"/>
        <v>4.5485199999999999</v>
      </c>
    </row>
    <row r="92" spans="2:29" ht="15" customHeight="1" x14ac:dyDescent="0.3">
      <c r="B92" s="714" t="s">
        <v>256</v>
      </c>
      <c r="C92" s="714">
        <v>1000</v>
      </c>
      <c r="D92" s="843">
        <f>'Prec Materia Prima y Empaq'!H54</f>
        <v>142131</v>
      </c>
      <c r="E92" s="819">
        <f t="shared" ref="E92" si="35">D92*19%</f>
        <v>27004.89</v>
      </c>
      <c r="F92" s="820">
        <f t="shared" ref="F92" si="36">+E92+D92</f>
        <v>169135.89</v>
      </c>
      <c r="G92" s="819">
        <f t="shared" ref="G92" si="37">F92/C92*H92</f>
        <v>16913.589</v>
      </c>
      <c r="H92" s="821">
        <v>100</v>
      </c>
      <c r="I92" s="714" t="s">
        <v>450</v>
      </c>
      <c r="K92" s="821">
        <f t="shared" si="30"/>
        <v>0.23809523809523808</v>
      </c>
      <c r="L92" s="819">
        <f t="shared" ref="L92" si="38">F92/C92*K92</f>
        <v>40.270450000000004</v>
      </c>
    </row>
    <row r="93" spans="2:29" ht="15" customHeight="1" x14ac:dyDescent="0.3">
      <c r="B93" s="714" t="s">
        <v>270</v>
      </c>
      <c r="C93" s="714">
        <v>1000</v>
      </c>
      <c r="D93" s="843">
        <f>'Prec Materia Prima y Empaq'!$H$49</f>
        <v>70000</v>
      </c>
      <c r="E93" s="819">
        <f t="shared" si="31"/>
        <v>13300</v>
      </c>
      <c r="F93" s="820">
        <f t="shared" si="32"/>
        <v>83300</v>
      </c>
      <c r="G93" s="819">
        <f t="shared" ref="G93" si="39">F93/C93*H93</f>
        <v>8330</v>
      </c>
      <c r="H93" s="821">
        <v>100</v>
      </c>
      <c r="I93" s="714" t="s">
        <v>450</v>
      </c>
      <c r="K93" s="821">
        <f t="shared" si="30"/>
        <v>0.23809523809523808</v>
      </c>
      <c r="L93" s="819">
        <f t="shared" si="34"/>
        <v>19.833333333333332</v>
      </c>
    </row>
    <row r="94" spans="2:29" ht="15" customHeight="1" x14ac:dyDescent="0.3">
      <c r="B94" s="714" t="s">
        <v>382</v>
      </c>
      <c r="C94" s="714">
        <v>3785</v>
      </c>
      <c r="D94" s="818">
        <f>'Prec Materia Prima y Empaq'!$H$18</f>
        <v>24</v>
      </c>
      <c r="E94" s="819">
        <f t="shared" si="31"/>
        <v>4.5600000000000005</v>
      </c>
      <c r="F94" s="820">
        <f t="shared" si="32"/>
        <v>28.560000000000002</v>
      </c>
      <c r="G94" s="819">
        <f>F94/C94*H94</f>
        <v>0.37727873183619554</v>
      </c>
      <c r="H94" s="821">
        <v>50</v>
      </c>
      <c r="I94" s="714" t="s">
        <v>450</v>
      </c>
      <c r="K94" s="821">
        <f t="shared" si="30"/>
        <v>0.11904761904761904</v>
      </c>
      <c r="L94" s="819">
        <f t="shared" si="34"/>
        <v>8.9828269484808459E-4</v>
      </c>
    </row>
    <row r="95" spans="2:29" ht="31.5" customHeight="1" x14ac:dyDescent="0.3">
      <c r="B95" s="716" t="s">
        <v>247</v>
      </c>
      <c r="C95" s="714">
        <v>1000</v>
      </c>
      <c r="D95" s="822">
        <f>'Prec Materia Prima y Empaq'!$H$7</f>
        <v>50000</v>
      </c>
      <c r="E95" s="819">
        <v>0</v>
      </c>
      <c r="F95" s="820">
        <f t="shared" si="32"/>
        <v>50000</v>
      </c>
      <c r="G95" s="819">
        <f>F95/C95*H95</f>
        <v>32.022471910112351</v>
      </c>
      <c r="H95" s="823">
        <v>0.64044943820224698</v>
      </c>
      <c r="I95" s="823" t="s">
        <v>453</v>
      </c>
      <c r="K95" s="821">
        <f t="shared" ref="K95" si="40">H95/$D$7</f>
        <v>1.5248796147672547E-3</v>
      </c>
      <c r="L95" s="819">
        <f t="shared" si="34"/>
        <v>7.6243980738362735E-2</v>
      </c>
      <c r="N95" s="716" t="s">
        <v>247</v>
      </c>
      <c r="O95" s="824">
        <v>1</v>
      </c>
      <c r="P95" s="819" t="e">
        <f>$F$398/$C$398*$O$398</f>
        <v>#DIV/0!</v>
      </c>
      <c r="Q95" s="732"/>
      <c r="R95" s="825" t="e">
        <f>P95/O84</f>
        <v>#DIV/0!</v>
      </c>
      <c r="S95" s="732" t="e">
        <f>R95*1000</f>
        <v>#DIV/0!</v>
      </c>
      <c r="T95" s="826" t="e">
        <f>O95/$O$387*1000</f>
        <v>#DIV/0!</v>
      </c>
      <c r="U95" s="817" t="e">
        <f>T95*$M$387</f>
        <v>#DIV/0!</v>
      </c>
      <c r="Y95" s="817"/>
      <c r="Z95" s="817"/>
      <c r="AA95" s="827"/>
      <c r="AC95" s="828"/>
    </row>
    <row r="96" spans="2:29" ht="15" customHeight="1" x14ac:dyDescent="0.3">
      <c r="B96" s="716" t="s">
        <v>485</v>
      </c>
      <c r="C96" s="716">
        <v>1</v>
      </c>
      <c r="D96" s="822">
        <f>'Prec Materia Prima y Empaq'!$H$138</f>
        <v>650</v>
      </c>
      <c r="E96" s="819">
        <v>0</v>
      </c>
      <c r="F96" s="820">
        <f t="shared" si="32"/>
        <v>650</v>
      </c>
      <c r="G96" s="829">
        <f>F96*H96</f>
        <v>273000</v>
      </c>
      <c r="H96" s="823">
        <f>$D$81</f>
        <v>420</v>
      </c>
      <c r="I96" s="823" t="s">
        <v>453</v>
      </c>
      <c r="K96" s="821">
        <f t="shared" si="30"/>
        <v>1</v>
      </c>
      <c r="L96" s="819">
        <f t="shared" si="34"/>
        <v>650</v>
      </c>
    </row>
    <row r="97" spans="2:12" ht="15" customHeight="1" x14ac:dyDescent="0.3">
      <c r="B97" s="716" t="s">
        <v>614</v>
      </c>
      <c r="C97" s="716">
        <v>1</v>
      </c>
      <c r="D97" s="822">
        <f>'Prec Materia Prima y Empaq'!$H$144</f>
        <v>70</v>
      </c>
      <c r="E97" s="819">
        <v>0</v>
      </c>
      <c r="F97" s="820">
        <f t="shared" si="32"/>
        <v>70</v>
      </c>
      <c r="G97" s="829">
        <f t="shared" ref="G97:G101" si="41">F97*H97</f>
        <v>29400</v>
      </c>
      <c r="H97" s="823">
        <f t="shared" ref="H97:H101" si="42">$D$81</f>
        <v>420</v>
      </c>
      <c r="I97" s="823" t="s">
        <v>453</v>
      </c>
      <c r="K97" s="821">
        <f t="shared" si="30"/>
        <v>1</v>
      </c>
      <c r="L97" s="819">
        <f t="shared" si="34"/>
        <v>70</v>
      </c>
    </row>
    <row r="98" spans="2:12" ht="33" customHeight="1" x14ac:dyDescent="0.3">
      <c r="B98" s="716" t="s">
        <v>695</v>
      </c>
      <c r="C98" s="823">
        <v>1</v>
      </c>
      <c r="D98" s="842">
        <f>'Prec Materia Prima y Empaq'!$H$161</f>
        <v>300</v>
      </c>
      <c r="E98" s="819">
        <v>0</v>
      </c>
      <c r="F98" s="820">
        <f t="shared" si="32"/>
        <v>300</v>
      </c>
      <c r="G98" s="829">
        <f t="shared" si="41"/>
        <v>126000</v>
      </c>
      <c r="H98" s="823">
        <f t="shared" si="42"/>
        <v>420</v>
      </c>
      <c r="I98" s="823" t="s">
        <v>453</v>
      </c>
      <c r="K98" s="821">
        <f t="shared" si="30"/>
        <v>1</v>
      </c>
      <c r="L98" s="819">
        <f t="shared" si="34"/>
        <v>300</v>
      </c>
    </row>
    <row r="99" spans="2:12" ht="15" customHeight="1" x14ac:dyDescent="0.3">
      <c r="B99" s="713" t="s">
        <v>675</v>
      </c>
      <c r="C99" s="823">
        <v>1</v>
      </c>
      <c r="D99" s="842">
        <f>'Prec Materia Prima y Empaq'!$H$162</f>
        <v>100</v>
      </c>
      <c r="E99" s="819"/>
      <c r="F99" s="820">
        <f t="shared" si="32"/>
        <v>100</v>
      </c>
      <c r="G99" s="829">
        <f t="shared" si="41"/>
        <v>42000</v>
      </c>
      <c r="H99" s="823">
        <f t="shared" si="42"/>
        <v>420</v>
      </c>
      <c r="I99" s="823" t="s">
        <v>453</v>
      </c>
      <c r="K99" s="821">
        <f t="shared" si="30"/>
        <v>1</v>
      </c>
      <c r="L99" s="819">
        <f t="shared" si="34"/>
        <v>100</v>
      </c>
    </row>
    <row r="100" spans="2:12" ht="15" customHeight="1" x14ac:dyDescent="0.3">
      <c r="B100" s="716" t="s">
        <v>310</v>
      </c>
      <c r="C100" s="823">
        <v>1</v>
      </c>
      <c r="D100" s="842">
        <f>'Prec Materia Prima y Empaq'!$H$130</f>
        <v>100</v>
      </c>
      <c r="E100" s="819">
        <v>0</v>
      </c>
      <c r="F100" s="820">
        <f t="shared" ref="F100:F101" si="43">+E100+D100</f>
        <v>100</v>
      </c>
      <c r="G100" s="829">
        <f t="shared" si="41"/>
        <v>42000</v>
      </c>
      <c r="H100" s="823">
        <f t="shared" si="42"/>
        <v>420</v>
      </c>
      <c r="I100" s="823" t="s">
        <v>453</v>
      </c>
      <c r="K100" s="821">
        <f t="shared" si="30"/>
        <v>1</v>
      </c>
      <c r="L100" s="819">
        <f t="shared" si="34"/>
        <v>100</v>
      </c>
    </row>
    <row r="101" spans="2:12" ht="15" customHeight="1" x14ac:dyDescent="0.3">
      <c r="B101" s="823" t="s">
        <v>309</v>
      </c>
      <c r="C101" s="823">
        <v>1</v>
      </c>
      <c r="D101" s="842">
        <f>'Prec Materia Prima y Empaq'!$H$129</f>
        <v>800</v>
      </c>
      <c r="E101" s="819">
        <v>0</v>
      </c>
      <c r="F101" s="820">
        <f t="shared" si="43"/>
        <v>800</v>
      </c>
      <c r="G101" s="829">
        <f t="shared" si="41"/>
        <v>336000</v>
      </c>
      <c r="H101" s="823">
        <f t="shared" si="42"/>
        <v>420</v>
      </c>
      <c r="I101" s="823" t="s">
        <v>453</v>
      </c>
      <c r="K101" s="821">
        <f t="shared" si="30"/>
        <v>1</v>
      </c>
      <c r="L101" s="819">
        <f t="shared" si="34"/>
        <v>800</v>
      </c>
    </row>
    <row r="102" spans="2:12" ht="15" customHeight="1" thickBot="1" x14ac:dyDescent="0.35">
      <c r="B102" s="805"/>
      <c r="C102" s="805"/>
      <c r="D102" s="832"/>
      <c r="E102" s="732"/>
      <c r="F102" s="833"/>
      <c r="G102" s="834">
        <f>SUM(G87:G101)/D81</f>
        <v>2144.4561122634332</v>
      </c>
      <c r="H102" s="835" t="s">
        <v>454</v>
      </c>
      <c r="I102" s="805"/>
      <c r="L102" s="996">
        <f>SUM(L87:L101)</f>
        <v>2144.4561122634332</v>
      </c>
    </row>
    <row r="103" spans="2:12" ht="15" customHeight="1" thickTop="1" x14ac:dyDescent="0.3">
      <c r="B103" s="1216" t="s">
        <v>409</v>
      </c>
      <c r="C103" s="1008"/>
      <c r="D103" s="1009">
        <f>+'Gtos Varios'!I14</f>
        <v>3672.93</v>
      </c>
      <c r="E103" s="1008"/>
      <c r="F103" s="1010">
        <f t="shared" ref="F103" si="44">+E103+D103</f>
        <v>3672.93</v>
      </c>
      <c r="G103" s="1011">
        <f>F103</f>
        <v>3672.93</v>
      </c>
      <c r="H103" s="1008" t="str">
        <f>B103</f>
        <v xml:space="preserve">GASTOS VARIOS </v>
      </c>
      <c r="I103" s="805"/>
    </row>
    <row r="104" spans="2:12" ht="15" customHeight="1" x14ac:dyDescent="0.3">
      <c r="B104" s="805"/>
      <c r="C104" s="805"/>
      <c r="D104" s="832"/>
      <c r="E104" s="732"/>
      <c r="F104" s="833"/>
      <c r="G104" s="837"/>
      <c r="H104" s="805"/>
      <c r="I104" s="805"/>
    </row>
    <row r="105" spans="2:12" ht="15" customHeight="1" x14ac:dyDescent="0.3">
      <c r="B105" s="805"/>
      <c r="C105" s="805"/>
      <c r="D105" s="832"/>
      <c r="E105" s="732"/>
      <c r="F105" s="833"/>
      <c r="G105" s="837"/>
      <c r="H105" s="805"/>
      <c r="I105" s="805"/>
    </row>
    <row r="106" spans="2:12" ht="15" customHeight="1" thickBot="1" x14ac:dyDescent="0.35">
      <c r="F106" s="838">
        <f>SUM(F87:F101)</f>
        <v>450935.37</v>
      </c>
      <c r="G106" s="839">
        <f>SUM(G102:G103)</f>
        <v>5817.3861122634335</v>
      </c>
      <c r="H106" s="712" t="s">
        <v>412</v>
      </c>
    </row>
    <row r="107" spans="2:12" ht="15" customHeight="1" thickTop="1" x14ac:dyDescent="0.3">
      <c r="G107" s="833">
        <f>G106*58%</f>
        <v>3374.0839451127913</v>
      </c>
      <c r="H107" s="844">
        <v>0.57999999999999996</v>
      </c>
      <c r="I107" s="712" t="s">
        <v>539</v>
      </c>
    </row>
    <row r="108" spans="2:12" ht="15" customHeight="1" thickBot="1" x14ac:dyDescent="0.35">
      <c r="G108" s="841">
        <f>G106+G107</f>
        <v>9191.4700573762238</v>
      </c>
      <c r="H108" s="712" t="s">
        <v>414</v>
      </c>
    </row>
    <row r="109" spans="2:12" ht="15" customHeight="1" thickTop="1" x14ac:dyDescent="0.3"/>
    <row r="113" spans="1:29" ht="15" customHeight="1" x14ac:dyDescent="0.3">
      <c r="B113" s="802" t="s">
        <v>61</v>
      </c>
      <c r="C113" s="802"/>
      <c r="D113" s="801" t="s">
        <v>551</v>
      </c>
    </row>
    <row r="114" spans="1:29" ht="15" customHeight="1" x14ac:dyDescent="0.3">
      <c r="A114" s="803" t="s">
        <v>718</v>
      </c>
      <c r="B114" s="802" t="s">
        <v>62</v>
      </c>
      <c r="C114" s="802"/>
      <c r="D114" s="801" t="str">
        <f>VLOOKUP(D113,LISTPROD[],2,FALSE)</f>
        <v>HEPATO BILIAR</v>
      </c>
      <c r="E114" s="712" t="s">
        <v>690</v>
      </c>
      <c r="F114" s="712" t="s">
        <v>487</v>
      </c>
    </row>
    <row r="115" spans="1:29" ht="15" customHeight="1" x14ac:dyDescent="0.3">
      <c r="B115" s="802" t="s">
        <v>234</v>
      </c>
      <c r="C115" s="802"/>
      <c r="D115" s="801" t="str">
        <f>VLOOKUP(D113,LISTPROD[],9,FALSE)</f>
        <v>500 ML</v>
      </c>
    </row>
    <row r="116" spans="1:29" ht="15" customHeight="1" x14ac:dyDescent="0.3">
      <c r="B116" s="802" t="s">
        <v>239</v>
      </c>
      <c r="C116" s="802"/>
      <c r="D116" s="804">
        <v>420</v>
      </c>
      <c r="E116" s="800"/>
    </row>
    <row r="117" spans="1:29" ht="15" customHeight="1" x14ac:dyDescent="0.3">
      <c r="B117" s="802" t="s">
        <v>240</v>
      </c>
      <c r="C117" s="802"/>
      <c r="D117" s="801"/>
    </row>
    <row r="118" spans="1:29" ht="15" customHeight="1" x14ac:dyDescent="0.3">
      <c r="B118" s="802" t="s">
        <v>238</v>
      </c>
      <c r="C118" s="802"/>
      <c r="D118" s="712" t="s">
        <v>56</v>
      </c>
      <c r="E118" s="800" t="s">
        <v>449</v>
      </c>
    </row>
    <row r="119" spans="1:29" ht="15" customHeight="1" x14ac:dyDescent="0.3">
      <c r="B119" s="806" t="s">
        <v>410</v>
      </c>
      <c r="C119" s="806"/>
      <c r="D119" s="807">
        <v>500</v>
      </c>
      <c r="E119" s="808"/>
    </row>
    <row r="120" spans="1:29" ht="15" customHeight="1" x14ac:dyDescent="0.3">
      <c r="B120" s="1498" t="s">
        <v>404</v>
      </c>
      <c r="C120" s="1498"/>
      <c r="D120" s="1498"/>
      <c r="E120" s="1498"/>
      <c r="F120" s="1498"/>
      <c r="G120" s="714"/>
      <c r="H120" s="1499" t="s">
        <v>416</v>
      </c>
      <c r="I120" s="1500"/>
    </row>
    <row r="121" spans="1:29" ht="34.5" customHeight="1" x14ac:dyDescent="0.3">
      <c r="B121" s="810" t="s">
        <v>398</v>
      </c>
      <c r="C121" s="811" t="s">
        <v>441</v>
      </c>
      <c r="D121" s="812" t="s">
        <v>399</v>
      </c>
      <c r="E121" s="813" t="s">
        <v>402</v>
      </c>
      <c r="F121" s="812" t="s">
        <v>399</v>
      </c>
      <c r="G121" s="812" t="s">
        <v>411</v>
      </c>
      <c r="H121" s="814" t="s">
        <v>408</v>
      </c>
      <c r="I121" s="815" t="s">
        <v>415</v>
      </c>
      <c r="K121" s="816" t="s">
        <v>603</v>
      </c>
      <c r="L121" s="816" t="s">
        <v>604</v>
      </c>
    </row>
    <row r="122" spans="1:29" ht="15" customHeight="1" x14ac:dyDescent="0.3">
      <c r="B122" s="714" t="s">
        <v>248</v>
      </c>
      <c r="C122" s="714">
        <v>1000</v>
      </c>
      <c r="D122" s="818">
        <f>'Prec Materia Prima y Empaq'!$H$21</f>
        <v>15400</v>
      </c>
      <c r="E122" s="819">
        <f>D122*19%</f>
        <v>2926</v>
      </c>
      <c r="F122" s="820">
        <f>+E122+D122</f>
        <v>18326</v>
      </c>
      <c r="G122" s="819">
        <f>F122/C122*H122</f>
        <v>12828.2</v>
      </c>
      <c r="H122" s="821">
        <v>700</v>
      </c>
      <c r="I122" s="714" t="s">
        <v>450</v>
      </c>
      <c r="K122" s="821">
        <f>H122/$D$116</f>
        <v>1.6666666666666667</v>
      </c>
      <c r="L122" s="819">
        <f>F122/C122*K122</f>
        <v>30.543333333333337</v>
      </c>
    </row>
    <row r="123" spans="1:29" ht="15" customHeight="1" x14ac:dyDescent="0.3">
      <c r="B123" s="714" t="s">
        <v>443</v>
      </c>
      <c r="C123" s="714">
        <v>1000</v>
      </c>
      <c r="D123" s="818">
        <f>'Prec Materia Prima y Empaq'!$H$11</f>
        <v>8000</v>
      </c>
      <c r="E123" s="819">
        <f t="shared" ref="E123:E129" si="45">D123*19%</f>
        <v>1520</v>
      </c>
      <c r="F123" s="820">
        <f t="shared" ref="F123:F134" si="46">+E123+D123</f>
        <v>9520</v>
      </c>
      <c r="G123" s="819">
        <f t="shared" ref="G123:G125" si="47">F123/C123*H123</f>
        <v>5712</v>
      </c>
      <c r="H123" s="821">
        <v>600</v>
      </c>
      <c r="I123" s="714" t="s">
        <v>450</v>
      </c>
      <c r="K123" s="821">
        <f t="shared" ref="K123:K135" si="48">H123/$D$116</f>
        <v>1.4285714285714286</v>
      </c>
      <c r="L123" s="819">
        <f t="shared" ref="L123:L135" si="49">F123/C123*K123</f>
        <v>13.6</v>
      </c>
    </row>
    <row r="124" spans="1:29" ht="15" customHeight="1" x14ac:dyDescent="0.3">
      <c r="B124" s="714" t="s">
        <v>253</v>
      </c>
      <c r="C124" s="714">
        <v>1000</v>
      </c>
      <c r="D124" s="818">
        <f>'Prec Materia Prima y Empaq'!$H$9</f>
        <v>5400</v>
      </c>
      <c r="E124" s="819">
        <f t="shared" si="45"/>
        <v>1026</v>
      </c>
      <c r="F124" s="820">
        <f t="shared" si="46"/>
        <v>6426</v>
      </c>
      <c r="G124" s="819">
        <f t="shared" si="47"/>
        <v>3213</v>
      </c>
      <c r="H124" s="821">
        <v>500</v>
      </c>
      <c r="I124" s="714" t="s">
        <v>450</v>
      </c>
      <c r="K124" s="821">
        <f t="shared" si="48"/>
        <v>1.1904761904761905</v>
      </c>
      <c r="L124" s="819">
        <f t="shared" si="49"/>
        <v>7.65</v>
      </c>
    </row>
    <row r="125" spans="1:29" ht="15" customHeight="1" x14ac:dyDescent="0.3">
      <c r="B125" s="714" t="s">
        <v>261</v>
      </c>
      <c r="C125" s="714">
        <v>1000</v>
      </c>
      <c r="D125" s="818">
        <f>'Prec Materia Prima y Empaq'!$H$16</f>
        <v>14000</v>
      </c>
      <c r="E125" s="819">
        <f t="shared" si="45"/>
        <v>2660</v>
      </c>
      <c r="F125" s="820">
        <f t="shared" si="46"/>
        <v>16660</v>
      </c>
      <c r="G125" s="819">
        <f t="shared" si="47"/>
        <v>3332</v>
      </c>
      <c r="H125" s="821">
        <v>200</v>
      </c>
      <c r="I125" s="714" t="s">
        <v>450</v>
      </c>
      <c r="K125" s="821">
        <f t="shared" si="48"/>
        <v>0.47619047619047616</v>
      </c>
      <c r="L125" s="819">
        <f t="shared" si="49"/>
        <v>7.9333333333333327</v>
      </c>
    </row>
    <row r="126" spans="1:29" ht="15" customHeight="1" x14ac:dyDescent="0.3">
      <c r="B126" s="714" t="s">
        <v>246</v>
      </c>
      <c r="C126" s="714">
        <v>1000</v>
      </c>
      <c r="D126" s="818">
        <f>'Prec Materia Prima y Empaq'!$H$41</f>
        <v>80268</v>
      </c>
      <c r="E126" s="819">
        <f t="shared" si="45"/>
        <v>15250.92</v>
      </c>
      <c r="F126" s="820">
        <f t="shared" si="46"/>
        <v>95518.92</v>
      </c>
      <c r="G126" s="819">
        <f>F126/C126*H126</f>
        <v>1910.3783999999998</v>
      </c>
      <c r="H126" s="821">
        <v>20</v>
      </c>
      <c r="I126" s="714" t="s">
        <v>450</v>
      </c>
      <c r="K126" s="821">
        <f t="shared" si="48"/>
        <v>4.7619047619047616E-2</v>
      </c>
      <c r="L126" s="819">
        <f t="shared" si="49"/>
        <v>4.5485199999999999</v>
      </c>
    </row>
    <row r="127" spans="1:29" ht="15" customHeight="1" x14ac:dyDescent="0.3">
      <c r="B127" s="714" t="s">
        <v>270</v>
      </c>
      <c r="C127" s="714">
        <v>1000</v>
      </c>
      <c r="D127" s="843">
        <f>'Prec Materia Prima y Empaq'!$H$49</f>
        <v>70000</v>
      </c>
      <c r="E127" s="819">
        <f t="shared" si="45"/>
        <v>13300</v>
      </c>
      <c r="F127" s="820">
        <f t="shared" si="46"/>
        <v>83300</v>
      </c>
      <c r="G127" s="819">
        <f t="shared" ref="G127" si="50">F127/C127*H127</f>
        <v>8330</v>
      </c>
      <c r="H127" s="821">
        <v>100</v>
      </c>
      <c r="I127" s="714" t="s">
        <v>450</v>
      </c>
      <c r="K127" s="821">
        <f t="shared" si="48"/>
        <v>0.23809523809523808</v>
      </c>
      <c r="L127" s="819">
        <f t="shared" si="49"/>
        <v>19.833333333333332</v>
      </c>
    </row>
    <row r="128" spans="1:29" ht="31.5" customHeight="1" x14ac:dyDescent="0.3">
      <c r="B128" s="716" t="s">
        <v>247</v>
      </c>
      <c r="C128" s="714">
        <v>1000</v>
      </c>
      <c r="D128" s="822">
        <f>'Prec Materia Prima y Empaq'!$H$7</f>
        <v>50000</v>
      </c>
      <c r="E128" s="819">
        <v>0</v>
      </c>
      <c r="F128" s="820">
        <f t="shared" si="46"/>
        <v>50000</v>
      </c>
      <c r="G128" s="819">
        <f>F128/C128*H128</f>
        <v>32.022471910112351</v>
      </c>
      <c r="H128" s="823">
        <v>0.64044943820224698</v>
      </c>
      <c r="I128" s="823" t="s">
        <v>453</v>
      </c>
      <c r="K128" s="821">
        <f t="shared" ref="K128" si="51">H128/$D$7</f>
        <v>1.5248796147672547E-3</v>
      </c>
      <c r="L128" s="819">
        <f t="shared" si="49"/>
        <v>7.6243980738362735E-2</v>
      </c>
      <c r="N128" s="716" t="s">
        <v>247</v>
      </c>
      <c r="O128" s="824">
        <v>1</v>
      </c>
      <c r="P128" s="819" t="e">
        <f>$F$398/$C$398*$O$398</f>
        <v>#DIV/0!</v>
      </c>
      <c r="Q128" s="732"/>
      <c r="R128" s="825" t="e">
        <f>P128/O117</f>
        <v>#DIV/0!</v>
      </c>
      <c r="S128" s="732" t="e">
        <f>R128*1000</f>
        <v>#DIV/0!</v>
      </c>
      <c r="T128" s="826" t="e">
        <f>O128/$O$387*1000</f>
        <v>#DIV/0!</v>
      </c>
      <c r="U128" s="817" t="e">
        <f>T128*$M$387</f>
        <v>#DIV/0!</v>
      </c>
      <c r="Y128" s="817"/>
      <c r="Z128" s="817"/>
      <c r="AA128" s="827"/>
      <c r="AC128" s="828"/>
    </row>
    <row r="129" spans="2:12" ht="15" customHeight="1" x14ac:dyDescent="0.3">
      <c r="B129" s="714" t="s">
        <v>382</v>
      </c>
      <c r="C129" s="714">
        <v>3785</v>
      </c>
      <c r="D129" s="818">
        <f>'Prec Materia Prima y Empaq'!$H$18</f>
        <v>24</v>
      </c>
      <c r="E129" s="819">
        <f t="shared" si="45"/>
        <v>4.5600000000000005</v>
      </c>
      <c r="F129" s="820">
        <f t="shared" si="46"/>
        <v>28.560000000000002</v>
      </c>
      <c r="G129" s="819">
        <f>F129/C129*H129</f>
        <v>0.37727873183619554</v>
      </c>
      <c r="H129" s="821">
        <v>50</v>
      </c>
      <c r="I129" s="714" t="s">
        <v>450</v>
      </c>
      <c r="K129" s="821">
        <f t="shared" si="48"/>
        <v>0.11904761904761904</v>
      </c>
      <c r="L129" s="819">
        <f t="shared" si="49"/>
        <v>8.9828269484808459E-4</v>
      </c>
    </row>
    <row r="130" spans="2:12" ht="15" customHeight="1" x14ac:dyDescent="0.3">
      <c r="B130" s="716" t="s">
        <v>485</v>
      </c>
      <c r="C130" s="716">
        <v>1</v>
      </c>
      <c r="D130" s="822">
        <f>'Prec Materia Prima y Empaq'!$H$138</f>
        <v>650</v>
      </c>
      <c r="E130" s="819">
        <v>0</v>
      </c>
      <c r="F130" s="820">
        <f t="shared" si="46"/>
        <v>650</v>
      </c>
      <c r="G130" s="829">
        <f>F130*H130</f>
        <v>273000</v>
      </c>
      <c r="H130" s="823">
        <f>$D$116</f>
        <v>420</v>
      </c>
      <c r="I130" s="823" t="s">
        <v>453</v>
      </c>
      <c r="K130" s="821">
        <f t="shared" si="48"/>
        <v>1</v>
      </c>
      <c r="L130" s="819">
        <f t="shared" si="49"/>
        <v>650</v>
      </c>
    </row>
    <row r="131" spans="2:12" ht="15" customHeight="1" x14ac:dyDescent="0.3">
      <c r="B131" s="716" t="s">
        <v>614</v>
      </c>
      <c r="C131" s="716">
        <v>1</v>
      </c>
      <c r="D131" s="822">
        <f>'Prec Materia Prima y Empaq'!$H$144</f>
        <v>70</v>
      </c>
      <c r="E131" s="819">
        <v>0</v>
      </c>
      <c r="F131" s="820">
        <f t="shared" si="46"/>
        <v>70</v>
      </c>
      <c r="G131" s="829">
        <f t="shared" ref="G131:G135" si="52">F131*H131</f>
        <v>29400</v>
      </c>
      <c r="H131" s="823">
        <f t="shared" ref="H131:H135" si="53">$D$116</f>
        <v>420</v>
      </c>
      <c r="I131" s="823" t="s">
        <v>453</v>
      </c>
      <c r="K131" s="821">
        <f t="shared" si="48"/>
        <v>1</v>
      </c>
      <c r="L131" s="819">
        <f t="shared" si="49"/>
        <v>70</v>
      </c>
    </row>
    <row r="132" spans="2:12" ht="57" customHeight="1" x14ac:dyDescent="0.3">
      <c r="B132" s="716" t="s">
        <v>695</v>
      </c>
      <c r="C132" s="823">
        <v>1</v>
      </c>
      <c r="D132" s="842">
        <f>'Prec Materia Prima y Empaq'!$H$161</f>
        <v>300</v>
      </c>
      <c r="E132" s="819">
        <v>0</v>
      </c>
      <c r="F132" s="820">
        <f t="shared" si="46"/>
        <v>300</v>
      </c>
      <c r="G132" s="829">
        <f>F132*H132</f>
        <v>126000</v>
      </c>
      <c r="H132" s="823">
        <f t="shared" si="53"/>
        <v>420</v>
      </c>
      <c r="I132" s="823" t="s">
        <v>453</v>
      </c>
      <c r="K132" s="821">
        <f t="shared" si="48"/>
        <v>1</v>
      </c>
      <c r="L132" s="819">
        <f t="shared" si="49"/>
        <v>300</v>
      </c>
    </row>
    <row r="133" spans="2:12" ht="15" customHeight="1" x14ac:dyDescent="0.3">
      <c r="B133" s="713" t="s">
        <v>675</v>
      </c>
      <c r="C133" s="823">
        <v>1</v>
      </c>
      <c r="D133" s="842">
        <f>'Prec Materia Prima y Empaq'!$H$162</f>
        <v>100</v>
      </c>
      <c r="E133" s="819"/>
      <c r="F133" s="820">
        <f t="shared" si="46"/>
        <v>100</v>
      </c>
      <c r="G133" s="829">
        <f t="shared" si="52"/>
        <v>42000</v>
      </c>
      <c r="H133" s="823">
        <f t="shared" si="53"/>
        <v>420</v>
      </c>
      <c r="I133" s="823" t="s">
        <v>453</v>
      </c>
      <c r="K133" s="821">
        <f t="shared" si="48"/>
        <v>1</v>
      </c>
      <c r="L133" s="819">
        <f t="shared" si="49"/>
        <v>100</v>
      </c>
    </row>
    <row r="134" spans="2:12" ht="15" customHeight="1" x14ac:dyDescent="0.3">
      <c r="B134" s="716" t="s">
        <v>310</v>
      </c>
      <c r="C134" s="823">
        <v>1</v>
      </c>
      <c r="D134" s="842">
        <f>'Prec Materia Prima y Empaq'!$H$130</f>
        <v>100</v>
      </c>
      <c r="E134" s="819">
        <v>0</v>
      </c>
      <c r="F134" s="820">
        <f t="shared" si="46"/>
        <v>100</v>
      </c>
      <c r="G134" s="829">
        <f t="shared" si="52"/>
        <v>42000</v>
      </c>
      <c r="H134" s="823">
        <f t="shared" si="53"/>
        <v>420</v>
      </c>
      <c r="I134" s="823" t="s">
        <v>453</v>
      </c>
      <c r="K134" s="821">
        <f t="shared" si="48"/>
        <v>1</v>
      </c>
      <c r="L134" s="819">
        <f t="shared" si="49"/>
        <v>100</v>
      </c>
    </row>
    <row r="135" spans="2:12" ht="15" customHeight="1" x14ac:dyDescent="0.3">
      <c r="B135" s="823" t="s">
        <v>309</v>
      </c>
      <c r="C135" s="823">
        <v>1</v>
      </c>
      <c r="D135" s="842">
        <f>'Prec Materia Prima y Empaq'!$H$129</f>
        <v>800</v>
      </c>
      <c r="E135" s="819">
        <v>0</v>
      </c>
      <c r="F135" s="820">
        <f t="shared" ref="F135" si="54">+E135+D135</f>
        <v>800</v>
      </c>
      <c r="G135" s="829">
        <f t="shared" si="52"/>
        <v>336000</v>
      </c>
      <c r="H135" s="823">
        <f t="shared" si="53"/>
        <v>420</v>
      </c>
      <c r="I135" s="823" t="s">
        <v>453</v>
      </c>
      <c r="K135" s="821">
        <f t="shared" si="48"/>
        <v>1</v>
      </c>
      <c r="L135" s="819">
        <f t="shared" si="49"/>
        <v>800</v>
      </c>
    </row>
    <row r="136" spans="2:12" ht="15" customHeight="1" thickBot="1" x14ac:dyDescent="0.35">
      <c r="B136" s="805"/>
      <c r="C136" s="805"/>
      <c r="D136" s="832"/>
      <c r="E136" s="732"/>
      <c r="F136" s="833"/>
      <c r="G136" s="834">
        <f>SUM(G122:G135)/D116</f>
        <v>2104.1856622634332</v>
      </c>
      <c r="H136" s="835" t="s">
        <v>454</v>
      </c>
      <c r="I136" s="805"/>
      <c r="L136" s="996">
        <f>SUM(L122:L135)</f>
        <v>2104.1856622634332</v>
      </c>
    </row>
    <row r="137" spans="2:12" ht="15" customHeight="1" thickTop="1" x14ac:dyDescent="0.3">
      <c r="B137" s="1007" t="s">
        <v>409</v>
      </c>
      <c r="C137" s="1008"/>
      <c r="D137" s="1009">
        <f>+'Gtos Varios'!I14</f>
        <v>3672.93</v>
      </c>
      <c r="E137" s="1008"/>
      <c r="F137" s="1010">
        <f t="shared" ref="F137" si="55">+E137+D137</f>
        <v>3672.93</v>
      </c>
      <c r="G137" s="1011">
        <f>F137</f>
        <v>3672.93</v>
      </c>
      <c r="H137" s="1008" t="str">
        <f>B137</f>
        <v xml:space="preserve">GASTOS VARIOS </v>
      </c>
      <c r="I137" s="805"/>
    </row>
    <row r="138" spans="2:12" ht="15" customHeight="1" x14ac:dyDescent="0.3">
      <c r="B138" s="805"/>
      <c r="C138" s="805"/>
      <c r="D138" s="832"/>
      <c r="E138" s="732"/>
      <c r="F138" s="833"/>
      <c r="G138" s="837"/>
      <c r="H138" s="805"/>
      <c r="I138" s="805"/>
    </row>
    <row r="139" spans="2:12" ht="15" customHeight="1" x14ac:dyDescent="0.3">
      <c r="B139" s="805"/>
      <c r="C139" s="805"/>
      <c r="D139" s="832"/>
      <c r="E139" s="732"/>
      <c r="F139" s="833"/>
      <c r="G139" s="837"/>
      <c r="H139" s="805"/>
      <c r="I139" s="805"/>
    </row>
    <row r="140" spans="2:12" ht="15" customHeight="1" thickBot="1" x14ac:dyDescent="0.35">
      <c r="F140" s="838">
        <f>SUM(F122:F135)</f>
        <v>281799.48</v>
      </c>
      <c r="G140" s="839">
        <f>SUM(G136:G137)</f>
        <v>5777.1156622634335</v>
      </c>
      <c r="H140" s="712" t="s">
        <v>412</v>
      </c>
    </row>
    <row r="141" spans="2:12" ht="15" customHeight="1" thickTop="1" x14ac:dyDescent="0.3">
      <c r="G141" s="833">
        <f>G140*58%</f>
        <v>3350.7270841127911</v>
      </c>
      <c r="H141" s="844">
        <v>0.57999999999999996</v>
      </c>
      <c r="I141" s="712" t="s">
        <v>539</v>
      </c>
    </row>
    <row r="142" spans="2:12" ht="15" customHeight="1" thickBot="1" x14ac:dyDescent="0.35">
      <c r="G142" s="841">
        <f>G140+G141</f>
        <v>9127.8427463762237</v>
      </c>
      <c r="H142" s="712" t="s">
        <v>414</v>
      </c>
    </row>
    <row r="143" spans="2:12" ht="15" customHeight="1" thickTop="1" x14ac:dyDescent="0.3"/>
    <row r="146" spans="2:12" ht="15" customHeight="1" x14ac:dyDescent="0.3">
      <c r="B146" s="802" t="s">
        <v>61</v>
      </c>
      <c r="C146" s="802"/>
      <c r="D146" s="801" t="s">
        <v>553</v>
      </c>
      <c r="G146" s="862"/>
      <c r="H146" s="862"/>
      <c r="I146" s="862"/>
    </row>
    <row r="147" spans="2:12" ht="15" customHeight="1" x14ac:dyDescent="0.3">
      <c r="B147" s="802" t="s">
        <v>62</v>
      </c>
      <c r="C147" s="802"/>
      <c r="D147" s="801" t="str">
        <f>VLOOKUP(D146,LISTPROD[],2,FALSE)</f>
        <v>HIGADO RIÑON</v>
      </c>
      <c r="E147" s="712" t="s">
        <v>690</v>
      </c>
      <c r="G147" s="862"/>
      <c r="H147" s="862"/>
      <c r="I147" s="862"/>
    </row>
    <row r="148" spans="2:12" ht="15" customHeight="1" x14ac:dyDescent="0.3">
      <c r="B148" s="802" t="s">
        <v>234</v>
      </c>
      <c r="C148" s="802"/>
      <c r="D148" s="801" t="str">
        <f>VLOOKUP(D146,LISTPROD[],9,FALSE)</f>
        <v>500 ML</v>
      </c>
      <c r="G148" s="862" t="s">
        <v>732</v>
      </c>
      <c r="H148" s="862"/>
      <c r="I148" s="862"/>
    </row>
    <row r="149" spans="2:12" ht="15" customHeight="1" x14ac:dyDescent="0.3">
      <c r="B149" s="802" t="s">
        <v>239</v>
      </c>
      <c r="C149" s="802"/>
      <c r="D149" s="801">
        <v>420</v>
      </c>
      <c r="E149" s="800"/>
      <c r="G149" s="862"/>
      <c r="H149" s="862"/>
      <c r="I149" s="862"/>
    </row>
    <row r="150" spans="2:12" ht="15" customHeight="1" x14ac:dyDescent="0.3">
      <c r="B150" s="802" t="s">
        <v>240</v>
      </c>
      <c r="C150" s="802"/>
      <c r="D150" s="801"/>
    </row>
    <row r="151" spans="2:12" ht="15" customHeight="1" x14ac:dyDescent="0.3">
      <c r="B151" s="802" t="s">
        <v>238</v>
      </c>
      <c r="C151" s="802"/>
      <c r="D151" s="712" t="s">
        <v>56</v>
      </c>
      <c r="E151" s="800" t="s">
        <v>449</v>
      </c>
    </row>
    <row r="152" spans="2:12" ht="15" customHeight="1" x14ac:dyDescent="0.3">
      <c r="B152" s="806" t="s">
        <v>410</v>
      </c>
      <c r="C152" s="806"/>
      <c r="D152" s="807">
        <v>500</v>
      </c>
      <c r="E152" s="808"/>
    </row>
    <row r="153" spans="2:12" ht="15" customHeight="1" x14ac:dyDescent="0.3">
      <c r="B153" s="1498" t="s">
        <v>404</v>
      </c>
      <c r="C153" s="1498"/>
      <c r="D153" s="1498"/>
      <c r="E153" s="1498"/>
      <c r="F153" s="1498"/>
      <c r="G153" s="714"/>
      <c r="H153" s="1499" t="s">
        <v>416</v>
      </c>
      <c r="I153" s="1500"/>
    </row>
    <row r="154" spans="2:12" ht="34.5" customHeight="1" x14ac:dyDescent="0.3">
      <c r="B154" s="810" t="s">
        <v>398</v>
      </c>
      <c r="C154" s="811" t="s">
        <v>441</v>
      </c>
      <c r="D154" s="812" t="s">
        <v>399</v>
      </c>
      <c r="E154" s="813" t="s">
        <v>402</v>
      </c>
      <c r="F154" s="812" t="s">
        <v>399</v>
      </c>
      <c r="G154" s="812" t="s">
        <v>411</v>
      </c>
      <c r="H154" s="814" t="s">
        <v>408</v>
      </c>
      <c r="I154" s="815" t="s">
        <v>415</v>
      </c>
      <c r="K154" s="816" t="s">
        <v>603</v>
      </c>
      <c r="L154" s="816" t="s">
        <v>604</v>
      </c>
    </row>
    <row r="155" spans="2:12" ht="15" customHeight="1" x14ac:dyDescent="0.3">
      <c r="B155" s="714" t="s">
        <v>248</v>
      </c>
      <c r="C155" s="714">
        <v>1000</v>
      </c>
      <c r="D155" s="818">
        <f>'Prec Materia Prima y Empaq'!$H$21</f>
        <v>15400</v>
      </c>
      <c r="E155" s="819">
        <f>D155*19%</f>
        <v>2926</v>
      </c>
      <c r="F155" s="820">
        <f>+E155+D155</f>
        <v>18326</v>
      </c>
      <c r="G155" s="819">
        <f>F155/C155*H155</f>
        <v>12828.2</v>
      </c>
      <c r="H155" s="821">
        <v>700</v>
      </c>
      <c r="I155" s="714" t="s">
        <v>450</v>
      </c>
      <c r="K155" s="821">
        <f>H155/$D$116</f>
        <v>1.6666666666666667</v>
      </c>
      <c r="L155" s="819">
        <f>F155/C155*K155</f>
        <v>30.543333333333337</v>
      </c>
    </row>
    <row r="156" spans="2:12" ht="15" customHeight="1" x14ac:dyDescent="0.3">
      <c r="B156" s="714" t="s">
        <v>443</v>
      </c>
      <c r="C156" s="714">
        <v>1000</v>
      </c>
      <c r="D156" s="818">
        <f>'Prec Materia Prima y Empaq'!$H$11</f>
        <v>8000</v>
      </c>
      <c r="E156" s="819">
        <f t="shared" ref="E156:E160" si="56">D156*19%</f>
        <v>1520</v>
      </c>
      <c r="F156" s="820">
        <f t="shared" ref="F156:F165" si="57">+E156+D156</f>
        <v>9520</v>
      </c>
      <c r="G156" s="819">
        <f t="shared" ref="G156:G157" si="58">F156/C156*H156</f>
        <v>5712</v>
      </c>
      <c r="H156" s="821">
        <v>600</v>
      </c>
      <c r="I156" s="714" t="s">
        <v>450</v>
      </c>
      <c r="K156" s="821">
        <f t="shared" ref="K156:K167" si="59">H156/$D$116</f>
        <v>1.4285714285714286</v>
      </c>
      <c r="L156" s="819">
        <f t="shared" ref="L156:L167" si="60">F156/C156*K156</f>
        <v>13.6</v>
      </c>
    </row>
    <row r="157" spans="2:12" ht="15" customHeight="1" x14ac:dyDescent="0.3">
      <c r="B157" s="714" t="s">
        <v>261</v>
      </c>
      <c r="C157" s="714">
        <v>1000</v>
      </c>
      <c r="D157" s="818">
        <f>'Prec Materia Prima y Empaq'!$H$16</f>
        <v>14000</v>
      </c>
      <c r="E157" s="819">
        <f t="shared" si="56"/>
        <v>2660</v>
      </c>
      <c r="F157" s="820">
        <f t="shared" si="57"/>
        <v>16660</v>
      </c>
      <c r="G157" s="819">
        <f t="shared" si="58"/>
        <v>3332</v>
      </c>
      <c r="H157" s="821">
        <v>200</v>
      </c>
      <c r="I157" s="714" t="s">
        <v>450</v>
      </c>
      <c r="K157" s="821">
        <f t="shared" si="59"/>
        <v>0.47619047619047616</v>
      </c>
      <c r="L157" s="819">
        <f t="shared" si="60"/>
        <v>7.9333333333333327</v>
      </c>
    </row>
    <row r="158" spans="2:12" ht="15" customHeight="1" x14ac:dyDescent="0.3">
      <c r="B158" s="714" t="s">
        <v>246</v>
      </c>
      <c r="C158" s="714">
        <v>1000</v>
      </c>
      <c r="D158" s="818">
        <f>'Prec Materia Prima y Empaq'!$H$41</f>
        <v>80268</v>
      </c>
      <c r="E158" s="819">
        <f t="shared" si="56"/>
        <v>15250.92</v>
      </c>
      <c r="F158" s="820">
        <f t="shared" si="57"/>
        <v>95518.92</v>
      </c>
      <c r="G158" s="819">
        <f>F158/C158*H158</f>
        <v>5731.1351999999997</v>
      </c>
      <c r="H158" s="821">
        <v>60</v>
      </c>
      <c r="I158" s="714" t="s">
        <v>450</v>
      </c>
      <c r="K158" s="821">
        <f t="shared" si="59"/>
        <v>0.14285714285714285</v>
      </c>
      <c r="L158" s="819">
        <f t="shared" si="60"/>
        <v>13.645559999999998</v>
      </c>
    </row>
    <row r="159" spans="2:12" ht="15" customHeight="1" x14ac:dyDescent="0.3">
      <c r="B159" s="714" t="s">
        <v>245</v>
      </c>
      <c r="C159" s="714">
        <v>1000</v>
      </c>
      <c r="D159" s="843">
        <f>'Prec Materia Prima y Empaq'!$H$44</f>
        <v>52325</v>
      </c>
      <c r="E159" s="819">
        <f t="shared" si="56"/>
        <v>9941.75</v>
      </c>
      <c r="F159" s="820">
        <f t="shared" si="57"/>
        <v>62266.75</v>
      </c>
      <c r="G159" s="819">
        <f t="shared" ref="G159" si="61">F159/C159*H159</f>
        <v>6226.6750000000002</v>
      </c>
      <c r="H159" s="821">
        <v>100</v>
      </c>
      <c r="I159" s="714" t="s">
        <v>450</v>
      </c>
      <c r="K159" s="821">
        <f t="shared" si="59"/>
        <v>0.23809523809523808</v>
      </c>
      <c r="L159" s="819">
        <f t="shared" si="60"/>
        <v>14.825416666666666</v>
      </c>
    </row>
    <row r="160" spans="2:12" ht="15" customHeight="1" x14ac:dyDescent="0.3">
      <c r="B160" s="714" t="s">
        <v>382</v>
      </c>
      <c r="C160" s="714">
        <v>3785</v>
      </c>
      <c r="D160" s="818">
        <f>'Prec Materia Prima y Empaq'!$H$18</f>
        <v>24</v>
      </c>
      <c r="E160" s="819">
        <f t="shared" si="56"/>
        <v>4.5600000000000005</v>
      </c>
      <c r="F160" s="820">
        <f t="shared" si="57"/>
        <v>28.560000000000002</v>
      </c>
      <c r="G160" s="819">
        <f>F160/C160*H160</f>
        <v>0.37727873183619554</v>
      </c>
      <c r="H160" s="821">
        <v>50</v>
      </c>
      <c r="I160" s="714" t="s">
        <v>450</v>
      </c>
      <c r="K160" s="821">
        <f t="shared" si="59"/>
        <v>0.11904761904761904</v>
      </c>
      <c r="L160" s="819">
        <f t="shared" si="60"/>
        <v>8.9828269484808459E-4</v>
      </c>
    </row>
    <row r="161" spans="2:29" ht="31.5" customHeight="1" x14ac:dyDescent="0.3">
      <c r="B161" s="716" t="s">
        <v>247</v>
      </c>
      <c r="C161" s="714">
        <v>1000</v>
      </c>
      <c r="D161" s="822">
        <f>'Prec Materia Prima y Empaq'!$H$7</f>
        <v>50000</v>
      </c>
      <c r="E161" s="819">
        <v>0</v>
      </c>
      <c r="F161" s="820">
        <f t="shared" si="57"/>
        <v>50000</v>
      </c>
      <c r="G161" s="819">
        <f>F161/C161*H161</f>
        <v>32.022471910112351</v>
      </c>
      <c r="H161" s="823">
        <v>0.64044943820224698</v>
      </c>
      <c r="I161" s="823" t="s">
        <v>453</v>
      </c>
      <c r="K161" s="821">
        <f t="shared" ref="K161" si="62">H161/$D$7</f>
        <v>1.5248796147672547E-3</v>
      </c>
      <c r="L161" s="819">
        <f t="shared" si="60"/>
        <v>7.6243980738362735E-2</v>
      </c>
      <c r="N161" s="716" t="s">
        <v>247</v>
      </c>
      <c r="O161" s="824">
        <v>1</v>
      </c>
      <c r="P161" s="819" t="e">
        <f>$F$398/$C$398*$O$398</f>
        <v>#DIV/0!</v>
      </c>
      <c r="Q161" s="732"/>
      <c r="R161" s="825" t="e">
        <f>P161/O151</f>
        <v>#DIV/0!</v>
      </c>
      <c r="S161" s="732" t="e">
        <f>R161*1000</f>
        <v>#DIV/0!</v>
      </c>
      <c r="T161" s="826" t="e">
        <f>O161/$O$387*1000</f>
        <v>#DIV/0!</v>
      </c>
      <c r="U161" s="817" t="e">
        <f>T161*$M$387</f>
        <v>#DIV/0!</v>
      </c>
      <c r="Y161" s="817"/>
      <c r="Z161" s="817"/>
      <c r="AA161" s="827"/>
      <c r="AC161" s="828"/>
    </row>
    <row r="162" spans="2:29" ht="15" customHeight="1" x14ac:dyDescent="0.3">
      <c r="B162" s="716" t="s">
        <v>485</v>
      </c>
      <c r="C162" s="716">
        <v>1</v>
      </c>
      <c r="D162" s="822">
        <f>'Prec Materia Prima y Empaq'!$H$138</f>
        <v>650</v>
      </c>
      <c r="E162" s="819">
        <v>0</v>
      </c>
      <c r="F162" s="820">
        <f t="shared" si="57"/>
        <v>650</v>
      </c>
      <c r="G162" s="829">
        <f t="shared" ref="G162:G167" si="63">F162*H162</f>
        <v>273000</v>
      </c>
      <c r="H162" s="823">
        <f>$D$116</f>
        <v>420</v>
      </c>
      <c r="I162" s="823" t="s">
        <v>453</v>
      </c>
      <c r="K162" s="821">
        <f t="shared" si="59"/>
        <v>1</v>
      </c>
      <c r="L162" s="819">
        <f t="shared" si="60"/>
        <v>650</v>
      </c>
    </row>
    <row r="163" spans="2:29" ht="15" customHeight="1" x14ac:dyDescent="0.3">
      <c r="B163" s="716" t="s">
        <v>614</v>
      </c>
      <c r="C163" s="716">
        <v>1</v>
      </c>
      <c r="D163" s="822">
        <f>'Prec Materia Prima y Empaq'!$H$144</f>
        <v>70</v>
      </c>
      <c r="E163" s="819">
        <v>0</v>
      </c>
      <c r="F163" s="820">
        <f t="shared" si="57"/>
        <v>70</v>
      </c>
      <c r="G163" s="829">
        <f t="shared" si="63"/>
        <v>29400</v>
      </c>
      <c r="H163" s="823">
        <f t="shared" ref="H163:H167" si="64">$D$116</f>
        <v>420</v>
      </c>
      <c r="I163" s="823" t="s">
        <v>453</v>
      </c>
      <c r="K163" s="821">
        <f t="shared" si="59"/>
        <v>1</v>
      </c>
      <c r="L163" s="819">
        <f t="shared" si="60"/>
        <v>70</v>
      </c>
    </row>
    <row r="164" spans="2:29" ht="33" customHeight="1" x14ac:dyDescent="0.3">
      <c r="B164" s="716" t="s">
        <v>695</v>
      </c>
      <c r="C164" s="823">
        <v>1</v>
      </c>
      <c r="D164" s="842">
        <f>'Prec Materia Prima y Empaq'!$H$161</f>
        <v>300</v>
      </c>
      <c r="E164" s="819">
        <v>0</v>
      </c>
      <c r="F164" s="820">
        <f t="shared" si="57"/>
        <v>300</v>
      </c>
      <c r="G164" s="829">
        <f t="shared" si="63"/>
        <v>126000</v>
      </c>
      <c r="H164" s="823">
        <f t="shared" si="64"/>
        <v>420</v>
      </c>
      <c r="I164" s="823" t="s">
        <v>453</v>
      </c>
      <c r="K164" s="821">
        <f t="shared" si="59"/>
        <v>1</v>
      </c>
      <c r="L164" s="819">
        <f t="shared" si="60"/>
        <v>300</v>
      </c>
    </row>
    <row r="165" spans="2:29" ht="29.25" customHeight="1" x14ac:dyDescent="0.3">
      <c r="B165" s="713" t="s">
        <v>675</v>
      </c>
      <c r="C165" s="823">
        <v>1</v>
      </c>
      <c r="D165" s="842">
        <f>'Prec Materia Prima y Empaq'!$H$162</f>
        <v>100</v>
      </c>
      <c r="E165" s="819"/>
      <c r="F165" s="820">
        <f t="shared" si="57"/>
        <v>100</v>
      </c>
      <c r="G165" s="829">
        <f t="shared" si="63"/>
        <v>42000</v>
      </c>
      <c r="H165" s="823">
        <f t="shared" si="64"/>
        <v>420</v>
      </c>
      <c r="I165" s="823" t="s">
        <v>453</v>
      </c>
      <c r="K165" s="821">
        <f t="shared" si="59"/>
        <v>1</v>
      </c>
      <c r="L165" s="819">
        <f t="shared" si="60"/>
        <v>100</v>
      </c>
    </row>
    <row r="166" spans="2:29" ht="15" customHeight="1" x14ac:dyDescent="0.3">
      <c r="B166" s="716" t="s">
        <v>310</v>
      </c>
      <c r="C166" s="823">
        <v>1</v>
      </c>
      <c r="D166" s="842">
        <f>'Prec Materia Prima y Empaq'!$H$130</f>
        <v>100</v>
      </c>
      <c r="E166" s="819">
        <v>0</v>
      </c>
      <c r="F166" s="820">
        <f t="shared" ref="F166:F167" si="65">+E166+D166</f>
        <v>100</v>
      </c>
      <c r="G166" s="829">
        <f t="shared" si="63"/>
        <v>42000</v>
      </c>
      <c r="H166" s="823">
        <f t="shared" si="64"/>
        <v>420</v>
      </c>
      <c r="I166" s="823" t="s">
        <v>453</v>
      </c>
      <c r="K166" s="821">
        <f t="shared" si="59"/>
        <v>1</v>
      </c>
      <c r="L166" s="819">
        <f t="shared" si="60"/>
        <v>100</v>
      </c>
    </row>
    <row r="167" spans="2:29" ht="15" customHeight="1" x14ac:dyDescent="0.3">
      <c r="B167" s="823" t="s">
        <v>309</v>
      </c>
      <c r="C167" s="823">
        <v>1</v>
      </c>
      <c r="D167" s="842">
        <f>'Prec Materia Prima y Empaq'!$H$129</f>
        <v>800</v>
      </c>
      <c r="E167" s="819">
        <v>0</v>
      </c>
      <c r="F167" s="820">
        <f t="shared" si="65"/>
        <v>800</v>
      </c>
      <c r="G167" s="829">
        <f t="shared" si="63"/>
        <v>336000</v>
      </c>
      <c r="H167" s="823">
        <f t="shared" si="64"/>
        <v>420</v>
      </c>
      <c r="I167" s="823" t="s">
        <v>453</v>
      </c>
      <c r="K167" s="821">
        <f t="shared" si="59"/>
        <v>1</v>
      </c>
      <c r="L167" s="819">
        <f t="shared" si="60"/>
        <v>800</v>
      </c>
    </row>
    <row r="168" spans="2:29" ht="15" customHeight="1" thickBot="1" x14ac:dyDescent="0.35">
      <c r="B168" s="805"/>
      <c r="C168" s="805"/>
      <c r="D168" s="832"/>
      <c r="E168" s="732"/>
      <c r="F168" s="833"/>
      <c r="G168" s="834">
        <f>SUM(G155:G167)/D149</f>
        <v>2100.6247855967663</v>
      </c>
      <c r="H168" s="835" t="s">
        <v>454</v>
      </c>
      <c r="I168" s="805"/>
      <c r="L168" s="996">
        <f>SUM(L155:L167)</f>
        <v>2100.6247855967667</v>
      </c>
    </row>
    <row r="169" spans="2:29" ht="15" customHeight="1" thickTop="1" x14ac:dyDescent="0.3">
      <c r="B169" s="1007" t="s">
        <v>409</v>
      </c>
      <c r="C169" s="1008"/>
      <c r="D169" s="1009">
        <f>+'Gtos Varios'!I14</f>
        <v>3672.93</v>
      </c>
      <c r="E169" s="1008"/>
      <c r="F169" s="1010">
        <f t="shared" ref="F169" si="66">+E169+D169</f>
        <v>3672.93</v>
      </c>
      <c r="G169" s="1011">
        <f>F169</f>
        <v>3672.93</v>
      </c>
      <c r="H169" s="1008" t="str">
        <f>B169</f>
        <v xml:space="preserve">GASTOS VARIOS </v>
      </c>
      <c r="I169" s="805"/>
    </row>
    <row r="170" spans="2:29" ht="15" customHeight="1" x14ac:dyDescent="0.3">
      <c r="B170" s="805"/>
      <c r="C170" s="805"/>
      <c r="D170" s="832"/>
      <c r="E170" s="732"/>
      <c r="F170" s="833"/>
      <c r="G170" s="837"/>
      <c r="H170" s="805"/>
      <c r="I170" s="805"/>
    </row>
    <row r="171" spans="2:29" ht="15" customHeight="1" x14ac:dyDescent="0.3">
      <c r="B171" s="805"/>
      <c r="C171" s="805"/>
      <c r="D171" s="832"/>
      <c r="E171" s="732"/>
      <c r="F171" s="833"/>
      <c r="G171" s="837"/>
      <c r="H171" s="805"/>
      <c r="I171" s="805"/>
    </row>
    <row r="172" spans="2:29" ht="15" customHeight="1" thickBot="1" x14ac:dyDescent="0.35">
      <c r="F172" s="838">
        <f>SUM(F155:F167)</f>
        <v>254340.22999999998</v>
      </c>
      <c r="G172" s="839">
        <f>SUM(G168:G169)</f>
        <v>5773.5547855967661</v>
      </c>
      <c r="H172" s="712" t="s">
        <v>412</v>
      </c>
    </row>
    <row r="173" spans="2:29" ht="15" customHeight="1" thickTop="1" x14ac:dyDescent="0.3">
      <c r="G173" s="833">
        <f>G172*58%</f>
        <v>3348.6617756461242</v>
      </c>
      <c r="H173" s="844">
        <v>0.57999999999999996</v>
      </c>
      <c r="I173" s="712" t="s">
        <v>539</v>
      </c>
    </row>
    <row r="174" spans="2:29" ht="15" customHeight="1" thickBot="1" x14ac:dyDescent="0.35">
      <c r="G174" s="841">
        <f>G172+G173</f>
        <v>9122.2165612428907</v>
      </c>
      <c r="H174" s="712" t="s">
        <v>414</v>
      </c>
    </row>
    <row r="175" spans="2:29" ht="15" customHeight="1" thickTop="1" x14ac:dyDescent="0.3"/>
    <row r="180" spans="2:12" ht="15" customHeight="1" x14ac:dyDescent="0.3">
      <c r="B180" s="802" t="s">
        <v>61</v>
      </c>
      <c r="C180" s="802"/>
      <c r="D180" s="801" t="s">
        <v>555</v>
      </c>
      <c r="G180" s="862"/>
      <c r="H180" s="862"/>
      <c r="I180" s="862"/>
    </row>
    <row r="181" spans="2:12" ht="15" customHeight="1" x14ac:dyDescent="0.3">
      <c r="B181" s="802" t="s">
        <v>62</v>
      </c>
      <c r="C181" s="802"/>
      <c r="D181" s="801" t="str">
        <f>VLOOKUP(D180,LISTPROD[],2,FALSE)</f>
        <v>ARTRIZAN</v>
      </c>
      <c r="E181" s="712" t="s">
        <v>690</v>
      </c>
      <c r="G181" s="862"/>
      <c r="H181" s="862"/>
      <c r="I181" s="862"/>
    </row>
    <row r="182" spans="2:12" ht="15" customHeight="1" x14ac:dyDescent="0.3">
      <c r="B182" s="802" t="s">
        <v>234</v>
      </c>
      <c r="C182" s="802"/>
      <c r="D182" s="801" t="str">
        <f>VLOOKUP(D180,LISTPROD[],9,FALSE)</f>
        <v>500 ML</v>
      </c>
      <c r="G182" s="862" t="s">
        <v>732</v>
      </c>
      <c r="H182" s="862"/>
      <c r="I182" s="862"/>
    </row>
    <row r="183" spans="2:12" ht="15" customHeight="1" x14ac:dyDescent="0.3">
      <c r="B183" s="802" t="s">
        <v>239</v>
      </c>
      <c r="C183" s="802"/>
      <c r="D183" s="801">
        <v>420</v>
      </c>
      <c r="E183" s="800"/>
      <c r="G183" s="862"/>
      <c r="H183" s="862"/>
      <c r="I183" s="862"/>
    </row>
    <row r="184" spans="2:12" ht="15" customHeight="1" x14ac:dyDescent="0.3">
      <c r="B184" s="802" t="s">
        <v>240</v>
      </c>
      <c r="C184" s="802"/>
      <c r="D184" s="801"/>
    </row>
    <row r="185" spans="2:12" ht="15" customHeight="1" x14ac:dyDescent="0.3">
      <c r="B185" s="802" t="s">
        <v>238</v>
      </c>
      <c r="C185" s="802"/>
      <c r="D185" s="712" t="s">
        <v>56</v>
      </c>
      <c r="E185" s="800" t="s">
        <v>449</v>
      </c>
    </row>
    <row r="186" spans="2:12" ht="15" customHeight="1" x14ac:dyDescent="0.3">
      <c r="B186" s="806" t="s">
        <v>410</v>
      </c>
      <c r="C186" s="806"/>
      <c r="D186" s="807">
        <v>500</v>
      </c>
      <c r="E186" s="808"/>
    </row>
    <row r="187" spans="2:12" ht="15" customHeight="1" x14ac:dyDescent="0.3">
      <c r="B187" s="1498" t="s">
        <v>404</v>
      </c>
      <c r="C187" s="1498"/>
      <c r="D187" s="1498"/>
      <c r="E187" s="1498"/>
      <c r="F187" s="1498"/>
      <c r="G187" s="714"/>
      <c r="H187" s="1499" t="s">
        <v>416</v>
      </c>
      <c r="I187" s="1500"/>
    </row>
    <row r="188" spans="2:12" ht="34.5" customHeight="1" x14ac:dyDescent="0.3">
      <c r="B188" s="810" t="s">
        <v>398</v>
      </c>
      <c r="C188" s="811" t="s">
        <v>441</v>
      </c>
      <c r="D188" s="812" t="s">
        <v>399</v>
      </c>
      <c r="E188" s="813" t="s">
        <v>402</v>
      </c>
      <c r="F188" s="812" t="s">
        <v>399</v>
      </c>
      <c r="G188" s="812" t="s">
        <v>411</v>
      </c>
      <c r="H188" s="814" t="s">
        <v>408</v>
      </c>
      <c r="I188" s="815" t="s">
        <v>415</v>
      </c>
      <c r="K188" s="816" t="s">
        <v>603</v>
      </c>
      <c r="L188" s="816" t="s">
        <v>604</v>
      </c>
    </row>
    <row r="189" spans="2:12" ht="15" customHeight="1" x14ac:dyDescent="0.3">
      <c r="B189" s="714" t="s">
        <v>248</v>
      </c>
      <c r="C189" s="714">
        <v>1000</v>
      </c>
      <c r="D189" s="818">
        <f>'Prec Materia Prima y Empaq'!$H$21</f>
        <v>15400</v>
      </c>
      <c r="E189" s="819">
        <f>D189*19%</f>
        <v>2926</v>
      </c>
      <c r="F189" s="820">
        <f>+E189+D189</f>
        <v>18326</v>
      </c>
      <c r="G189" s="819">
        <f>F189/C189*H189</f>
        <v>0</v>
      </c>
      <c r="H189" s="821"/>
      <c r="I189" s="714" t="s">
        <v>450</v>
      </c>
      <c r="K189" s="821">
        <f>H189/$D$116</f>
        <v>0</v>
      </c>
      <c r="L189" s="819">
        <f>F189/C189*K189</f>
        <v>0</v>
      </c>
    </row>
    <row r="190" spans="2:12" ht="15" customHeight="1" x14ac:dyDescent="0.3">
      <c r="B190" s="714" t="s">
        <v>443</v>
      </c>
      <c r="C190" s="714">
        <v>1000</v>
      </c>
      <c r="D190" s="818">
        <f>'Prec Materia Prima y Empaq'!$H$11</f>
        <v>8000</v>
      </c>
      <c r="E190" s="819">
        <f t="shared" ref="E190:E195" si="67">D190*19%</f>
        <v>1520</v>
      </c>
      <c r="F190" s="820">
        <f t="shared" ref="F190:F200" si="68">+E190+D190</f>
        <v>9520</v>
      </c>
      <c r="G190" s="819">
        <f t="shared" ref="G190:G192" si="69">F190/C190*H190</f>
        <v>0</v>
      </c>
      <c r="H190" s="821"/>
      <c r="I190" s="714" t="s">
        <v>450</v>
      </c>
      <c r="K190" s="821">
        <f t="shared" ref="K190:K202" si="70">H190/$D$116</f>
        <v>0</v>
      </c>
      <c r="L190" s="819">
        <f t="shared" ref="L190:L202" si="71">F190/C190*K190</f>
        <v>0</v>
      </c>
    </row>
    <row r="191" spans="2:12" ht="15" customHeight="1" x14ac:dyDescent="0.3">
      <c r="B191" s="714" t="s">
        <v>253</v>
      </c>
      <c r="C191" s="714">
        <v>1000</v>
      </c>
      <c r="D191" s="818">
        <f>'Prec Materia Prima y Empaq'!$H$9</f>
        <v>5400</v>
      </c>
      <c r="E191" s="819">
        <f t="shared" si="67"/>
        <v>1026</v>
      </c>
      <c r="F191" s="820">
        <f t="shared" si="68"/>
        <v>6426</v>
      </c>
      <c r="G191" s="819">
        <f t="shared" si="69"/>
        <v>0</v>
      </c>
      <c r="H191" s="821"/>
      <c r="I191" s="714" t="s">
        <v>450</v>
      </c>
      <c r="K191" s="821">
        <f t="shared" si="70"/>
        <v>0</v>
      </c>
      <c r="L191" s="819">
        <f t="shared" si="71"/>
        <v>0</v>
      </c>
    </row>
    <row r="192" spans="2:12" ht="15" customHeight="1" x14ac:dyDescent="0.3">
      <c r="B192" s="714" t="s">
        <v>261</v>
      </c>
      <c r="C192" s="714">
        <v>1000</v>
      </c>
      <c r="D192" s="818">
        <f>'Prec Materia Prima y Empaq'!$H$16</f>
        <v>14000</v>
      </c>
      <c r="E192" s="819">
        <f t="shared" si="67"/>
        <v>2660</v>
      </c>
      <c r="F192" s="820">
        <f t="shared" si="68"/>
        <v>16660</v>
      </c>
      <c r="G192" s="819">
        <f t="shared" si="69"/>
        <v>0</v>
      </c>
      <c r="H192" s="821"/>
      <c r="I192" s="714" t="s">
        <v>450</v>
      </c>
      <c r="K192" s="821">
        <f t="shared" si="70"/>
        <v>0</v>
      </c>
      <c r="L192" s="819">
        <f t="shared" si="71"/>
        <v>0</v>
      </c>
    </row>
    <row r="193" spans="2:29" ht="15" customHeight="1" x14ac:dyDescent="0.3">
      <c r="B193" s="714" t="s">
        <v>246</v>
      </c>
      <c r="C193" s="714">
        <v>1000</v>
      </c>
      <c r="D193" s="818">
        <f>'Prec Materia Prima y Empaq'!$H$41</f>
        <v>80268</v>
      </c>
      <c r="E193" s="819">
        <f t="shared" si="67"/>
        <v>15250.92</v>
      </c>
      <c r="F193" s="820">
        <f t="shared" si="68"/>
        <v>95518.92</v>
      </c>
      <c r="G193" s="819">
        <f>F193/C193*H193</f>
        <v>0</v>
      </c>
      <c r="H193" s="821"/>
      <c r="I193" s="714" t="s">
        <v>450</v>
      </c>
      <c r="K193" s="821">
        <f t="shared" si="70"/>
        <v>0</v>
      </c>
      <c r="L193" s="819">
        <f t="shared" si="71"/>
        <v>0</v>
      </c>
    </row>
    <row r="194" spans="2:29" ht="15" customHeight="1" x14ac:dyDescent="0.3">
      <c r="B194" s="714" t="s">
        <v>270</v>
      </c>
      <c r="C194" s="714">
        <v>1000</v>
      </c>
      <c r="D194" s="843">
        <f>'Prec Materia Prima y Empaq'!$H$49</f>
        <v>70000</v>
      </c>
      <c r="E194" s="819">
        <f t="shared" si="67"/>
        <v>13300</v>
      </c>
      <c r="F194" s="820">
        <f t="shared" si="68"/>
        <v>83300</v>
      </c>
      <c r="G194" s="819">
        <f t="shared" ref="G194" si="72">F194/C194*H194</f>
        <v>0</v>
      </c>
      <c r="H194" s="821"/>
      <c r="I194" s="714" t="s">
        <v>450</v>
      </c>
      <c r="K194" s="821">
        <f t="shared" si="70"/>
        <v>0</v>
      </c>
      <c r="L194" s="819">
        <f t="shared" si="71"/>
        <v>0</v>
      </c>
    </row>
    <row r="195" spans="2:29" ht="15" customHeight="1" x14ac:dyDescent="0.3">
      <c r="B195" s="714" t="s">
        <v>382</v>
      </c>
      <c r="C195" s="714">
        <v>3785</v>
      </c>
      <c r="D195" s="818">
        <f>'Prec Materia Prima y Empaq'!$H$18</f>
        <v>24</v>
      </c>
      <c r="E195" s="819">
        <f t="shared" si="67"/>
        <v>4.5600000000000005</v>
      </c>
      <c r="F195" s="820">
        <f t="shared" si="68"/>
        <v>28.560000000000002</v>
      </c>
      <c r="G195" s="819">
        <f>F195/C195*H195</f>
        <v>0.37727873183619554</v>
      </c>
      <c r="H195" s="821">
        <v>50</v>
      </c>
      <c r="I195" s="714" t="s">
        <v>450</v>
      </c>
      <c r="K195" s="821">
        <f t="shared" si="70"/>
        <v>0.11904761904761904</v>
      </c>
      <c r="L195" s="819">
        <f t="shared" si="71"/>
        <v>8.9828269484808459E-4</v>
      </c>
    </row>
    <row r="196" spans="2:29" ht="31.5" customHeight="1" x14ac:dyDescent="0.3">
      <c r="B196" s="716" t="s">
        <v>247</v>
      </c>
      <c r="C196" s="714">
        <v>1000</v>
      </c>
      <c r="D196" s="822">
        <f>'Prec Materia Prima y Empaq'!$H$7</f>
        <v>50000</v>
      </c>
      <c r="E196" s="819">
        <v>0</v>
      </c>
      <c r="F196" s="820">
        <f t="shared" si="68"/>
        <v>50000</v>
      </c>
      <c r="G196" s="819">
        <f>F196/C196*H196</f>
        <v>32.022471910112351</v>
      </c>
      <c r="H196" s="823">
        <v>0.64044943820224698</v>
      </c>
      <c r="I196" s="823" t="s">
        <v>453</v>
      </c>
      <c r="K196" s="821">
        <f t="shared" ref="K196" si="73">H196/$D$7</f>
        <v>1.5248796147672547E-3</v>
      </c>
      <c r="L196" s="819">
        <f t="shared" si="71"/>
        <v>7.6243980738362735E-2</v>
      </c>
      <c r="N196" s="716" t="s">
        <v>247</v>
      </c>
      <c r="O196" s="824">
        <v>1</v>
      </c>
      <c r="P196" s="819" t="e">
        <f>$F$398/$C$398*$O$398</f>
        <v>#DIV/0!</v>
      </c>
      <c r="Q196" s="732"/>
      <c r="R196" s="825" t="e">
        <f>P196/O185</f>
        <v>#DIV/0!</v>
      </c>
      <c r="S196" s="732" t="e">
        <f>R196*1000</f>
        <v>#DIV/0!</v>
      </c>
      <c r="T196" s="826" t="e">
        <f>O196/$O$387*1000</f>
        <v>#DIV/0!</v>
      </c>
      <c r="U196" s="817" t="e">
        <f>T196*$M$387</f>
        <v>#DIV/0!</v>
      </c>
      <c r="Y196" s="817"/>
      <c r="Z196" s="817"/>
      <c r="AA196" s="827"/>
      <c r="AC196" s="828"/>
    </row>
    <row r="197" spans="2:29" ht="15" customHeight="1" x14ac:dyDescent="0.3">
      <c r="B197" s="716" t="s">
        <v>485</v>
      </c>
      <c r="C197" s="716">
        <v>1</v>
      </c>
      <c r="D197" s="822">
        <f>'Prec Materia Prima y Empaq'!$H$138</f>
        <v>650</v>
      </c>
      <c r="E197" s="819">
        <v>0</v>
      </c>
      <c r="F197" s="820">
        <f t="shared" si="68"/>
        <v>650</v>
      </c>
      <c r="G197" s="829">
        <f t="shared" ref="G197:G202" si="74">F197*H197</f>
        <v>273000</v>
      </c>
      <c r="H197" s="823">
        <f>$D$116</f>
        <v>420</v>
      </c>
      <c r="I197" s="823" t="s">
        <v>453</v>
      </c>
      <c r="K197" s="821">
        <f t="shared" si="70"/>
        <v>1</v>
      </c>
      <c r="L197" s="819">
        <f t="shared" si="71"/>
        <v>650</v>
      </c>
    </row>
    <row r="198" spans="2:29" ht="15" customHeight="1" x14ac:dyDescent="0.3">
      <c r="B198" s="716" t="s">
        <v>614</v>
      </c>
      <c r="C198" s="716">
        <v>1</v>
      </c>
      <c r="D198" s="822">
        <f>'Prec Materia Prima y Empaq'!$H$144</f>
        <v>70</v>
      </c>
      <c r="E198" s="819">
        <v>0</v>
      </c>
      <c r="F198" s="820">
        <f t="shared" si="68"/>
        <v>70</v>
      </c>
      <c r="G198" s="829">
        <f t="shared" si="74"/>
        <v>29400</v>
      </c>
      <c r="H198" s="823">
        <f t="shared" ref="H198:H202" si="75">$D$116</f>
        <v>420</v>
      </c>
      <c r="I198" s="823" t="s">
        <v>453</v>
      </c>
      <c r="K198" s="821">
        <f t="shared" si="70"/>
        <v>1</v>
      </c>
      <c r="L198" s="819">
        <f t="shared" si="71"/>
        <v>70</v>
      </c>
    </row>
    <row r="199" spans="2:29" ht="36.75" customHeight="1" x14ac:dyDescent="0.3">
      <c r="B199" s="716" t="s">
        <v>695</v>
      </c>
      <c r="C199" s="823">
        <v>1</v>
      </c>
      <c r="D199" s="842">
        <f>'Prec Materia Prima y Empaq'!$H$161</f>
        <v>300</v>
      </c>
      <c r="E199" s="819">
        <v>0</v>
      </c>
      <c r="F199" s="820">
        <f t="shared" si="68"/>
        <v>300</v>
      </c>
      <c r="G199" s="829">
        <f t="shared" si="74"/>
        <v>126000</v>
      </c>
      <c r="H199" s="823">
        <f t="shared" si="75"/>
        <v>420</v>
      </c>
      <c r="I199" s="823" t="s">
        <v>453</v>
      </c>
      <c r="K199" s="821">
        <f t="shared" si="70"/>
        <v>1</v>
      </c>
      <c r="L199" s="819">
        <f t="shared" si="71"/>
        <v>300</v>
      </c>
    </row>
    <row r="200" spans="2:29" ht="15" customHeight="1" x14ac:dyDescent="0.3">
      <c r="B200" s="713" t="s">
        <v>675</v>
      </c>
      <c r="C200" s="823">
        <v>1</v>
      </c>
      <c r="D200" s="842">
        <f>'Prec Materia Prima y Empaq'!$H$162</f>
        <v>100</v>
      </c>
      <c r="E200" s="819"/>
      <c r="F200" s="820">
        <f t="shared" si="68"/>
        <v>100</v>
      </c>
      <c r="G200" s="829">
        <f t="shared" si="74"/>
        <v>42000</v>
      </c>
      <c r="H200" s="823">
        <f t="shared" si="75"/>
        <v>420</v>
      </c>
      <c r="I200" s="823" t="s">
        <v>453</v>
      </c>
      <c r="K200" s="821">
        <f t="shared" si="70"/>
        <v>1</v>
      </c>
      <c r="L200" s="819">
        <f t="shared" si="71"/>
        <v>100</v>
      </c>
    </row>
    <row r="201" spans="2:29" ht="15" customHeight="1" x14ac:dyDescent="0.3">
      <c r="B201" s="716" t="s">
        <v>310</v>
      </c>
      <c r="C201" s="823">
        <v>1</v>
      </c>
      <c r="D201" s="842">
        <f>'Prec Materia Prima y Empaq'!$H$130</f>
        <v>100</v>
      </c>
      <c r="E201" s="819">
        <v>0</v>
      </c>
      <c r="F201" s="820">
        <f t="shared" ref="F201:F202" si="76">+E201+D201</f>
        <v>100</v>
      </c>
      <c r="G201" s="829">
        <f t="shared" si="74"/>
        <v>42000</v>
      </c>
      <c r="H201" s="823">
        <f t="shared" si="75"/>
        <v>420</v>
      </c>
      <c r="I201" s="823" t="s">
        <v>453</v>
      </c>
      <c r="K201" s="821">
        <f t="shared" si="70"/>
        <v>1</v>
      </c>
      <c r="L201" s="819">
        <f t="shared" si="71"/>
        <v>100</v>
      </c>
    </row>
    <row r="202" spans="2:29" ht="15" customHeight="1" x14ac:dyDescent="0.3">
      <c r="B202" s="823" t="s">
        <v>309</v>
      </c>
      <c r="C202" s="823">
        <v>1</v>
      </c>
      <c r="D202" s="842">
        <f>'Prec Materia Prima y Empaq'!$H$129</f>
        <v>800</v>
      </c>
      <c r="E202" s="819">
        <v>0</v>
      </c>
      <c r="F202" s="820">
        <f t="shared" si="76"/>
        <v>800</v>
      </c>
      <c r="G202" s="829">
        <f t="shared" si="74"/>
        <v>336000</v>
      </c>
      <c r="H202" s="823">
        <f t="shared" si="75"/>
        <v>420</v>
      </c>
      <c r="I202" s="823" t="s">
        <v>453</v>
      </c>
      <c r="K202" s="821">
        <f t="shared" si="70"/>
        <v>1</v>
      </c>
      <c r="L202" s="819">
        <f t="shared" si="71"/>
        <v>800</v>
      </c>
    </row>
    <row r="203" spans="2:29" ht="15" customHeight="1" thickBot="1" x14ac:dyDescent="0.35">
      <c r="B203" s="805"/>
      <c r="C203" s="805"/>
      <c r="D203" s="832"/>
      <c r="E203" s="732"/>
      <c r="F203" s="833"/>
      <c r="G203" s="834">
        <f>SUM(G189:G202)/D183</f>
        <v>2020.0771422634334</v>
      </c>
      <c r="H203" s="835" t="s">
        <v>454</v>
      </c>
      <c r="I203" s="805"/>
      <c r="L203" s="996">
        <f>SUM(L189:L202)</f>
        <v>2020.0771422634332</v>
      </c>
    </row>
    <row r="204" spans="2:29" ht="15" customHeight="1" thickTop="1" x14ac:dyDescent="0.3">
      <c r="B204" s="1007" t="s">
        <v>409</v>
      </c>
      <c r="C204" s="1008"/>
      <c r="D204" s="1009">
        <f>+'Gtos Varios'!I14</f>
        <v>3672.93</v>
      </c>
      <c r="E204" s="1008"/>
      <c r="F204" s="1010">
        <f t="shared" ref="F204" si="77">+E204+D204</f>
        <v>3672.93</v>
      </c>
      <c r="G204" s="1011">
        <f>F204</f>
        <v>3672.93</v>
      </c>
      <c r="H204" s="1008" t="str">
        <f>B204</f>
        <v xml:space="preserve">GASTOS VARIOS </v>
      </c>
      <c r="I204" s="805"/>
    </row>
    <row r="205" spans="2:29" ht="15" customHeight="1" x14ac:dyDescent="0.3">
      <c r="B205" s="805"/>
      <c r="C205" s="805"/>
      <c r="D205" s="832"/>
      <c r="E205" s="732"/>
      <c r="F205" s="833"/>
      <c r="G205" s="837"/>
      <c r="H205" s="805"/>
      <c r="I205" s="805"/>
    </row>
    <row r="206" spans="2:29" ht="15" customHeight="1" x14ac:dyDescent="0.3">
      <c r="B206" s="805"/>
      <c r="C206" s="805"/>
      <c r="D206" s="832"/>
      <c r="E206" s="732"/>
      <c r="F206" s="833"/>
      <c r="G206" s="837"/>
      <c r="H206" s="805"/>
      <c r="I206" s="805"/>
    </row>
    <row r="207" spans="2:29" ht="15" customHeight="1" thickBot="1" x14ac:dyDescent="0.35">
      <c r="F207" s="838">
        <f>SUM(F189:F202)</f>
        <v>281799.48</v>
      </c>
      <c r="G207" s="839">
        <f>SUM(G203:G204)</f>
        <v>5693.0071422634337</v>
      </c>
      <c r="H207" s="712" t="s">
        <v>412</v>
      </c>
    </row>
    <row r="208" spans="2:29" ht="15" customHeight="1" thickTop="1" x14ac:dyDescent="0.3">
      <c r="G208" s="833">
        <f>G207*64%</f>
        <v>3643.5245710485979</v>
      </c>
      <c r="H208" s="840">
        <v>0.6</v>
      </c>
      <c r="I208" s="712" t="s">
        <v>539</v>
      </c>
    </row>
    <row r="209" spans="1:12" ht="15" customHeight="1" thickBot="1" x14ac:dyDescent="0.35">
      <c r="G209" s="841">
        <f>G207+G208</f>
        <v>9336.5317133120316</v>
      </c>
      <c r="H209" s="712" t="s">
        <v>414</v>
      </c>
    </row>
    <row r="210" spans="1:12" ht="15" customHeight="1" thickTop="1" x14ac:dyDescent="0.3"/>
    <row r="214" spans="1:12" ht="15" customHeight="1" x14ac:dyDescent="0.3">
      <c r="B214" s="802" t="s">
        <v>61</v>
      </c>
      <c r="C214" s="802"/>
      <c r="D214" s="801" t="s">
        <v>557</v>
      </c>
    </row>
    <row r="215" spans="1:12" ht="15" customHeight="1" x14ac:dyDescent="0.3">
      <c r="A215" s="803"/>
      <c r="B215" s="802" t="s">
        <v>62</v>
      </c>
      <c r="C215" s="802"/>
      <c r="D215" s="801" t="str">
        <f>VLOOKUP(D214,LISTPROD[],2,FALSE)</f>
        <v>GINGO BILOBA PHARMA</v>
      </c>
      <c r="E215" s="712" t="s">
        <v>690</v>
      </c>
      <c r="F215" s="712" t="s">
        <v>487</v>
      </c>
    </row>
    <row r="216" spans="1:12" ht="15" customHeight="1" x14ac:dyDescent="0.3">
      <c r="B216" s="802" t="s">
        <v>234</v>
      </c>
      <c r="C216" s="802"/>
      <c r="D216" s="801" t="str">
        <f>VLOOKUP(D214,LISTPROD[],9,FALSE)</f>
        <v>500 ML</v>
      </c>
    </row>
    <row r="217" spans="1:12" ht="15" customHeight="1" x14ac:dyDescent="0.3">
      <c r="B217" s="802" t="s">
        <v>239</v>
      </c>
      <c r="C217" s="802"/>
      <c r="D217" s="801">
        <v>420</v>
      </c>
      <c r="E217" s="800"/>
    </row>
    <row r="218" spans="1:12" ht="15" customHeight="1" x14ac:dyDescent="0.3">
      <c r="B218" s="802" t="s">
        <v>240</v>
      </c>
      <c r="C218" s="802"/>
      <c r="D218" s="801"/>
    </row>
    <row r="219" spans="1:12" ht="15" customHeight="1" x14ac:dyDescent="0.3">
      <c r="B219" s="802" t="s">
        <v>238</v>
      </c>
      <c r="C219" s="802"/>
      <c r="D219" s="712" t="s">
        <v>56</v>
      </c>
      <c r="E219" s="800" t="s">
        <v>449</v>
      </c>
    </row>
    <row r="220" spans="1:12" ht="15" customHeight="1" x14ac:dyDescent="0.3">
      <c r="B220" s="806" t="s">
        <v>410</v>
      </c>
      <c r="C220" s="806"/>
      <c r="D220" s="807">
        <v>500</v>
      </c>
      <c r="E220" s="808"/>
    </row>
    <row r="221" spans="1:12" ht="15" customHeight="1" x14ac:dyDescent="0.3">
      <c r="B221" s="1498" t="s">
        <v>404</v>
      </c>
      <c r="C221" s="1498"/>
      <c r="D221" s="1498"/>
      <c r="E221" s="1498"/>
      <c r="F221" s="1498"/>
      <c r="G221" s="714"/>
      <c r="H221" s="1499" t="s">
        <v>416</v>
      </c>
      <c r="I221" s="1500"/>
    </row>
    <row r="222" spans="1:12" ht="34.5" customHeight="1" x14ac:dyDescent="0.3">
      <c r="B222" s="810" t="s">
        <v>398</v>
      </c>
      <c r="C222" s="811" t="s">
        <v>441</v>
      </c>
      <c r="D222" s="812" t="s">
        <v>399</v>
      </c>
      <c r="E222" s="813" t="s">
        <v>402</v>
      </c>
      <c r="F222" s="812" t="s">
        <v>399</v>
      </c>
      <c r="G222" s="812" t="s">
        <v>411</v>
      </c>
      <c r="H222" s="814" t="s">
        <v>408</v>
      </c>
      <c r="I222" s="815" t="s">
        <v>415</v>
      </c>
      <c r="K222" s="816" t="s">
        <v>603</v>
      </c>
      <c r="L222" s="816" t="s">
        <v>604</v>
      </c>
    </row>
    <row r="223" spans="1:12" ht="15" customHeight="1" x14ac:dyDescent="0.3">
      <c r="B223" s="714" t="s">
        <v>248</v>
      </c>
      <c r="C223" s="714">
        <v>1000</v>
      </c>
      <c r="D223" s="818">
        <f>'Prec Materia Prima y Empaq'!$H$21</f>
        <v>15400</v>
      </c>
      <c r="E223" s="819">
        <f>D223*19%</f>
        <v>2926</v>
      </c>
      <c r="F223" s="820">
        <f>+E223+D223</f>
        <v>18326</v>
      </c>
      <c r="G223" s="819">
        <f>F223/C223*H223</f>
        <v>12828.2</v>
      </c>
      <c r="H223" s="821">
        <v>700</v>
      </c>
      <c r="I223" s="714" t="s">
        <v>450</v>
      </c>
      <c r="K223" s="821">
        <f>H223/$D$116</f>
        <v>1.6666666666666667</v>
      </c>
      <c r="L223" s="819">
        <f>F223/C223*K223</f>
        <v>30.543333333333337</v>
      </c>
    </row>
    <row r="224" spans="1:12" ht="15" customHeight="1" x14ac:dyDescent="0.3">
      <c r="B224" s="714" t="s">
        <v>443</v>
      </c>
      <c r="C224" s="714">
        <v>1000</v>
      </c>
      <c r="D224" s="818">
        <f>'Prec Materia Prima y Empaq'!$H$11</f>
        <v>8000</v>
      </c>
      <c r="E224" s="819">
        <f t="shared" ref="E224:E230" si="78">D224*19%</f>
        <v>1520</v>
      </c>
      <c r="F224" s="820">
        <f t="shared" ref="F224:F235" si="79">+E224+D224</f>
        <v>9520</v>
      </c>
      <c r="G224" s="819">
        <f t="shared" ref="G224:G226" si="80">F224/C224*H224</f>
        <v>5712</v>
      </c>
      <c r="H224" s="821">
        <v>600</v>
      </c>
      <c r="I224" s="714" t="s">
        <v>450</v>
      </c>
      <c r="K224" s="821">
        <f t="shared" ref="K224:K237" si="81">H224/$D$116</f>
        <v>1.4285714285714286</v>
      </c>
      <c r="L224" s="819">
        <f t="shared" ref="L224:L237" si="82">F224/C224*K224</f>
        <v>13.6</v>
      </c>
    </row>
    <row r="225" spans="2:29" ht="15" customHeight="1" x14ac:dyDescent="0.3">
      <c r="B225" s="714" t="s">
        <v>253</v>
      </c>
      <c r="C225" s="714">
        <v>1000</v>
      </c>
      <c r="D225" s="818">
        <f>'Prec Materia Prima y Empaq'!$H$9</f>
        <v>5400</v>
      </c>
      <c r="E225" s="819">
        <f t="shared" si="78"/>
        <v>1026</v>
      </c>
      <c r="F225" s="820">
        <f t="shared" si="79"/>
        <v>6426</v>
      </c>
      <c r="G225" s="819">
        <f t="shared" si="80"/>
        <v>1927.8</v>
      </c>
      <c r="H225" s="821">
        <v>300</v>
      </c>
      <c r="I225" s="714" t="s">
        <v>450</v>
      </c>
      <c r="K225" s="821">
        <f t="shared" si="81"/>
        <v>0.7142857142857143</v>
      </c>
      <c r="L225" s="819">
        <f t="shared" si="82"/>
        <v>4.59</v>
      </c>
    </row>
    <row r="226" spans="2:29" ht="15" customHeight="1" x14ac:dyDescent="0.3">
      <c r="B226" s="714" t="s">
        <v>261</v>
      </c>
      <c r="C226" s="714">
        <v>1000</v>
      </c>
      <c r="D226" s="818">
        <f>'Prec Materia Prima y Empaq'!$H$16</f>
        <v>14000</v>
      </c>
      <c r="E226" s="819">
        <f t="shared" si="78"/>
        <v>2660</v>
      </c>
      <c r="F226" s="820">
        <f t="shared" si="79"/>
        <v>16660</v>
      </c>
      <c r="G226" s="819">
        <f t="shared" si="80"/>
        <v>3332</v>
      </c>
      <c r="H226" s="821">
        <v>200</v>
      </c>
      <c r="I226" s="714" t="s">
        <v>450</v>
      </c>
      <c r="K226" s="821">
        <f t="shared" si="81"/>
        <v>0.47619047619047616</v>
      </c>
      <c r="L226" s="819">
        <f t="shared" si="82"/>
        <v>7.9333333333333327</v>
      </c>
    </row>
    <row r="227" spans="2:29" ht="15" customHeight="1" x14ac:dyDescent="0.3">
      <c r="B227" s="714" t="s">
        <v>246</v>
      </c>
      <c r="C227" s="714">
        <v>1000</v>
      </c>
      <c r="D227" s="818">
        <f>'Prec Materia Prima y Empaq'!$H$41</f>
        <v>80268</v>
      </c>
      <c r="E227" s="819">
        <f t="shared" si="78"/>
        <v>15250.92</v>
      </c>
      <c r="F227" s="820">
        <f t="shared" si="79"/>
        <v>95518.92</v>
      </c>
      <c r="G227" s="819">
        <f>F227/C227*H227</f>
        <v>1910.3783999999998</v>
      </c>
      <c r="H227" s="821">
        <v>20</v>
      </c>
      <c r="I227" s="714" t="s">
        <v>450</v>
      </c>
      <c r="K227" s="821">
        <f t="shared" si="81"/>
        <v>4.7619047619047616E-2</v>
      </c>
      <c r="L227" s="819">
        <f t="shared" si="82"/>
        <v>4.5485199999999999</v>
      </c>
    </row>
    <row r="228" spans="2:29" ht="15" customHeight="1" x14ac:dyDescent="0.3">
      <c r="B228" s="714" t="s">
        <v>282</v>
      </c>
      <c r="C228" s="714">
        <v>1000</v>
      </c>
      <c r="D228" s="843">
        <f>'Prec Materia Prima y Empaq'!$H$61</f>
        <v>49061</v>
      </c>
      <c r="E228" s="819">
        <f t="shared" si="78"/>
        <v>9321.59</v>
      </c>
      <c r="F228" s="820">
        <f t="shared" si="79"/>
        <v>58382.59</v>
      </c>
      <c r="G228" s="819">
        <f t="shared" ref="G228:G229" si="83">F228/C228*H228</f>
        <v>5838.2589999999991</v>
      </c>
      <c r="H228" s="821">
        <v>100</v>
      </c>
      <c r="I228" s="714" t="s">
        <v>450</v>
      </c>
      <c r="K228" s="821">
        <f t="shared" si="81"/>
        <v>0.23809523809523808</v>
      </c>
      <c r="L228" s="819">
        <f t="shared" si="82"/>
        <v>13.900616666666664</v>
      </c>
    </row>
    <row r="229" spans="2:29" ht="15" customHeight="1" x14ac:dyDescent="0.3">
      <c r="B229" s="714" t="s">
        <v>733</v>
      </c>
      <c r="C229" s="714">
        <v>1000</v>
      </c>
      <c r="D229" s="843">
        <f>'Prec Materia Prima y Empaq'!H31</f>
        <v>20000</v>
      </c>
      <c r="E229" s="819"/>
      <c r="F229" s="820">
        <f t="shared" si="79"/>
        <v>20000</v>
      </c>
      <c r="G229" s="819">
        <f t="shared" si="83"/>
        <v>20000</v>
      </c>
      <c r="H229" s="821">
        <v>1000</v>
      </c>
      <c r="I229" s="714" t="s">
        <v>450</v>
      </c>
      <c r="K229" s="821">
        <f t="shared" ref="K229" si="84">H229/$D$116</f>
        <v>2.3809523809523809</v>
      </c>
      <c r="L229" s="819">
        <f t="shared" ref="L229" si="85">F229/C229*K229</f>
        <v>47.61904761904762</v>
      </c>
    </row>
    <row r="230" spans="2:29" ht="15" customHeight="1" x14ac:dyDescent="0.3">
      <c r="B230" s="714" t="s">
        <v>382</v>
      </c>
      <c r="C230" s="714">
        <v>3785</v>
      </c>
      <c r="D230" s="818">
        <f>'Prec Materia Prima y Empaq'!$H$18</f>
        <v>24</v>
      </c>
      <c r="E230" s="819">
        <f t="shared" si="78"/>
        <v>4.5600000000000005</v>
      </c>
      <c r="F230" s="820">
        <f t="shared" si="79"/>
        <v>28.560000000000002</v>
      </c>
      <c r="G230" s="819">
        <f>F230/C230*H230</f>
        <v>0.37727873183619554</v>
      </c>
      <c r="H230" s="821">
        <v>50</v>
      </c>
      <c r="I230" s="714" t="s">
        <v>450</v>
      </c>
      <c r="K230" s="821">
        <f t="shared" si="81"/>
        <v>0.11904761904761904</v>
      </c>
      <c r="L230" s="819">
        <f t="shared" si="82"/>
        <v>8.9828269484808459E-4</v>
      </c>
    </row>
    <row r="231" spans="2:29" ht="31.5" customHeight="1" x14ac:dyDescent="0.3">
      <c r="B231" s="716" t="s">
        <v>247</v>
      </c>
      <c r="C231" s="714">
        <v>1000</v>
      </c>
      <c r="D231" s="822">
        <f>'Prec Materia Prima y Empaq'!$H$7</f>
        <v>50000</v>
      </c>
      <c r="E231" s="819">
        <v>0</v>
      </c>
      <c r="F231" s="820">
        <f t="shared" si="79"/>
        <v>50000</v>
      </c>
      <c r="G231" s="819">
        <f>F231/C231*H231</f>
        <v>32.022471910112351</v>
      </c>
      <c r="H231" s="823">
        <v>0.64044943820224698</v>
      </c>
      <c r="I231" s="823" t="s">
        <v>453</v>
      </c>
      <c r="K231" s="821">
        <f t="shared" ref="K231" si="86">H231/$D$7</f>
        <v>1.5248796147672547E-3</v>
      </c>
      <c r="L231" s="819">
        <f t="shared" si="82"/>
        <v>7.6243980738362735E-2</v>
      </c>
      <c r="N231" s="716" t="s">
        <v>247</v>
      </c>
      <c r="O231" s="824">
        <v>1</v>
      </c>
      <c r="P231" s="819" t="e">
        <f>$F$398/$C$398*$O$398</f>
        <v>#DIV/0!</v>
      </c>
      <c r="Q231" s="732"/>
      <c r="R231" s="825" t="e">
        <f>P231/O220</f>
        <v>#DIV/0!</v>
      </c>
      <c r="S231" s="732" t="e">
        <f>R231*1000</f>
        <v>#DIV/0!</v>
      </c>
      <c r="T231" s="826" t="e">
        <f>O231/$O$387*1000</f>
        <v>#DIV/0!</v>
      </c>
      <c r="U231" s="817" t="e">
        <f>T231*$M$387</f>
        <v>#DIV/0!</v>
      </c>
      <c r="Y231" s="817"/>
      <c r="Z231" s="817"/>
      <c r="AA231" s="827"/>
      <c r="AC231" s="828"/>
    </row>
    <row r="232" spans="2:29" ht="15" customHeight="1" x14ac:dyDescent="0.3">
      <c r="B232" s="716" t="s">
        <v>485</v>
      </c>
      <c r="C232" s="716">
        <v>1</v>
      </c>
      <c r="D232" s="822">
        <f>'Prec Materia Prima y Empaq'!$H$138</f>
        <v>650</v>
      </c>
      <c r="E232" s="819">
        <v>0</v>
      </c>
      <c r="F232" s="820">
        <f t="shared" si="79"/>
        <v>650</v>
      </c>
      <c r="G232" s="829">
        <f t="shared" ref="G232:G237" si="87">F232*H232</f>
        <v>273000</v>
      </c>
      <c r="H232" s="823">
        <f>$D$217</f>
        <v>420</v>
      </c>
      <c r="I232" s="823" t="s">
        <v>453</v>
      </c>
      <c r="K232" s="821">
        <f t="shared" si="81"/>
        <v>1</v>
      </c>
      <c r="L232" s="819">
        <f t="shared" si="82"/>
        <v>650</v>
      </c>
    </row>
    <row r="233" spans="2:29" ht="15" customHeight="1" x14ac:dyDescent="0.3">
      <c r="B233" s="716" t="s">
        <v>614</v>
      </c>
      <c r="C233" s="716">
        <v>1</v>
      </c>
      <c r="D233" s="822">
        <f>'Prec Materia Prima y Empaq'!$H$144</f>
        <v>70</v>
      </c>
      <c r="E233" s="819">
        <v>0</v>
      </c>
      <c r="F233" s="820">
        <f t="shared" si="79"/>
        <v>70</v>
      </c>
      <c r="G233" s="829">
        <f t="shared" si="87"/>
        <v>29400</v>
      </c>
      <c r="H233" s="823">
        <f t="shared" ref="H233:H237" si="88">$D$217</f>
        <v>420</v>
      </c>
      <c r="I233" s="823" t="s">
        <v>453</v>
      </c>
      <c r="K233" s="821">
        <f t="shared" si="81"/>
        <v>1</v>
      </c>
      <c r="L233" s="819">
        <f t="shared" si="82"/>
        <v>70</v>
      </c>
    </row>
    <row r="234" spans="2:29" ht="45" customHeight="1" x14ac:dyDescent="0.3">
      <c r="B234" s="716" t="s">
        <v>695</v>
      </c>
      <c r="C234" s="823">
        <v>1</v>
      </c>
      <c r="D234" s="842">
        <f>'Prec Materia Prima y Empaq'!$H$161</f>
        <v>300</v>
      </c>
      <c r="E234" s="819">
        <v>0</v>
      </c>
      <c r="F234" s="820">
        <f t="shared" si="79"/>
        <v>300</v>
      </c>
      <c r="G234" s="829">
        <f>F234*H234</f>
        <v>126000</v>
      </c>
      <c r="H234" s="823">
        <f t="shared" si="88"/>
        <v>420</v>
      </c>
      <c r="I234" s="823" t="s">
        <v>453</v>
      </c>
      <c r="K234" s="821">
        <f t="shared" si="81"/>
        <v>1</v>
      </c>
      <c r="L234" s="819">
        <f t="shared" si="82"/>
        <v>300</v>
      </c>
    </row>
    <row r="235" spans="2:29" ht="15" customHeight="1" x14ac:dyDescent="0.3">
      <c r="B235" s="713" t="s">
        <v>675</v>
      </c>
      <c r="C235" s="823">
        <v>1</v>
      </c>
      <c r="D235" s="842">
        <f>'Prec Materia Prima y Empaq'!$H$162</f>
        <v>100</v>
      </c>
      <c r="E235" s="819"/>
      <c r="F235" s="820">
        <f t="shared" si="79"/>
        <v>100</v>
      </c>
      <c r="G235" s="829">
        <f t="shared" si="87"/>
        <v>42000</v>
      </c>
      <c r="H235" s="823">
        <f t="shared" si="88"/>
        <v>420</v>
      </c>
      <c r="I235" s="823" t="s">
        <v>453</v>
      </c>
      <c r="K235" s="821">
        <f t="shared" si="81"/>
        <v>1</v>
      </c>
      <c r="L235" s="819">
        <f t="shared" si="82"/>
        <v>100</v>
      </c>
    </row>
    <row r="236" spans="2:29" ht="15" customHeight="1" x14ac:dyDescent="0.3">
      <c r="B236" s="716" t="s">
        <v>310</v>
      </c>
      <c r="C236" s="823">
        <v>1</v>
      </c>
      <c r="D236" s="842">
        <f>'Prec Materia Prima y Empaq'!$H$130</f>
        <v>100</v>
      </c>
      <c r="E236" s="819">
        <v>0</v>
      </c>
      <c r="F236" s="820">
        <f t="shared" ref="F236:F237" si="89">+E236+D236</f>
        <v>100</v>
      </c>
      <c r="G236" s="829">
        <f t="shared" si="87"/>
        <v>42000</v>
      </c>
      <c r="H236" s="823">
        <f t="shared" si="88"/>
        <v>420</v>
      </c>
      <c r="I236" s="823" t="s">
        <v>453</v>
      </c>
      <c r="K236" s="821">
        <f t="shared" si="81"/>
        <v>1</v>
      </c>
      <c r="L236" s="819">
        <f t="shared" si="82"/>
        <v>100</v>
      </c>
    </row>
    <row r="237" spans="2:29" ht="15" customHeight="1" x14ac:dyDescent="0.3">
      <c r="B237" s="823" t="s">
        <v>309</v>
      </c>
      <c r="C237" s="823">
        <v>1</v>
      </c>
      <c r="D237" s="842">
        <f>'Prec Materia Prima y Empaq'!$H$129</f>
        <v>800</v>
      </c>
      <c r="E237" s="819">
        <v>0</v>
      </c>
      <c r="F237" s="820">
        <f t="shared" si="89"/>
        <v>800</v>
      </c>
      <c r="G237" s="829">
        <f t="shared" si="87"/>
        <v>336000</v>
      </c>
      <c r="H237" s="823">
        <f t="shared" si="88"/>
        <v>420</v>
      </c>
      <c r="I237" s="823" t="s">
        <v>453</v>
      </c>
      <c r="K237" s="821">
        <f t="shared" si="81"/>
        <v>1</v>
      </c>
      <c r="L237" s="819">
        <f t="shared" si="82"/>
        <v>800</v>
      </c>
    </row>
    <row r="238" spans="2:29" ht="15" customHeight="1" thickBot="1" x14ac:dyDescent="0.35">
      <c r="B238" s="805"/>
      <c r="C238" s="805"/>
      <c r="D238" s="832"/>
      <c r="E238" s="732"/>
      <c r="F238" s="833"/>
      <c r="G238" s="834">
        <f>SUM(G223:G237)/D217</f>
        <v>2142.8119932158143</v>
      </c>
      <c r="H238" s="835" t="s">
        <v>454</v>
      </c>
      <c r="I238" s="805"/>
      <c r="L238" s="996">
        <f>SUM(L223:L237)</f>
        <v>2142.8119932158143</v>
      </c>
    </row>
    <row r="239" spans="2:29" ht="15" customHeight="1" thickTop="1" x14ac:dyDescent="0.3">
      <c r="B239" s="1007" t="s">
        <v>409</v>
      </c>
      <c r="C239" s="1008"/>
      <c r="D239" s="1009">
        <f>+'Gtos Varios'!I14</f>
        <v>3672.93</v>
      </c>
      <c r="E239" s="1008"/>
      <c r="F239" s="1010">
        <f t="shared" ref="F239" si="90">+E239+D239</f>
        <v>3672.93</v>
      </c>
      <c r="G239" s="1011">
        <f>F239</f>
        <v>3672.93</v>
      </c>
      <c r="H239" s="1008" t="str">
        <f>B239</f>
        <v xml:space="preserve">GASTOS VARIOS </v>
      </c>
      <c r="I239" s="805"/>
    </row>
    <row r="240" spans="2:29" ht="15" customHeight="1" x14ac:dyDescent="0.3">
      <c r="B240" s="805"/>
      <c r="C240" s="805"/>
      <c r="D240" s="832"/>
      <c r="E240" s="732"/>
      <c r="F240" s="833"/>
      <c r="G240" s="837"/>
      <c r="H240" s="805"/>
      <c r="I240" s="805"/>
    </row>
    <row r="241" spans="1:27" ht="15" customHeight="1" x14ac:dyDescent="0.3">
      <c r="B241" s="805"/>
      <c r="C241" s="805"/>
      <c r="D241" s="832"/>
      <c r="E241" s="732"/>
      <c r="F241" s="833"/>
      <c r="G241" s="837"/>
      <c r="H241" s="805"/>
      <c r="I241" s="805"/>
    </row>
    <row r="242" spans="1:27" ht="15" customHeight="1" thickBot="1" x14ac:dyDescent="0.35">
      <c r="F242" s="838">
        <f>SUM(F223:F237)</f>
        <v>276882.06999999995</v>
      </c>
      <c r="G242" s="839">
        <f>SUM(G238:G239)</f>
        <v>5815.7419932158136</v>
      </c>
      <c r="H242" s="712" t="s">
        <v>412</v>
      </c>
    </row>
    <row r="243" spans="1:27" ht="15" customHeight="1" thickTop="1" x14ac:dyDescent="0.3">
      <c r="G243" s="833">
        <f>G242*58%</f>
        <v>3373.1303560651718</v>
      </c>
      <c r="H243" s="844">
        <v>0.57999999999999996</v>
      </c>
      <c r="I243" s="712" t="s">
        <v>539</v>
      </c>
    </row>
    <row r="244" spans="1:27" ht="15" customHeight="1" thickBot="1" x14ac:dyDescent="0.35">
      <c r="G244" s="841">
        <f>G242+G243</f>
        <v>9188.8723492809859</v>
      </c>
      <c r="H244" s="712" t="s">
        <v>414</v>
      </c>
    </row>
    <row r="245" spans="1:27" ht="15" customHeight="1" thickTop="1" x14ac:dyDescent="0.3">
      <c r="G245" s="834"/>
    </row>
    <row r="246" spans="1:27" ht="15" customHeight="1" x14ac:dyDescent="0.3">
      <c r="G246" s="834"/>
    </row>
    <row r="247" spans="1:27" ht="15" customHeight="1" x14ac:dyDescent="0.3">
      <c r="G247" s="834"/>
    </row>
    <row r="248" spans="1:27" ht="15" customHeight="1" x14ac:dyDescent="0.3">
      <c r="B248" s="802" t="s">
        <v>61</v>
      </c>
      <c r="C248" s="802"/>
      <c r="D248" s="801" t="s">
        <v>586</v>
      </c>
      <c r="G248" s="834"/>
    </row>
    <row r="249" spans="1:27" ht="15" customHeight="1" x14ac:dyDescent="0.3">
      <c r="B249" s="802" t="s">
        <v>62</v>
      </c>
      <c r="C249" s="802"/>
      <c r="D249" s="801" t="str">
        <f>VLOOKUP(D248,LISTPROD[],2,FALSE)</f>
        <v xml:space="preserve">CX-P DE LITRO </v>
      </c>
      <c r="E249" s="712" t="s">
        <v>690</v>
      </c>
      <c r="F249" s="863"/>
    </row>
    <row r="250" spans="1:27" ht="15" customHeight="1" x14ac:dyDescent="0.3">
      <c r="B250" s="802" t="s">
        <v>234</v>
      </c>
      <c r="C250" s="802"/>
      <c r="D250" s="801" t="str">
        <f>VLOOKUP(D248,LISTPROD[],9,FALSE)</f>
        <v>1000 ML</v>
      </c>
    </row>
    <row r="251" spans="1:27" ht="15" customHeight="1" x14ac:dyDescent="0.3">
      <c r="B251" s="802" t="s">
        <v>239</v>
      </c>
      <c r="C251" s="802"/>
      <c r="D251" s="804">
        <v>164</v>
      </c>
      <c r="E251" s="800"/>
      <c r="P251" s="712">
        <v>164</v>
      </c>
      <c r="R251" s="851">
        <f>+P251*1000</f>
        <v>164000</v>
      </c>
      <c r="S251" s="712" t="s">
        <v>619</v>
      </c>
    </row>
    <row r="252" spans="1:27" ht="15" customHeight="1" x14ac:dyDescent="0.3">
      <c r="B252" s="802" t="s">
        <v>240</v>
      </c>
      <c r="C252" s="802"/>
      <c r="D252" s="801"/>
      <c r="P252" s="712">
        <v>500</v>
      </c>
      <c r="R252" s="851">
        <f>+P252*240</f>
        <v>120000</v>
      </c>
      <c r="S252" s="712" t="s">
        <v>620</v>
      </c>
    </row>
    <row r="253" spans="1:27" ht="36.75" customHeight="1" thickBot="1" x14ac:dyDescent="0.35">
      <c r="A253" s="800" t="s">
        <v>616</v>
      </c>
      <c r="B253" s="802" t="s">
        <v>238</v>
      </c>
      <c r="C253" s="802"/>
      <c r="D253" s="712" t="s">
        <v>56</v>
      </c>
      <c r="E253" s="800" t="s">
        <v>449</v>
      </c>
      <c r="K253" s="894"/>
      <c r="R253" s="997">
        <f>SUM(R251:R252)</f>
        <v>284000</v>
      </c>
    </row>
    <row r="254" spans="1:27" ht="15" customHeight="1" thickTop="1" x14ac:dyDescent="0.3">
      <c r="B254" s="806" t="s">
        <v>410</v>
      </c>
      <c r="C254" s="806"/>
      <c r="D254" s="807">
        <v>1000</v>
      </c>
      <c r="E254" s="808"/>
    </row>
    <row r="255" spans="1:27" ht="15" customHeight="1" x14ac:dyDescent="0.3">
      <c r="B255" s="1498" t="s">
        <v>404</v>
      </c>
      <c r="C255" s="1498"/>
      <c r="D255" s="1498"/>
      <c r="E255" s="1498"/>
      <c r="F255" s="1498"/>
      <c r="G255" s="714"/>
      <c r="H255" s="1499" t="s">
        <v>416</v>
      </c>
      <c r="I255" s="1500"/>
      <c r="K255" s="1524" t="s">
        <v>454</v>
      </c>
      <c r="L255" s="1524"/>
      <c r="M255" s="851"/>
      <c r="O255" s="712" t="s">
        <v>618</v>
      </c>
    </row>
    <row r="256" spans="1:27" ht="27.75" customHeight="1" x14ac:dyDescent="0.3">
      <c r="B256" s="810" t="s">
        <v>398</v>
      </c>
      <c r="C256" s="811" t="s">
        <v>441</v>
      </c>
      <c r="D256" s="812" t="s">
        <v>399</v>
      </c>
      <c r="E256" s="813" t="s">
        <v>402</v>
      </c>
      <c r="F256" s="812" t="s">
        <v>399</v>
      </c>
      <c r="G256" s="812" t="s">
        <v>411</v>
      </c>
      <c r="H256" s="814" t="s">
        <v>408</v>
      </c>
      <c r="I256" s="815" t="s">
        <v>415</v>
      </c>
      <c r="K256" s="816" t="s">
        <v>603</v>
      </c>
      <c r="L256" s="816" t="s">
        <v>604</v>
      </c>
      <c r="M256" s="851"/>
      <c r="R256" s="801" t="s">
        <v>622</v>
      </c>
      <c r="T256" s="801" t="s">
        <v>619</v>
      </c>
      <c r="U256" s="801" t="s">
        <v>623</v>
      </c>
      <c r="V256" s="802" t="s">
        <v>625</v>
      </c>
      <c r="W256" s="801"/>
      <c r="X256" s="801" t="s">
        <v>620</v>
      </c>
      <c r="Y256" s="801" t="s">
        <v>623</v>
      </c>
      <c r="Z256" s="802" t="s">
        <v>625</v>
      </c>
      <c r="AA256" s="998" t="s">
        <v>624</v>
      </c>
    </row>
    <row r="257" spans="1:29" ht="15" customHeight="1" x14ac:dyDescent="0.3">
      <c r="B257" s="714" t="s">
        <v>252</v>
      </c>
      <c r="C257" s="714">
        <v>1000</v>
      </c>
      <c r="D257" s="818">
        <f>'Preci Comp Prod'!$E$11</f>
        <v>7900</v>
      </c>
      <c r="E257" s="819">
        <f>D257*19%</f>
        <v>1501</v>
      </c>
      <c r="F257" s="820">
        <f>+E257+D257</f>
        <v>9401</v>
      </c>
      <c r="G257" s="819">
        <f>$F$257/C257*$H$257</f>
        <v>8143.1197183098584</v>
      </c>
      <c r="H257" s="821">
        <v>866.19718309859149</v>
      </c>
      <c r="I257" s="714" t="s">
        <v>450</v>
      </c>
      <c r="K257" s="821">
        <f>H257/$D$251</f>
        <v>5.28169014084507</v>
      </c>
      <c r="L257" s="819">
        <f>F257/C257*K257</f>
        <v>49.653169014084504</v>
      </c>
      <c r="M257" s="851"/>
      <c r="N257" s="714" t="s">
        <v>252</v>
      </c>
      <c r="O257" s="824">
        <v>1500</v>
      </c>
      <c r="P257" s="819">
        <f t="shared" ref="P257:P264" si="91">F257/C257*O257</f>
        <v>14101.5</v>
      </c>
      <c r="Q257" s="732"/>
      <c r="R257" s="817">
        <f t="shared" ref="R257:R264" si="92">P257/$R$253</f>
        <v>4.9653169014084508E-2</v>
      </c>
      <c r="T257" s="712">
        <f>R257*1000</f>
        <v>49.653169014084511</v>
      </c>
      <c r="U257" s="817">
        <f>O257/$R$253*1000</f>
        <v>5.28169014084507</v>
      </c>
      <c r="V257" s="817">
        <f>U257*$P$251</f>
        <v>866.19718309859149</v>
      </c>
      <c r="X257" s="712">
        <f>+R257*240</f>
        <v>11.916760563380283</v>
      </c>
      <c r="Y257" s="817">
        <f>O257/$R$253*240</f>
        <v>1.267605633802817</v>
      </c>
      <c r="Z257" s="817">
        <f>Y257*$P$252</f>
        <v>633.80281690140851</v>
      </c>
      <c r="AA257" s="827">
        <f>+Z257+V257</f>
        <v>1500</v>
      </c>
      <c r="AB257" s="712">
        <f>O257</f>
        <v>1500</v>
      </c>
      <c r="AC257" s="828">
        <f>+AB257-AA257</f>
        <v>0</v>
      </c>
    </row>
    <row r="258" spans="1:29" ht="15" customHeight="1" x14ac:dyDescent="0.3">
      <c r="B258" s="714" t="s">
        <v>585</v>
      </c>
      <c r="C258" s="714">
        <v>1000</v>
      </c>
      <c r="D258" s="818">
        <f>'Preci Comp Prod'!$E$17</f>
        <v>9500</v>
      </c>
      <c r="E258" s="819">
        <v>0</v>
      </c>
      <c r="F258" s="820">
        <f t="shared" ref="F258:F264" si="93">+E258+D258</f>
        <v>9500</v>
      </c>
      <c r="G258" s="819">
        <f t="shared" ref="G258:G264" si="94">F258/C258*H258</f>
        <v>16457.74647887324</v>
      </c>
      <c r="H258" s="821">
        <v>1732.394366197183</v>
      </c>
      <c r="I258" s="714" t="s">
        <v>450</v>
      </c>
      <c r="K258" s="821">
        <f t="shared" ref="K258:K265" si="95">H258/$D$251</f>
        <v>10.56338028169014</v>
      </c>
      <c r="L258" s="819">
        <f t="shared" ref="L258:L265" si="96">F258/C258*K258</f>
        <v>100.35211267605634</v>
      </c>
      <c r="N258" s="714" t="s">
        <v>585</v>
      </c>
      <c r="O258" s="824">
        <v>3000</v>
      </c>
      <c r="P258" s="819">
        <f t="shared" si="91"/>
        <v>28500</v>
      </c>
      <c r="Q258" s="732"/>
      <c r="R258" s="817">
        <f t="shared" si="92"/>
        <v>0.10035211267605634</v>
      </c>
      <c r="T258" s="712">
        <f t="shared" ref="T258:T264" si="97">R258*1000</f>
        <v>100.35211267605634</v>
      </c>
      <c r="U258" s="817">
        <f t="shared" ref="U258:U264" si="98">O258/$R$253*1000</f>
        <v>10.56338028169014</v>
      </c>
      <c r="V258" s="817">
        <f t="shared" ref="V258:V264" si="99">U258*$P$251</f>
        <v>1732.394366197183</v>
      </c>
      <c r="X258" s="712">
        <f t="shared" ref="X258:X264" si="100">+R258*240</f>
        <v>24.084507042253524</v>
      </c>
      <c r="Y258" s="817">
        <f t="shared" ref="Y258:Y264" si="101">O258/$R$253*240</f>
        <v>2.535211267605634</v>
      </c>
      <c r="Z258" s="817">
        <f t="shared" ref="Z258:Z264" si="102">Y258*$P$252</f>
        <v>1267.605633802817</v>
      </c>
      <c r="AA258" s="827">
        <f t="shared" ref="AA258:AA264" si="103">+Z258+V258</f>
        <v>3000</v>
      </c>
      <c r="AB258" s="712">
        <f t="shared" ref="AB258:AB264" si="104">O258</f>
        <v>3000</v>
      </c>
      <c r="AC258" s="828">
        <f t="shared" ref="AC258:AC264" si="105">+AB258-AA258</f>
        <v>0</v>
      </c>
    </row>
    <row r="259" spans="1:29" ht="15" customHeight="1" x14ac:dyDescent="0.3">
      <c r="B259" s="714" t="s">
        <v>521</v>
      </c>
      <c r="C259" s="714">
        <v>1000</v>
      </c>
      <c r="D259" s="818">
        <f>'Preci Comp Prod'!$E$14</f>
        <v>12000</v>
      </c>
      <c r="E259" s="819">
        <f t="shared" ref="E259:E264" si="106">D259*19%</f>
        <v>2280</v>
      </c>
      <c r="F259" s="820">
        <f t="shared" si="93"/>
        <v>14280</v>
      </c>
      <c r="G259" s="819">
        <f t="shared" si="94"/>
        <v>24738.591549295772</v>
      </c>
      <c r="H259" s="821">
        <v>1732.394366197183</v>
      </c>
      <c r="I259" s="714" t="s">
        <v>450</v>
      </c>
      <c r="K259" s="821">
        <f t="shared" si="95"/>
        <v>10.56338028169014</v>
      </c>
      <c r="L259" s="819">
        <f t="shared" si="96"/>
        <v>150.8450704225352</v>
      </c>
      <c r="N259" s="714" t="s">
        <v>521</v>
      </c>
      <c r="O259" s="824">
        <v>3000</v>
      </c>
      <c r="P259" s="819">
        <f t="shared" si="91"/>
        <v>42840</v>
      </c>
      <c r="Q259" s="732"/>
      <c r="R259" s="817">
        <f t="shared" si="92"/>
        <v>0.1508450704225352</v>
      </c>
      <c r="T259" s="712">
        <f t="shared" si="97"/>
        <v>150.8450704225352</v>
      </c>
      <c r="U259" s="817">
        <f t="shared" si="98"/>
        <v>10.56338028169014</v>
      </c>
      <c r="V259" s="817">
        <f t="shared" si="99"/>
        <v>1732.394366197183</v>
      </c>
      <c r="X259" s="712">
        <f t="shared" si="100"/>
        <v>36.202816901408447</v>
      </c>
      <c r="Y259" s="817">
        <f t="shared" si="101"/>
        <v>2.535211267605634</v>
      </c>
      <c r="Z259" s="817">
        <f t="shared" si="102"/>
        <v>1267.605633802817</v>
      </c>
      <c r="AA259" s="827">
        <f t="shared" si="103"/>
        <v>3000</v>
      </c>
      <c r="AB259" s="712">
        <f t="shared" si="104"/>
        <v>3000</v>
      </c>
      <c r="AC259" s="828">
        <f t="shared" si="105"/>
        <v>0</v>
      </c>
    </row>
    <row r="260" spans="1:29" ht="15" customHeight="1" x14ac:dyDescent="0.3">
      <c r="B260" s="714" t="s">
        <v>283</v>
      </c>
      <c r="C260" s="714">
        <v>1000</v>
      </c>
      <c r="D260" s="818">
        <f>'Preci Comp Prod'!$E$15</f>
        <v>18000</v>
      </c>
      <c r="E260" s="819">
        <f t="shared" si="106"/>
        <v>3420</v>
      </c>
      <c r="F260" s="820">
        <f t="shared" si="93"/>
        <v>21420</v>
      </c>
      <c r="G260" s="819">
        <f t="shared" si="94"/>
        <v>24738.591549295776</v>
      </c>
      <c r="H260" s="821">
        <v>1154.9295774647887</v>
      </c>
      <c r="I260" s="714" t="s">
        <v>450</v>
      </c>
      <c r="K260" s="821">
        <f t="shared" si="95"/>
        <v>7.042253521126761</v>
      </c>
      <c r="L260" s="819">
        <f t="shared" si="96"/>
        <v>150.84507042253523</v>
      </c>
      <c r="N260" s="714" t="s">
        <v>283</v>
      </c>
      <c r="O260" s="824">
        <v>2000</v>
      </c>
      <c r="P260" s="819">
        <f t="shared" si="91"/>
        <v>42840</v>
      </c>
      <c r="Q260" s="732"/>
      <c r="R260" s="817">
        <f t="shared" si="92"/>
        <v>0.1508450704225352</v>
      </c>
      <c r="T260" s="712">
        <f t="shared" si="97"/>
        <v>150.8450704225352</v>
      </c>
      <c r="U260" s="817">
        <f t="shared" si="98"/>
        <v>7.042253521126761</v>
      </c>
      <c r="V260" s="817">
        <f t="shared" si="99"/>
        <v>1154.9295774647887</v>
      </c>
      <c r="X260" s="712">
        <f t="shared" si="100"/>
        <v>36.202816901408447</v>
      </c>
      <c r="Y260" s="817">
        <f t="shared" si="101"/>
        <v>1.6901408450704225</v>
      </c>
      <c r="Z260" s="817">
        <f t="shared" si="102"/>
        <v>845.07042253521126</v>
      </c>
      <c r="AA260" s="827">
        <f t="shared" si="103"/>
        <v>2000</v>
      </c>
      <c r="AB260" s="712">
        <f t="shared" si="104"/>
        <v>2000</v>
      </c>
      <c r="AC260" s="828">
        <f t="shared" si="105"/>
        <v>0</v>
      </c>
    </row>
    <row r="261" spans="1:29" ht="15" customHeight="1" x14ac:dyDescent="0.3">
      <c r="B261" s="714" t="s">
        <v>265</v>
      </c>
      <c r="C261" s="714">
        <v>1000</v>
      </c>
      <c r="D261" s="818">
        <f>'Preci Comp Prod'!$E$16</f>
        <v>14000</v>
      </c>
      <c r="E261" s="819">
        <f t="shared" ref="E261" si="107">D261*19%</f>
        <v>2660</v>
      </c>
      <c r="F261" s="820">
        <f t="shared" ref="F261" si="108">+E261+D261</f>
        <v>16660</v>
      </c>
      <c r="G261" s="819">
        <f t="shared" ref="G261" si="109">F261/C261*H261</f>
        <v>4810.2816901408451</v>
      </c>
      <c r="H261" s="821">
        <v>288.73239436619718</v>
      </c>
      <c r="I261" s="714" t="s">
        <v>450</v>
      </c>
      <c r="K261" s="821">
        <f t="shared" si="95"/>
        <v>1.7605633802816902</v>
      </c>
      <c r="L261" s="819">
        <f t="shared" si="96"/>
        <v>29.33098591549296</v>
      </c>
      <c r="N261" s="714" t="s">
        <v>265</v>
      </c>
      <c r="O261" s="824">
        <v>500</v>
      </c>
      <c r="P261" s="819">
        <f t="shared" si="91"/>
        <v>8330</v>
      </c>
      <c r="Q261" s="732"/>
      <c r="R261" s="817">
        <f t="shared" si="92"/>
        <v>2.9330985915492956E-2</v>
      </c>
      <c r="T261" s="712">
        <f t="shared" si="97"/>
        <v>29.330985915492956</v>
      </c>
      <c r="U261" s="817">
        <f t="shared" si="98"/>
        <v>1.7605633802816902</v>
      </c>
      <c r="V261" s="817">
        <f t="shared" si="99"/>
        <v>288.73239436619718</v>
      </c>
      <c r="X261" s="712">
        <f t="shared" si="100"/>
        <v>7.0394366197183098</v>
      </c>
      <c r="Y261" s="817">
        <f t="shared" si="101"/>
        <v>0.42253521126760563</v>
      </c>
      <c r="Z261" s="817">
        <f t="shared" si="102"/>
        <v>211.26760563380282</v>
      </c>
      <c r="AA261" s="827">
        <f t="shared" si="103"/>
        <v>500</v>
      </c>
      <c r="AB261" s="712">
        <f t="shared" si="104"/>
        <v>500</v>
      </c>
      <c r="AC261" s="828">
        <f t="shared" si="105"/>
        <v>0</v>
      </c>
    </row>
    <row r="262" spans="1:29" ht="15" customHeight="1" x14ac:dyDescent="0.3">
      <c r="B262" s="714" t="s">
        <v>593</v>
      </c>
      <c r="C262" s="714">
        <v>1000</v>
      </c>
      <c r="D262" s="818">
        <f>'Preci Comp Prod'!$E$22</f>
        <v>210084.03</v>
      </c>
      <c r="E262" s="819">
        <f t="shared" si="106"/>
        <v>39915.965700000001</v>
      </c>
      <c r="F262" s="820">
        <f t="shared" si="93"/>
        <v>249999.9957</v>
      </c>
      <c r="G262" s="819">
        <f t="shared" si="94"/>
        <v>12992.957522999999</v>
      </c>
      <c r="H262" s="821">
        <v>51.971830985915489</v>
      </c>
      <c r="I262" s="714" t="s">
        <v>450</v>
      </c>
      <c r="K262" s="821">
        <f t="shared" si="95"/>
        <v>0.31690140845070419</v>
      </c>
      <c r="L262" s="819">
        <f t="shared" si="96"/>
        <v>79.22535074999999</v>
      </c>
      <c r="N262" s="714" t="s">
        <v>593</v>
      </c>
      <c r="O262" s="824">
        <v>90</v>
      </c>
      <c r="P262" s="819">
        <f t="shared" si="91"/>
        <v>22499.999613</v>
      </c>
      <c r="Q262" s="732"/>
      <c r="R262" s="817">
        <f t="shared" si="92"/>
        <v>7.9225350750000006E-2</v>
      </c>
      <c r="T262" s="712">
        <f t="shared" si="97"/>
        <v>79.225350750000004</v>
      </c>
      <c r="U262" s="817">
        <f t="shared" si="98"/>
        <v>0.31690140845070419</v>
      </c>
      <c r="V262" s="817">
        <f t="shared" si="99"/>
        <v>51.971830985915489</v>
      </c>
      <c r="X262" s="712">
        <f t="shared" si="100"/>
        <v>19.014084180000001</v>
      </c>
      <c r="Y262" s="817">
        <f t="shared" si="101"/>
        <v>7.605633802816901E-2</v>
      </c>
      <c r="Z262" s="817">
        <f t="shared" si="102"/>
        <v>38.028169014084504</v>
      </c>
      <c r="AA262" s="827">
        <f t="shared" si="103"/>
        <v>90</v>
      </c>
      <c r="AB262" s="712">
        <f t="shared" si="104"/>
        <v>90</v>
      </c>
      <c r="AC262" s="828">
        <f t="shared" si="105"/>
        <v>0</v>
      </c>
    </row>
    <row r="263" spans="1:29" ht="15" customHeight="1" x14ac:dyDescent="0.3">
      <c r="B263" s="830" t="s">
        <v>563</v>
      </c>
      <c r="C263" s="714">
        <v>1000</v>
      </c>
      <c r="D263" s="818">
        <f>'Preci Comp Prod'!$E$43</f>
        <v>70000</v>
      </c>
      <c r="E263" s="819">
        <f t="shared" si="106"/>
        <v>13300</v>
      </c>
      <c r="F263" s="820">
        <f t="shared" si="93"/>
        <v>83300</v>
      </c>
      <c r="G263" s="819">
        <f t="shared" si="94"/>
        <v>14430.845070422534</v>
      </c>
      <c r="H263" s="714">
        <v>173.2394366197183</v>
      </c>
      <c r="I263" s="714" t="s">
        <v>450</v>
      </c>
      <c r="K263" s="821">
        <f t="shared" si="95"/>
        <v>1.056338028169014</v>
      </c>
      <c r="L263" s="819">
        <f t="shared" si="96"/>
        <v>87.992957746478865</v>
      </c>
      <c r="N263" s="830" t="s">
        <v>563</v>
      </c>
      <c r="O263" s="824">
        <v>300</v>
      </c>
      <c r="P263" s="819">
        <f t="shared" si="91"/>
        <v>24990</v>
      </c>
      <c r="Q263" s="732"/>
      <c r="R263" s="817">
        <f t="shared" si="92"/>
        <v>8.7992957746478875E-2</v>
      </c>
      <c r="T263" s="712">
        <f t="shared" si="97"/>
        <v>87.992957746478879</v>
      </c>
      <c r="U263" s="817">
        <f t="shared" si="98"/>
        <v>1.056338028169014</v>
      </c>
      <c r="V263" s="817">
        <f t="shared" si="99"/>
        <v>173.2394366197183</v>
      </c>
      <c r="X263" s="712">
        <f t="shared" si="100"/>
        <v>21.11830985915493</v>
      </c>
      <c r="Y263" s="817">
        <f t="shared" si="101"/>
        <v>0.25352112676056338</v>
      </c>
      <c r="Z263" s="817">
        <f t="shared" si="102"/>
        <v>126.76056338028168</v>
      </c>
      <c r="AA263" s="827">
        <f t="shared" si="103"/>
        <v>300</v>
      </c>
      <c r="AB263" s="712">
        <f t="shared" si="104"/>
        <v>300</v>
      </c>
      <c r="AC263" s="828">
        <f t="shared" si="105"/>
        <v>0</v>
      </c>
    </row>
    <row r="264" spans="1:29" ht="15" customHeight="1" x14ac:dyDescent="0.3">
      <c r="B264" s="830" t="s">
        <v>248</v>
      </c>
      <c r="C264" s="714">
        <v>1000</v>
      </c>
      <c r="D264" s="822">
        <f>'Preci Comp Prod'!$E$35</f>
        <v>18900</v>
      </c>
      <c r="E264" s="967">
        <f t="shared" si="106"/>
        <v>3591</v>
      </c>
      <c r="F264" s="999">
        <f t="shared" si="93"/>
        <v>22491</v>
      </c>
      <c r="G264" s="819">
        <f t="shared" si="94"/>
        <v>22728.580985915491</v>
      </c>
      <c r="H264" s="823">
        <v>1010.5633802816901</v>
      </c>
      <c r="I264" s="714" t="s">
        <v>450</v>
      </c>
      <c r="K264" s="821">
        <f t="shared" si="95"/>
        <v>6.1619718309859151</v>
      </c>
      <c r="L264" s="819">
        <f t="shared" si="96"/>
        <v>138.58890845070422</v>
      </c>
      <c r="N264" s="830" t="s">
        <v>248</v>
      </c>
      <c r="O264" s="824">
        <v>1750</v>
      </c>
      <c r="P264" s="819">
        <f t="shared" si="91"/>
        <v>39359.25</v>
      </c>
      <c r="Q264" s="732"/>
      <c r="R264" s="817">
        <f t="shared" si="92"/>
        <v>0.13858890845070423</v>
      </c>
      <c r="T264" s="712">
        <f t="shared" si="97"/>
        <v>138.58890845070422</v>
      </c>
      <c r="U264" s="817">
        <f t="shared" si="98"/>
        <v>6.1619718309859151</v>
      </c>
      <c r="V264" s="817">
        <f t="shared" si="99"/>
        <v>1010.5633802816901</v>
      </c>
      <c r="X264" s="712">
        <f t="shared" si="100"/>
        <v>33.261338028169014</v>
      </c>
      <c r="Y264" s="817">
        <f t="shared" si="101"/>
        <v>1.4788732394366195</v>
      </c>
      <c r="Z264" s="817">
        <f t="shared" si="102"/>
        <v>739.43661971830977</v>
      </c>
      <c r="AA264" s="827">
        <f t="shared" si="103"/>
        <v>1750</v>
      </c>
      <c r="AB264" s="712">
        <f t="shared" si="104"/>
        <v>1750</v>
      </c>
      <c r="AC264" s="828">
        <f t="shared" si="105"/>
        <v>0</v>
      </c>
    </row>
    <row r="265" spans="1:29" ht="36" customHeight="1" x14ac:dyDescent="0.3">
      <c r="B265" s="830" t="s">
        <v>494</v>
      </c>
      <c r="C265" s="823">
        <v>1</v>
      </c>
      <c r="D265" s="822">
        <f>'Preci Comp Prod'!$N$24</f>
        <v>1500</v>
      </c>
      <c r="E265" s="967">
        <v>0</v>
      </c>
      <c r="F265" s="999">
        <f t="shared" ref="F265:F266" si="110">+E265+D265</f>
        <v>1500</v>
      </c>
      <c r="G265" s="829">
        <f>F265*H265</f>
        <v>246000</v>
      </c>
      <c r="H265" s="823">
        <v>164</v>
      </c>
      <c r="I265" s="823" t="s">
        <v>453</v>
      </c>
      <c r="K265" s="821">
        <f t="shared" si="95"/>
        <v>1</v>
      </c>
      <c r="L265" s="819">
        <f t="shared" si="96"/>
        <v>1500</v>
      </c>
    </row>
    <row r="266" spans="1:29" ht="37.5" customHeight="1" x14ac:dyDescent="0.3">
      <c r="A266" s="876"/>
      <c r="B266" s="1000" t="s">
        <v>615</v>
      </c>
      <c r="C266" s="845">
        <v>1</v>
      </c>
      <c r="D266" s="846"/>
      <c r="E266" s="819">
        <v>0</v>
      </c>
      <c r="F266" s="820">
        <f t="shared" si="110"/>
        <v>0</v>
      </c>
      <c r="G266" s="829">
        <f t="shared" ref="G266" si="111">F266*H266</f>
        <v>0</v>
      </c>
      <c r="H266" s="823"/>
      <c r="I266" s="823"/>
      <c r="K266" s="821">
        <f t="shared" ref="K266" si="112">H266/$D$251</f>
        <v>0</v>
      </c>
      <c r="L266" s="819">
        <f t="shared" ref="L266" si="113">F266/C266*K266</f>
        <v>0</v>
      </c>
    </row>
    <row r="267" spans="1:29" ht="15" customHeight="1" thickBot="1" x14ac:dyDescent="0.35">
      <c r="B267" s="805"/>
      <c r="C267" s="805"/>
      <c r="D267" s="832"/>
      <c r="E267" s="732"/>
      <c r="F267" s="833"/>
      <c r="G267" s="834">
        <f>SUM(G257:G266)/D251</f>
        <v>2286.8336253978873</v>
      </c>
      <c r="H267" s="835" t="s">
        <v>454</v>
      </c>
      <c r="I267" s="805"/>
      <c r="L267" s="841">
        <f>SUM(L257:L266)</f>
        <v>2286.8336253978873</v>
      </c>
      <c r="P267" s="1001">
        <f>SUM(P257:P264)</f>
        <v>223460.74961299999</v>
      </c>
      <c r="Q267" s="732"/>
      <c r="R267" s="732"/>
      <c r="T267" s="1002">
        <f>SUM(T257:T264)</f>
        <v>786.83362539788732</v>
      </c>
      <c r="U267" s="1003">
        <f>SUM(U257:U264)</f>
        <v>42.746478873239433</v>
      </c>
      <c r="V267" s="1002">
        <f>SUM(V257:V264)</f>
        <v>7010.422535211268</v>
      </c>
      <c r="W267" s="1002"/>
      <c r="X267" s="1002">
        <f>SUM(X257:X264)</f>
        <v>188.84007009549293</v>
      </c>
      <c r="AA267" s="1002">
        <f>SUM(AA257:AA264)</f>
        <v>12140</v>
      </c>
    </row>
    <row r="268" spans="1:29" ht="15" customHeight="1" thickTop="1" x14ac:dyDescent="0.3">
      <c r="B268" s="1007" t="s">
        <v>409</v>
      </c>
      <c r="C268" s="1008"/>
      <c r="D268" s="1009">
        <f>+'Gtos Varios'!I14</f>
        <v>3672.93</v>
      </c>
      <c r="E268" s="1008"/>
      <c r="F268" s="1010">
        <f t="shared" ref="F268" si="114">+E268+D268</f>
        <v>3672.93</v>
      </c>
      <c r="G268" s="1011">
        <f>F268</f>
        <v>3672.93</v>
      </c>
      <c r="H268" s="1008" t="str">
        <f>B268</f>
        <v xml:space="preserve">GASTOS VARIOS </v>
      </c>
      <c r="I268" s="1008"/>
    </row>
    <row r="269" spans="1:29" ht="15" customHeight="1" x14ac:dyDescent="0.3">
      <c r="B269" s="805"/>
      <c r="C269" s="805"/>
      <c r="D269" s="832"/>
      <c r="E269" s="732"/>
      <c r="F269" s="833"/>
      <c r="G269" s="837"/>
      <c r="H269" s="805"/>
      <c r="I269" s="805"/>
    </row>
    <row r="270" spans="1:29" ht="15" customHeight="1" x14ac:dyDescent="0.3">
      <c r="B270" s="805"/>
      <c r="C270" s="805"/>
      <c r="D270" s="832"/>
      <c r="E270" s="732"/>
      <c r="F270" s="833"/>
      <c r="G270" s="837"/>
      <c r="H270" s="805"/>
      <c r="I270" s="805"/>
    </row>
    <row r="271" spans="1:29" ht="15" customHeight="1" thickBot="1" x14ac:dyDescent="0.35">
      <c r="F271" s="838">
        <f>SUM(F257:F266)</f>
        <v>428551.99569999997</v>
      </c>
      <c r="G271" s="839">
        <f>SUM(G267:G268)</f>
        <v>5959.7636253978872</v>
      </c>
      <c r="H271" s="712" t="s">
        <v>412</v>
      </c>
    </row>
    <row r="272" spans="1:29" ht="15" customHeight="1" thickTop="1" x14ac:dyDescent="0.3">
      <c r="G272" s="833">
        <f>G271*87%</f>
        <v>5184.9943540961622</v>
      </c>
      <c r="H272" s="844">
        <v>0.87</v>
      </c>
      <c r="I272" s="712" t="s">
        <v>539</v>
      </c>
    </row>
    <row r="273" spans="2:11" ht="15" customHeight="1" thickBot="1" x14ac:dyDescent="0.35">
      <c r="G273" s="841">
        <f>G271+G272</f>
        <v>11144.75797949405</v>
      </c>
      <c r="H273" s="712" t="s">
        <v>414</v>
      </c>
    </row>
    <row r="274" spans="2:11" ht="15" customHeight="1" thickTop="1" x14ac:dyDescent="0.3"/>
    <row r="282" spans="2:11" ht="15" customHeight="1" x14ac:dyDescent="0.3">
      <c r="B282" s="802" t="s">
        <v>61</v>
      </c>
      <c r="C282" s="802"/>
      <c r="D282" s="801" t="s">
        <v>587</v>
      </c>
    </row>
    <row r="283" spans="2:11" ht="15" customHeight="1" x14ac:dyDescent="0.3">
      <c r="B283" s="802" t="s">
        <v>62</v>
      </c>
      <c r="C283" s="802"/>
      <c r="D283" s="801" t="str">
        <f>VLOOKUP(D282,LISTPROD[],2,FALSE)</f>
        <v>CX-P 240ml</v>
      </c>
      <c r="E283" s="712" t="s">
        <v>690</v>
      </c>
      <c r="F283" s="863"/>
    </row>
    <row r="284" spans="2:11" ht="15" customHeight="1" x14ac:dyDescent="0.3">
      <c r="B284" s="802" t="s">
        <v>234</v>
      </c>
      <c r="C284" s="802"/>
      <c r="D284" s="801" t="str">
        <f>VLOOKUP(D282,LISTPROD[],6,FALSE)</f>
        <v>01</v>
      </c>
    </row>
    <row r="285" spans="2:11" ht="15" customHeight="1" x14ac:dyDescent="0.3">
      <c r="B285" s="802" t="s">
        <v>239</v>
      </c>
      <c r="C285" s="802"/>
      <c r="D285" s="804">
        <v>500</v>
      </c>
      <c r="E285" s="800"/>
    </row>
    <row r="286" spans="2:11" ht="15" customHeight="1" x14ac:dyDescent="0.3">
      <c r="B286" s="802" t="s">
        <v>240</v>
      </c>
      <c r="C286" s="802"/>
      <c r="D286" s="801"/>
    </row>
    <row r="287" spans="2:11" ht="27" customHeight="1" x14ac:dyDescent="0.3">
      <c r="B287" s="802" t="s">
        <v>238</v>
      </c>
      <c r="C287" s="802"/>
      <c r="D287" s="712" t="s">
        <v>56</v>
      </c>
      <c r="E287" s="800" t="s">
        <v>449</v>
      </c>
      <c r="K287" s="894"/>
    </row>
    <row r="288" spans="2:11" ht="15" customHeight="1" x14ac:dyDescent="0.3">
      <c r="B288" s="806" t="s">
        <v>410</v>
      </c>
      <c r="C288" s="806"/>
      <c r="D288" s="807">
        <v>240</v>
      </c>
      <c r="E288" s="808"/>
    </row>
    <row r="289" spans="1:13" ht="15" customHeight="1" x14ac:dyDescent="0.3">
      <c r="B289" s="1498" t="s">
        <v>404</v>
      </c>
      <c r="C289" s="1498"/>
      <c r="D289" s="1498"/>
      <c r="E289" s="1498"/>
      <c r="F289" s="1498"/>
      <c r="G289" s="714"/>
      <c r="H289" s="1499" t="s">
        <v>416</v>
      </c>
      <c r="I289" s="1500"/>
      <c r="K289" s="1524" t="s">
        <v>454</v>
      </c>
      <c r="L289" s="1524"/>
      <c r="M289" s="851"/>
    </row>
    <row r="290" spans="1:13" ht="15" customHeight="1" x14ac:dyDescent="0.3">
      <c r="B290" s="810" t="s">
        <v>398</v>
      </c>
      <c r="C290" s="811" t="s">
        <v>441</v>
      </c>
      <c r="D290" s="812" t="s">
        <v>399</v>
      </c>
      <c r="E290" s="813" t="s">
        <v>402</v>
      </c>
      <c r="F290" s="812" t="s">
        <v>399</v>
      </c>
      <c r="G290" s="812" t="s">
        <v>411</v>
      </c>
      <c r="H290" s="814" t="s">
        <v>408</v>
      </c>
      <c r="I290" s="815" t="s">
        <v>415</v>
      </c>
      <c r="K290" s="816" t="s">
        <v>603</v>
      </c>
      <c r="L290" s="816" t="s">
        <v>604</v>
      </c>
      <c r="M290" s="851"/>
    </row>
    <row r="291" spans="1:13" ht="15" customHeight="1" x14ac:dyDescent="0.3">
      <c r="B291" s="714" t="s">
        <v>252</v>
      </c>
      <c r="C291" s="714">
        <v>1000</v>
      </c>
      <c r="D291" s="818">
        <f>'Preci Comp Prod'!$E$11</f>
        <v>7900</v>
      </c>
      <c r="E291" s="819">
        <f>D291*19%</f>
        <v>1501</v>
      </c>
      <c r="F291" s="820">
        <f>+E291+D291</f>
        <v>9401</v>
      </c>
      <c r="G291" s="819">
        <f t="shared" ref="G291:G298" si="115">F291/C291*H291</f>
        <v>5958.3802816901416</v>
      </c>
      <c r="H291" s="821">
        <v>633.80281690140851</v>
      </c>
      <c r="I291" s="714" t="s">
        <v>450</v>
      </c>
      <c r="K291" s="821">
        <f>H291/$D$285</f>
        <v>1.267605633802817</v>
      </c>
      <c r="L291" s="819">
        <f>F291/C291*K291</f>
        <v>11.916760563380283</v>
      </c>
      <c r="M291" s="851"/>
    </row>
    <row r="292" spans="1:13" ht="15" customHeight="1" x14ac:dyDescent="0.3">
      <c r="B292" s="714" t="s">
        <v>585</v>
      </c>
      <c r="C292" s="714">
        <v>1000</v>
      </c>
      <c r="D292" s="818">
        <f>'Preci Comp Prod'!$E$17</f>
        <v>9500</v>
      </c>
      <c r="E292" s="819">
        <v>0</v>
      </c>
      <c r="F292" s="820">
        <f t="shared" ref="F292:F298" si="116">+E292+D292</f>
        <v>9500</v>
      </c>
      <c r="G292" s="819">
        <f t="shared" si="115"/>
        <v>12042.253521126762</v>
      </c>
      <c r="H292" s="821">
        <v>1267.605633802817</v>
      </c>
      <c r="I292" s="714" t="s">
        <v>450</v>
      </c>
      <c r="K292" s="821">
        <f t="shared" ref="K292:K300" si="117">H292/$D$285</f>
        <v>2.535211267605634</v>
      </c>
      <c r="L292" s="819">
        <f t="shared" ref="L292:L299" si="118">F292/C292*K292</f>
        <v>24.084507042253524</v>
      </c>
    </row>
    <row r="293" spans="1:13" ht="15" customHeight="1" x14ac:dyDescent="0.3">
      <c r="B293" s="714" t="s">
        <v>521</v>
      </c>
      <c r="C293" s="714">
        <v>1000</v>
      </c>
      <c r="D293" s="818">
        <f>'Preci Comp Prod'!$E$14</f>
        <v>12000</v>
      </c>
      <c r="E293" s="819">
        <f t="shared" ref="E293:E298" si="119">D293*19%</f>
        <v>2280</v>
      </c>
      <c r="F293" s="820">
        <f t="shared" si="116"/>
        <v>14280</v>
      </c>
      <c r="G293" s="819">
        <f t="shared" si="115"/>
        <v>18101.408450704224</v>
      </c>
      <c r="H293" s="821">
        <v>1267.605633802817</v>
      </c>
      <c r="I293" s="714" t="s">
        <v>450</v>
      </c>
      <c r="K293" s="821">
        <f t="shared" si="117"/>
        <v>2.535211267605634</v>
      </c>
      <c r="L293" s="819">
        <f t="shared" si="118"/>
        <v>36.202816901408454</v>
      </c>
    </row>
    <row r="294" spans="1:13" ht="15.75" customHeight="1" x14ac:dyDescent="0.3">
      <c r="B294" s="714" t="s">
        <v>283</v>
      </c>
      <c r="C294" s="714">
        <v>1000</v>
      </c>
      <c r="D294" s="818">
        <f>'Preci Comp Prod'!$E$15</f>
        <v>18000</v>
      </c>
      <c r="E294" s="819">
        <f t="shared" si="119"/>
        <v>3420</v>
      </c>
      <c r="F294" s="820">
        <f t="shared" si="116"/>
        <v>21420</v>
      </c>
      <c r="G294" s="819">
        <f t="shared" si="115"/>
        <v>18101.408450704228</v>
      </c>
      <c r="H294" s="821">
        <v>845.07042253521126</v>
      </c>
      <c r="I294" s="714" t="s">
        <v>450</v>
      </c>
      <c r="K294" s="821">
        <f t="shared" si="117"/>
        <v>1.6901408450704225</v>
      </c>
      <c r="L294" s="819">
        <f t="shared" si="118"/>
        <v>36.202816901408454</v>
      </c>
    </row>
    <row r="295" spans="1:13" ht="15.75" customHeight="1" x14ac:dyDescent="0.3">
      <c r="B295" s="714" t="s">
        <v>265</v>
      </c>
      <c r="C295" s="714">
        <v>1000</v>
      </c>
      <c r="D295" s="818">
        <f>'Preci Comp Prod'!$E$16</f>
        <v>14000</v>
      </c>
      <c r="E295" s="819">
        <f t="shared" si="119"/>
        <v>2660</v>
      </c>
      <c r="F295" s="820">
        <f t="shared" si="116"/>
        <v>16660</v>
      </c>
      <c r="G295" s="819">
        <f t="shared" si="115"/>
        <v>3519.7183098591549</v>
      </c>
      <c r="H295" s="821">
        <v>211.26760563380282</v>
      </c>
      <c r="I295" s="714" t="s">
        <v>450</v>
      </c>
      <c r="K295" s="821">
        <f t="shared" si="117"/>
        <v>0.42253521126760563</v>
      </c>
      <c r="L295" s="819">
        <f t="shared" si="118"/>
        <v>7.0394366197183098</v>
      </c>
    </row>
    <row r="296" spans="1:13" ht="15" customHeight="1" x14ac:dyDescent="0.3">
      <c r="B296" s="714" t="s">
        <v>593</v>
      </c>
      <c r="C296" s="714">
        <v>1000</v>
      </c>
      <c r="D296" s="818">
        <f>'Preci Comp Prod'!$E$22</f>
        <v>210084.03</v>
      </c>
      <c r="E296" s="819">
        <f t="shared" si="119"/>
        <v>39915.965700000001</v>
      </c>
      <c r="F296" s="820">
        <f t="shared" si="116"/>
        <v>249999.9957</v>
      </c>
      <c r="G296" s="819">
        <f t="shared" si="115"/>
        <v>9507.042089999999</v>
      </c>
      <c r="H296" s="821">
        <v>38.028169014084504</v>
      </c>
      <c r="I296" s="714" t="s">
        <v>450</v>
      </c>
      <c r="K296" s="821">
        <f t="shared" si="117"/>
        <v>7.605633802816901E-2</v>
      </c>
      <c r="L296" s="819">
        <f t="shared" si="118"/>
        <v>19.014084179999998</v>
      </c>
    </row>
    <row r="297" spans="1:13" ht="15" customHeight="1" x14ac:dyDescent="0.3">
      <c r="B297" s="830" t="s">
        <v>563</v>
      </c>
      <c r="C297" s="714">
        <v>1000</v>
      </c>
      <c r="D297" s="818">
        <f>'Preci Comp Prod'!$E$43</f>
        <v>70000</v>
      </c>
      <c r="E297" s="819">
        <f t="shared" si="119"/>
        <v>13300</v>
      </c>
      <c r="F297" s="820">
        <f t="shared" si="116"/>
        <v>83300</v>
      </c>
      <c r="G297" s="819">
        <f t="shared" si="115"/>
        <v>10559.154929577464</v>
      </c>
      <c r="H297" s="714">
        <v>126.76056338028168</v>
      </c>
      <c r="I297" s="714" t="s">
        <v>450</v>
      </c>
      <c r="K297" s="821">
        <f t="shared" si="117"/>
        <v>0.25352112676056338</v>
      </c>
      <c r="L297" s="819">
        <f t="shared" si="118"/>
        <v>21.118309859154927</v>
      </c>
    </row>
    <row r="298" spans="1:13" ht="15" customHeight="1" x14ac:dyDescent="0.3">
      <c r="B298" s="830" t="s">
        <v>248</v>
      </c>
      <c r="C298" s="714">
        <v>1000</v>
      </c>
      <c r="D298" s="822">
        <f>'Preci Comp Prod'!$E$35</f>
        <v>18900</v>
      </c>
      <c r="E298" s="967">
        <f t="shared" si="119"/>
        <v>3591</v>
      </c>
      <c r="F298" s="999">
        <f t="shared" si="116"/>
        <v>22491</v>
      </c>
      <c r="G298" s="819">
        <f t="shared" si="115"/>
        <v>16630.669014084506</v>
      </c>
      <c r="H298" s="823">
        <v>739.43661971830977</v>
      </c>
      <c r="I298" s="714" t="s">
        <v>450</v>
      </c>
      <c r="K298" s="821">
        <f t="shared" si="117"/>
        <v>1.4788732394366195</v>
      </c>
      <c r="L298" s="819">
        <f t="shared" si="118"/>
        <v>33.261338028169007</v>
      </c>
    </row>
    <row r="299" spans="1:13" ht="36" customHeight="1" x14ac:dyDescent="0.3">
      <c r="B299" s="830" t="s">
        <v>621</v>
      </c>
      <c r="C299" s="823">
        <v>1</v>
      </c>
      <c r="D299" s="822">
        <f>'Preci Comp Prod'!$N$28</f>
        <v>350</v>
      </c>
      <c r="E299" s="967">
        <v>0</v>
      </c>
      <c r="F299" s="999">
        <f t="shared" ref="F299:F300" si="120">+E299+D299</f>
        <v>350</v>
      </c>
      <c r="G299" s="829">
        <f t="shared" ref="G299:G302" si="121">F299*H299</f>
        <v>175000</v>
      </c>
      <c r="H299" s="823">
        <f>D285</f>
        <v>500</v>
      </c>
      <c r="I299" s="823" t="s">
        <v>453</v>
      </c>
      <c r="K299" s="821">
        <f t="shared" si="117"/>
        <v>1</v>
      </c>
      <c r="L299" s="819">
        <f t="shared" si="118"/>
        <v>350</v>
      </c>
    </row>
    <row r="300" spans="1:13" ht="36" customHeight="1" x14ac:dyDescent="0.3">
      <c r="B300" s="830" t="s">
        <v>626</v>
      </c>
      <c r="C300" s="823">
        <v>1</v>
      </c>
      <c r="D300" s="822">
        <f>'Preci Comp Prod'!$N$27</f>
        <v>70</v>
      </c>
      <c r="E300" s="967"/>
      <c r="F300" s="999">
        <f t="shared" si="120"/>
        <v>70</v>
      </c>
      <c r="G300" s="829">
        <f t="shared" si="121"/>
        <v>35000</v>
      </c>
      <c r="H300" s="823">
        <f>D285</f>
        <v>500</v>
      </c>
      <c r="I300" s="823" t="s">
        <v>453</v>
      </c>
      <c r="K300" s="821">
        <f t="shared" si="117"/>
        <v>1</v>
      </c>
      <c r="L300" s="819">
        <f>F300/C300*K300</f>
        <v>70</v>
      </c>
    </row>
    <row r="301" spans="1:13" ht="36" customHeight="1" x14ac:dyDescent="0.3">
      <c r="A301" s="876"/>
      <c r="B301" s="1004" t="s">
        <v>612</v>
      </c>
      <c r="C301" s="845">
        <v>1</v>
      </c>
      <c r="D301" s="846"/>
      <c r="E301" s="967"/>
      <c r="F301" s="999"/>
      <c r="G301" s="829">
        <f t="shared" si="121"/>
        <v>0</v>
      </c>
      <c r="H301" s="823"/>
      <c r="I301" s="823"/>
      <c r="K301" s="821"/>
      <c r="L301" s="819"/>
    </row>
    <row r="302" spans="1:13" ht="18" customHeight="1" x14ac:dyDescent="0.3">
      <c r="B302" s="867"/>
      <c r="C302" s="823"/>
      <c r="D302" s="822"/>
      <c r="E302" s="819"/>
      <c r="F302" s="820"/>
      <c r="G302" s="829">
        <f t="shared" si="121"/>
        <v>0</v>
      </c>
      <c r="H302" s="823"/>
      <c r="I302" s="823"/>
      <c r="K302" s="821"/>
      <c r="L302" s="819"/>
    </row>
    <row r="303" spans="1:13" ht="15" customHeight="1" thickBot="1" x14ac:dyDescent="0.35">
      <c r="B303" s="805"/>
      <c r="C303" s="805"/>
      <c r="D303" s="832"/>
      <c r="E303" s="732"/>
      <c r="F303" s="833"/>
      <c r="G303" s="834">
        <f>SUM(G291:G302)/D285</f>
        <v>608.84007009549305</v>
      </c>
      <c r="H303" s="835" t="s">
        <v>454</v>
      </c>
      <c r="I303" s="805"/>
      <c r="L303" s="841">
        <f>SUM(L291:L302)</f>
        <v>608.84007009549293</v>
      </c>
    </row>
    <row r="304" spans="1:13" ht="15" customHeight="1" thickTop="1" x14ac:dyDescent="0.3">
      <c r="B304" s="1007" t="s">
        <v>409</v>
      </c>
      <c r="C304" s="1008"/>
      <c r="D304" s="1009">
        <f>+'Gtos Varios'!I14</f>
        <v>3672.93</v>
      </c>
      <c r="E304" s="1008"/>
      <c r="F304" s="1010">
        <f t="shared" ref="F304" si="122">+E304+D304</f>
        <v>3672.93</v>
      </c>
      <c r="G304" s="1011">
        <f>F304</f>
        <v>3672.93</v>
      </c>
      <c r="H304" s="1008" t="str">
        <f>B304</f>
        <v xml:space="preserve">GASTOS VARIOS </v>
      </c>
      <c r="I304" s="805"/>
    </row>
    <row r="305" spans="2:19" ht="15" customHeight="1" x14ac:dyDescent="0.3">
      <c r="B305" s="805"/>
      <c r="C305" s="805"/>
      <c r="D305" s="832"/>
      <c r="E305" s="732"/>
      <c r="F305" s="833"/>
      <c r="G305" s="837"/>
      <c r="H305" s="805"/>
      <c r="I305" s="805"/>
    </row>
    <row r="306" spans="2:19" ht="15" customHeight="1" x14ac:dyDescent="0.3">
      <c r="B306" s="805"/>
      <c r="C306" s="805"/>
      <c r="D306" s="832"/>
      <c r="E306" s="732"/>
      <c r="F306" s="833"/>
      <c r="G306" s="837"/>
      <c r="H306" s="805"/>
      <c r="I306" s="805"/>
    </row>
    <row r="307" spans="2:19" ht="15" customHeight="1" thickBot="1" x14ac:dyDescent="0.35">
      <c r="F307" s="838">
        <f>SUM(F291:F302)</f>
        <v>427471.99569999997</v>
      </c>
      <c r="G307" s="839">
        <f>SUM(G303:G304)</f>
        <v>4281.7700700954929</v>
      </c>
      <c r="H307" s="712" t="s">
        <v>412</v>
      </c>
    </row>
    <row r="308" spans="2:19" ht="15" customHeight="1" thickTop="1" x14ac:dyDescent="0.3">
      <c r="G308" s="868">
        <f>G307*10%</f>
        <v>428.1770070095493</v>
      </c>
      <c r="H308" s="844">
        <v>0.1</v>
      </c>
      <c r="I308" s="712" t="s">
        <v>539</v>
      </c>
    </row>
    <row r="309" spans="2:19" ht="15" customHeight="1" thickBot="1" x14ac:dyDescent="0.35">
      <c r="G309" s="841">
        <f>G307+G308</f>
        <v>4709.9470771050419</v>
      </c>
      <c r="H309" s="712" t="s">
        <v>414</v>
      </c>
    </row>
    <row r="310" spans="2:19" ht="15" customHeight="1" thickTop="1" x14ac:dyDescent="0.3"/>
    <row r="317" spans="2:19" ht="15" customHeight="1" x14ac:dyDescent="0.3">
      <c r="B317" s="802" t="s">
        <v>61</v>
      </c>
      <c r="C317" s="802"/>
      <c r="D317" s="801" t="s">
        <v>590</v>
      </c>
    </row>
    <row r="318" spans="2:19" ht="15" customHeight="1" x14ac:dyDescent="0.3">
      <c r="B318" s="802" t="s">
        <v>62</v>
      </c>
      <c r="C318" s="802"/>
      <c r="D318" s="801" t="str">
        <f>VLOOKUP(D317,LISTPROD[],2,FALSE)</f>
        <v xml:space="preserve">BERELIN DE LITRO </v>
      </c>
    </row>
    <row r="319" spans="2:19" ht="15" customHeight="1" x14ac:dyDescent="0.3">
      <c r="B319" s="802" t="s">
        <v>234</v>
      </c>
      <c r="C319" s="802"/>
      <c r="D319" s="801" t="str">
        <f>VLOOKUP(D317,LISTPROD[],6,FALSE)</f>
        <v>01</v>
      </c>
    </row>
    <row r="320" spans="2:19" ht="15" customHeight="1" x14ac:dyDescent="0.3">
      <c r="B320" s="802" t="s">
        <v>239</v>
      </c>
      <c r="C320" s="802"/>
      <c r="D320" s="804">
        <v>171</v>
      </c>
      <c r="E320" s="800"/>
      <c r="P320" s="712">
        <v>171</v>
      </c>
      <c r="R320" s="851">
        <f>+P320*1000</f>
        <v>171000</v>
      </c>
      <c r="S320" s="712" t="s">
        <v>619</v>
      </c>
    </row>
    <row r="321" spans="1:29" ht="15" customHeight="1" x14ac:dyDescent="0.3">
      <c r="B321" s="802" t="s">
        <v>240</v>
      </c>
      <c r="C321" s="802"/>
      <c r="D321" s="801"/>
      <c r="P321" s="712">
        <v>400</v>
      </c>
      <c r="R321" s="851">
        <f>+P321*240</f>
        <v>96000</v>
      </c>
      <c r="S321" s="712" t="s">
        <v>620</v>
      </c>
    </row>
    <row r="322" spans="1:29" ht="15" customHeight="1" thickBot="1" x14ac:dyDescent="0.35">
      <c r="B322" s="802" t="s">
        <v>238</v>
      </c>
      <c r="C322" s="802"/>
      <c r="D322" s="712" t="s">
        <v>56</v>
      </c>
      <c r="E322" s="800" t="s">
        <v>449</v>
      </c>
      <c r="R322" s="997">
        <f>SUM(R320:R321)</f>
        <v>267000</v>
      </c>
    </row>
    <row r="323" spans="1:29" ht="15" customHeight="1" thickTop="1" x14ac:dyDescent="0.3">
      <c r="B323" s="806" t="s">
        <v>410</v>
      </c>
      <c r="C323" s="806"/>
      <c r="D323" s="807">
        <v>1000</v>
      </c>
      <c r="E323" s="808"/>
    </row>
    <row r="324" spans="1:29" ht="15" customHeight="1" x14ac:dyDescent="0.3">
      <c r="B324" s="1498" t="s">
        <v>404</v>
      </c>
      <c r="C324" s="1498"/>
      <c r="D324" s="1498"/>
      <c r="E324" s="1498"/>
      <c r="F324" s="1498"/>
      <c r="G324" s="714"/>
      <c r="H324" s="1499" t="s">
        <v>416</v>
      </c>
      <c r="I324" s="1500"/>
      <c r="K324" s="1524" t="s">
        <v>454</v>
      </c>
      <c r="L324" s="1524"/>
      <c r="O324" s="712" t="s">
        <v>618</v>
      </c>
    </row>
    <row r="325" spans="1:29" ht="37.5" customHeight="1" x14ac:dyDescent="0.3">
      <c r="B325" s="810" t="s">
        <v>398</v>
      </c>
      <c r="C325" s="811" t="s">
        <v>441</v>
      </c>
      <c r="D325" s="812" t="s">
        <v>399</v>
      </c>
      <c r="E325" s="813" t="s">
        <v>402</v>
      </c>
      <c r="F325" s="812" t="s">
        <v>399</v>
      </c>
      <c r="G325" s="812" t="s">
        <v>411</v>
      </c>
      <c r="H325" s="814" t="s">
        <v>408</v>
      </c>
      <c r="I325" s="815" t="s">
        <v>415</v>
      </c>
      <c r="K325" s="816" t="s">
        <v>603</v>
      </c>
      <c r="L325" s="816" t="s">
        <v>604</v>
      </c>
      <c r="N325" s="1523" t="s">
        <v>633</v>
      </c>
      <c r="O325" s="1523"/>
      <c r="P325" s="1523"/>
      <c r="R325" s="801" t="s">
        <v>622</v>
      </c>
      <c r="T325" s="801" t="s">
        <v>634</v>
      </c>
      <c r="U325" s="801" t="s">
        <v>623</v>
      </c>
      <c r="V325" s="802" t="s">
        <v>625</v>
      </c>
      <c r="W325" s="801"/>
      <c r="X325" s="801" t="s">
        <v>620</v>
      </c>
      <c r="Y325" s="801" t="s">
        <v>623</v>
      </c>
      <c r="Z325" s="802" t="s">
        <v>625</v>
      </c>
      <c r="AA325" s="998" t="s">
        <v>624</v>
      </c>
    </row>
    <row r="326" spans="1:29" ht="15" customHeight="1" x14ac:dyDescent="0.3">
      <c r="B326" s="714" t="s">
        <v>252</v>
      </c>
      <c r="C326" s="714">
        <v>1000</v>
      </c>
      <c r="D326" s="818">
        <f>'Preci Comp Prod'!$E$11</f>
        <v>7900</v>
      </c>
      <c r="E326" s="819">
        <f>D326*19%</f>
        <v>1501</v>
      </c>
      <c r="F326" s="820">
        <f>+E326+D326</f>
        <v>9401</v>
      </c>
      <c r="G326" s="819">
        <f>F326/C326*H326</f>
        <v>9031.2977528089887</v>
      </c>
      <c r="H326" s="821">
        <v>960.67415730337075</v>
      </c>
      <c r="I326" s="714" t="s">
        <v>450</v>
      </c>
      <c r="K326" s="821">
        <f>H326/$D$320</f>
        <v>5.6179775280898872</v>
      </c>
      <c r="L326" s="819">
        <f>F326/C326*K326</f>
        <v>52.81460674157303</v>
      </c>
      <c r="N326" s="714" t="s">
        <v>252</v>
      </c>
      <c r="O326" s="824">
        <v>1500</v>
      </c>
      <c r="P326" s="819">
        <f t="shared" ref="P326:P331" si="123">F326/C326*O326</f>
        <v>14101.5</v>
      </c>
      <c r="Q326" s="732"/>
      <c r="R326" s="817">
        <f>P326/$R$322</f>
        <v>5.2814606741573032E-2</v>
      </c>
      <c r="T326" s="712">
        <f>R326*1000</f>
        <v>52.81460674157303</v>
      </c>
      <c r="U326" s="817">
        <f>O326/$R$322*1000</f>
        <v>5.6179775280898872</v>
      </c>
      <c r="V326" s="817">
        <f>U326*$P$320</f>
        <v>960.67415730337075</v>
      </c>
      <c r="X326" s="712">
        <f>+R326*240</f>
        <v>12.675505617977528</v>
      </c>
      <c r="Y326" s="817">
        <f>O326/$R$322*240</f>
        <v>1.348314606741573</v>
      </c>
      <c r="Z326" s="817">
        <f>Y326*$P$321</f>
        <v>539.32584269662925</v>
      </c>
      <c r="AA326" s="827">
        <f>+Z326+V326</f>
        <v>1500</v>
      </c>
      <c r="AB326" s="712">
        <f>O326</f>
        <v>1500</v>
      </c>
      <c r="AC326" s="828">
        <f>+AB326-AA326</f>
        <v>0</v>
      </c>
    </row>
    <row r="327" spans="1:29" ht="15" customHeight="1" x14ac:dyDescent="0.3">
      <c r="B327" s="714" t="s">
        <v>268</v>
      </c>
      <c r="C327" s="714">
        <v>1000</v>
      </c>
      <c r="D327" s="818">
        <f>'Preci Comp Prod'!$E$60</f>
        <v>20000</v>
      </c>
      <c r="E327" s="819">
        <v>0</v>
      </c>
      <c r="F327" s="820">
        <f t="shared" ref="F327:F331" si="124">+E327+D327</f>
        <v>20000</v>
      </c>
      <c r="G327" s="819">
        <f t="shared" ref="G327:G331" si="125">F327/C327*H327</f>
        <v>19213.483146067414</v>
      </c>
      <c r="H327" s="821">
        <v>960.67415730337075</v>
      </c>
      <c r="I327" s="714" t="s">
        <v>450</v>
      </c>
      <c r="K327" s="821">
        <f t="shared" ref="K327:K334" si="126">H327/$D$320</f>
        <v>5.6179775280898872</v>
      </c>
      <c r="L327" s="819">
        <f t="shared" ref="L327:L334" si="127">F327/C327*K327</f>
        <v>112.35955056179775</v>
      </c>
      <c r="N327" s="714" t="s">
        <v>268</v>
      </c>
      <c r="O327" s="824">
        <v>1500</v>
      </c>
      <c r="P327" s="819">
        <f t="shared" si="123"/>
        <v>30000</v>
      </c>
      <c r="Q327" s="732"/>
      <c r="R327" s="817">
        <f t="shared" ref="R327:R330" si="128">P327/$R$322</f>
        <v>0.11235955056179775</v>
      </c>
      <c r="T327" s="712">
        <f>R327*1000</f>
        <v>112.35955056179775</v>
      </c>
      <c r="U327" s="817">
        <f t="shared" ref="U327:U330" si="129">O327/$R$322*1000</f>
        <v>5.6179775280898872</v>
      </c>
      <c r="V327" s="817">
        <f t="shared" ref="V327:V331" si="130">U327*$P$320</f>
        <v>960.67415730337075</v>
      </c>
      <c r="X327" s="712">
        <f>+R327*240</f>
        <v>26.966292134831459</v>
      </c>
      <c r="Y327" s="817">
        <f t="shared" ref="Y327:Y333" si="131">O327/$R$322*240</f>
        <v>1.348314606741573</v>
      </c>
      <c r="Z327" s="817">
        <f t="shared" ref="Z327:Z333" si="132">Y327*$P$321</f>
        <v>539.32584269662925</v>
      </c>
      <c r="AA327" s="827">
        <f t="shared" ref="AA327:AA333" si="133">+Z327+V327</f>
        <v>1500</v>
      </c>
      <c r="AB327" s="712">
        <f t="shared" ref="AB327:AB333" si="134">O327</f>
        <v>1500</v>
      </c>
      <c r="AC327" s="828">
        <f t="shared" ref="AC327:AC333" si="135">+AB327-AA327</f>
        <v>0</v>
      </c>
    </row>
    <row r="328" spans="1:29" ht="15" customHeight="1" x14ac:dyDescent="0.3">
      <c r="B328" s="714" t="s">
        <v>261</v>
      </c>
      <c r="C328" s="714">
        <v>1000</v>
      </c>
      <c r="D328" s="819">
        <f>'Preci Comp Prod'!$E$13</f>
        <v>4700</v>
      </c>
      <c r="E328" s="819">
        <f t="shared" ref="E328:E331" si="136">D328*19%</f>
        <v>893</v>
      </c>
      <c r="F328" s="820">
        <f t="shared" si="124"/>
        <v>5593</v>
      </c>
      <c r="G328" s="819">
        <f t="shared" si="125"/>
        <v>2149.2202247191012</v>
      </c>
      <c r="H328" s="821">
        <v>384.26966292134836</v>
      </c>
      <c r="I328" s="714" t="s">
        <v>450</v>
      </c>
      <c r="K328" s="821">
        <f t="shared" si="126"/>
        <v>2.2471910112359552</v>
      </c>
      <c r="L328" s="819">
        <f t="shared" si="127"/>
        <v>12.568539325842698</v>
      </c>
      <c r="N328" s="714" t="s">
        <v>261</v>
      </c>
      <c r="O328" s="824">
        <v>600</v>
      </c>
      <c r="P328" s="819">
        <f t="shared" si="123"/>
        <v>3355.8</v>
      </c>
      <c r="Q328" s="732"/>
      <c r="R328" s="817">
        <f t="shared" si="128"/>
        <v>1.2568539325842697E-2</v>
      </c>
      <c r="T328" s="712">
        <f>R328*1000</f>
        <v>12.568539325842696</v>
      </c>
      <c r="U328" s="817">
        <f t="shared" si="129"/>
        <v>2.2471910112359552</v>
      </c>
      <c r="V328" s="817">
        <f t="shared" si="130"/>
        <v>384.26966292134836</v>
      </c>
      <c r="X328" s="712">
        <f t="shared" ref="X328:X333" si="137">+R328*240</f>
        <v>3.0164494382022471</v>
      </c>
      <c r="Y328" s="817">
        <f t="shared" si="131"/>
        <v>0.53932584269662931</v>
      </c>
      <c r="Z328" s="817">
        <f t="shared" si="132"/>
        <v>215.73033707865173</v>
      </c>
      <c r="AA328" s="827">
        <f t="shared" si="133"/>
        <v>600.00000000000011</v>
      </c>
      <c r="AB328" s="712">
        <f t="shared" si="134"/>
        <v>600</v>
      </c>
      <c r="AC328" s="828">
        <f t="shared" si="135"/>
        <v>0</v>
      </c>
    </row>
    <row r="329" spans="1:29" ht="15" customHeight="1" x14ac:dyDescent="0.3">
      <c r="B329" s="714" t="s">
        <v>562</v>
      </c>
      <c r="C329" s="714">
        <v>1000</v>
      </c>
      <c r="D329" s="843">
        <f>'Preci Comp Prod'!$E$24</f>
        <v>80268</v>
      </c>
      <c r="E329" s="819">
        <f t="shared" si="136"/>
        <v>15250.92</v>
      </c>
      <c r="F329" s="820">
        <f t="shared" si="124"/>
        <v>95518.92</v>
      </c>
      <c r="G329" s="819">
        <f t="shared" si="125"/>
        <v>5505.7534786516853</v>
      </c>
      <c r="H329" s="821">
        <v>57.640449438202246</v>
      </c>
      <c r="I329" s="714" t="s">
        <v>450</v>
      </c>
      <c r="K329" s="821">
        <f t="shared" si="126"/>
        <v>0.33707865168539325</v>
      </c>
      <c r="L329" s="819">
        <f t="shared" si="127"/>
        <v>32.197388764044938</v>
      </c>
      <c r="N329" s="714" t="s">
        <v>562</v>
      </c>
      <c r="O329" s="824">
        <v>90</v>
      </c>
      <c r="P329" s="819">
        <f t="shared" si="123"/>
        <v>8596.7027999999991</v>
      </c>
      <c r="Q329" s="732"/>
      <c r="R329" s="817">
        <f t="shared" si="128"/>
        <v>3.2197388764044939E-2</v>
      </c>
      <c r="T329" s="712">
        <f t="shared" ref="T329:T333" si="138">R329*1000</f>
        <v>32.197388764044938</v>
      </c>
      <c r="U329" s="817">
        <f t="shared" si="129"/>
        <v>0.33707865168539325</v>
      </c>
      <c r="V329" s="817">
        <f t="shared" si="130"/>
        <v>57.640449438202246</v>
      </c>
      <c r="X329" s="712">
        <f t="shared" si="137"/>
        <v>7.7273733033707854</v>
      </c>
      <c r="Y329" s="817">
        <f t="shared" si="131"/>
        <v>8.0898876404494377E-2</v>
      </c>
      <c r="Z329" s="817">
        <f t="shared" si="132"/>
        <v>32.359550561797754</v>
      </c>
      <c r="AA329" s="827">
        <f t="shared" si="133"/>
        <v>90</v>
      </c>
      <c r="AB329" s="712">
        <f t="shared" si="134"/>
        <v>90</v>
      </c>
      <c r="AC329" s="828">
        <f t="shared" si="135"/>
        <v>0</v>
      </c>
    </row>
    <row r="330" spans="1:29" ht="15" customHeight="1" x14ac:dyDescent="0.3">
      <c r="B330" s="714" t="s">
        <v>596</v>
      </c>
      <c r="C330" s="714">
        <v>1000</v>
      </c>
      <c r="D330" s="843">
        <f>'Preci Comp Prod'!$E$54</f>
        <v>64485</v>
      </c>
      <c r="E330" s="819">
        <f t="shared" si="136"/>
        <v>12252.15</v>
      </c>
      <c r="F330" s="820">
        <f t="shared" si="124"/>
        <v>76737.149999999994</v>
      </c>
      <c r="G330" s="819">
        <f t="shared" si="125"/>
        <v>14743.879382022473</v>
      </c>
      <c r="H330" s="821">
        <v>192.13483146067418</v>
      </c>
      <c r="I330" s="714" t="s">
        <v>450</v>
      </c>
      <c r="K330" s="821">
        <f t="shared" si="126"/>
        <v>1.1235955056179776</v>
      </c>
      <c r="L330" s="819">
        <f t="shared" si="127"/>
        <v>86.221516853932584</v>
      </c>
      <c r="N330" s="714" t="s">
        <v>596</v>
      </c>
      <c r="O330" s="824">
        <v>300</v>
      </c>
      <c r="P330" s="819">
        <f t="shared" si="123"/>
        <v>23021.145</v>
      </c>
      <c r="Q330" s="732"/>
      <c r="R330" s="817">
        <f t="shared" si="128"/>
        <v>8.6221516853932589E-2</v>
      </c>
      <c r="T330" s="712">
        <f t="shared" si="138"/>
        <v>86.221516853932584</v>
      </c>
      <c r="U330" s="817">
        <f t="shared" si="129"/>
        <v>1.1235955056179776</v>
      </c>
      <c r="V330" s="817">
        <f t="shared" si="130"/>
        <v>192.13483146067418</v>
      </c>
      <c r="X330" s="712">
        <f t="shared" si="137"/>
        <v>20.693164044943821</v>
      </c>
      <c r="Y330" s="817">
        <f t="shared" si="131"/>
        <v>0.26966292134831465</v>
      </c>
      <c r="Z330" s="817">
        <f t="shared" si="132"/>
        <v>107.86516853932586</v>
      </c>
      <c r="AA330" s="827">
        <f t="shared" si="133"/>
        <v>300.00000000000006</v>
      </c>
      <c r="AB330" s="712">
        <f t="shared" si="134"/>
        <v>300</v>
      </c>
      <c r="AC330" s="828">
        <f t="shared" si="135"/>
        <v>0</v>
      </c>
    </row>
    <row r="331" spans="1:29" ht="21.75" customHeight="1" x14ac:dyDescent="0.3">
      <c r="B331" s="830" t="s">
        <v>248</v>
      </c>
      <c r="C331" s="714">
        <v>1000</v>
      </c>
      <c r="D331" s="822">
        <f>'Preci Comp Prod'!$E$35</f>
        <v>18900</v>
      </c>
      <c r="E331" s="967">
        <f t="shared" si="136"/>
        <v>3591</v>
      </c>
      <c r="F331" s="999">
        <f t="shared" si="124"/>
        <v>22491</v>
      </c>
      <c r="G331" s="819">
        <f t="shared" si="125"/>
        <v>25207.6095505618</v>
      </c>
      <c r="H331" s="823">
        <v>1120.7865168539327</v>
      </c>
      <c r="I331" s="714" t="s">
        <v>450</v>
      </c>
      <c r="K331" s="821">
        <f t="shared" si="126"/>
        <v>6.5543071161048694</v>
      </c>
      <c r="L331" s="819">
        <f t="shared" si="127"/>
        <v>147.41292134831463</v>
      </c>
      <c r="N331" s="830" t="s">
        <v>248</v>
      </c>
      <c r="O331" s="824">
        <v>1750</v>
      </c>
      <c r="P331" s="819">
        <f t="shared" si="123"/>
        <v>39359.25</v>
      </c>
      <c r="Q331" s="732"/>
      <c r="R331" s="817">
        <f>P331/$R$322</f>
        <v>0.1474129213483146</v>
      </c>
      <c r="T331" s="712">
        <f t="shared" si="138"/>
        <v>147.4129213483146</v>
      </c>
      <c r="U331" s="817">
        <f>O331/$R$322*1000</f>
        <v>6.5543071161048694</v>
      </c>
      <c r="V331" s="817">
        <f t="shared" si="130"/>
        <v>1120.7865168539327</v>
      </c>
      <c r="X331" s="712">
        <f t="shared" si="137"/>
        <v>35.379101123595504</v>
      </c>
      <c r="Y331" s="817">
        <f t="shared" si="131"/>
        <v>1.5730337078651686</v>
      </c>
      <c r="Z331" s="817">
        <f t="shared" si="132"/>
        <v>629.21348314606746</v>
      </c>
      <c r="AA331" s="827">
        <f t="shared" si="133"/>
        <v>1750</v>
      </c>
      <c r="AB331" s="712">
        <f t="shared" si="134"/>
        <v>1750</v>
      </c>
      <c r="AC331" s="828">
        <f t="shared" si="135"/>
        <v>0</v>
      </c>
    </row>
    <row r="332" spans="1:29" ht="31.5" customHeight="1" x14ac:dyDescent="0.3">
      <c r="B332" s="716" t="s">
        <v>247</v>
      </c>
      <c r="C332" s="714">
        <v>1000</v>
      </c>
      <c r="D332" s="822">
        <v>50000</v>
      </c>
      <c r="E332" s="819">
        <v>0</v>
      </c>
      <c r="F332" s="820">
        <f t="shared" ref="F332" si="139">+E332+D332</f>
        <v>50000</v>
      </c>
      <c r="G332" s="819">
        <f>F332/C332*H332</f>
        <v>32.022471910112351</v>
      </c>
      <c r="H332" s="823">
        <v>0.64044943820224698</v>
      </c>
      <c r="I332" s="823" t="s">
        <v>453</v>
      </c>
      <c r="J332" s="712">
        <f>+D332/D320</f>
        <v>292.39766081871346</v>
      </c>
      <c r="K332" s="821">
        <f t="shared" si="126"/>
        <v>3.7453183520599238E-3</v>
      </c>
      <c r="L332" s="819">
        <f t="shared" si="127"/>
        <v>0.18726591760299618</v>
      </c>
      <c r="N332" s="716" t="s">
        <v>247</v>
      </c>
      <c r="O332" s="824">
        <v>1</v>
      </c>
      <c r="P332" s="819">
        <f>F332/C332*O332</f>
        <v>50</v>
      </c>
      <c r="Q332" s="732"/>
      <c r="R332" s="826">
        <f>P332/$R$322</f>
        <v>1.8726591760299626E-4</v>
      </c>
      <c r="T332" s="712">
        <f>R332*1000</f>
        <v>0.18726591760299627</v>
      </c>
      <c r="U332" s="826">
        <f>O332/$R$322*1000</f>
        <v>3.7453183520599251E-3</v>
      </c>
      <c r="V332" s="817">
        <f>U332*$P$320</f>
        <v>0.6404494382022472</v>
      </c>
      <c r="X332" s="712">
        <f t="shared" si="137"/>
        <v>4.49438202247191E-2</v>
      </c>
      <c r="Y332" s="817">
        <f t="shared" si="131"/>
        <v>8.9887640449438206E-4</v>
      </c>
      <c r="Z332" s="817">
        <f t="shared" si="132"/>
        <v>0.3595505617977528</v>
      </c>
      <c r="AA332" s="827">
        <f t="shared" si="133"/>
        <v>1</v>
      </c>
      <c r="AB332" s="712">
        <f t="shared" si="134"/>
        <v>1</v>
      </c>
      <c r="AC332" s="828">
        <f t="shared" si="135"/>
        <v>0</v>
      </c>
    </row>
    <row r="333" spans="1:29" ht="30.75" customHeight="1" x14ac:dyDescent="0.3">
      <c r="B333" s="830" t="s">
        <v>494</v>
      </c>
      <c r="C333" s="823">
        <v>1</v>
      </c>
      <c r="D333" s="822">
        <f>'Preci Comp Prod'!$N$24</f>
        <v>1500</v>
      </c>
      <c r="E333" s="967">
        <v>0</v>
      </c>
      <c r="F333" s="999">
        <f t="shared" ref="F333" si="140">+E333+D333</f>
        <v>1500</v>
      </c>
      <c r="G333" s="829">
        <f t="shared" ref="G333:G334" si="141">F333*H333</f>
        <v>256500</v>
      </c>
      <c r="H333" s="823">
        <f>D320</f>
        <v>171</v>
      </c>
      <c r="I333" s="823" t="s">
        <v>453</v>
      </c>
      <c r="K333" s="821">
        <f t="shared" si="126"/>
        <v>1</v>
      </c>
      <c r="L333" s="819">
        <f t="shared" si="127"/>
        <v>1500</v>
      </c>
      <c r="N333" s="716"/>
      <c r="O333" s="714"/>
      <c r="P333" s="819"/>
      <c r="Q333" s="732"/>
      <c r="R333" s="817"/>
      <c r="T333" s="712">
        <f t="shared" si="138"/>
        <v>0</v>
      </c>
      <c r="U333" s="817">
        <f t="shared" ref="U333" si="142">O333/$R$253*1000</f>
        <v>0</v>
      </c>
      <c r="V333" s="817">
        <f t="shared" ref="V333" si="143">U333*$P$251</f>
        <v>0</v>
      </c>
      <c r="X333" s="712">
        <f t="shared" si="137"/>
        <v>0</v>
      </c>
      <c r="Y333" s="817">
        <f t="shared" si="131"/>
        <v>0</v>
      </c>
      <c r="Z333" s="817">
        <f t="shared" si="132"/>
        <v>0</v>
      </c>
      <c r="AA333" s="827">
        <f t="shared" si="133"/>
        <v>0</v>
      </c>
      <c r="AB333" s="712">
        <f t="shared" si="134"/>
        <v>0</v>
      </c>
      <c r="AC333" s="828">
        <f t="shared" si="135"/>
        <v>0</v>
      </c>
    </row>
    <row r="334" spans="1:29" ht="34.5" customHeight="1" thickBot="1" x14ac:dyDescent="0.35">
      <c r="A334" s="876"/>
      <c r="B334" s="1000" t="s">
        <v>613</v>
      </c>
      <c r="C334" s="845">
        <v>1</v>
      </c>
      <c r="D334" s="846"/>
      <c r="E334" s="819"/>
      <c r="F334" s="820"/>
      <c r="G334" s="829">
        <f t="shared" si="141"/>
        <v>0</v>
      </c>
      <c r="H334" s="823"/>
      <c r="I334" s="823"/>
      <c r="K334" s="821">
        <f t="shared" si="126"/>
        <v>0</v>
      </c>
      <c r="L334" s="819">
        <f t="shared" si="127"/>
        <v>0</v>
      </c>
      <c r="P334" s="1001">
        <f>SUM(P326:P333)</f>
        <v>118484.39780000001</v>
      </c>
      <c r="Q334" s="732"/>
      <c r="R334" s="732"/>
      <c r="T334" s="1002">
        <f>SUM(T326:T333)</f>
        <v>443.76178951310862</v>
      </c>
      <c r="U334" s="1003">
        <f>SUM(U326:U333)</f>
        <v>21.50187265917603</v>
      </c>
      <c r="V334" s="1002">
        <f>SUM(V326:V333)</f>
        <v>3676.8202247191011</v>
      </c>
      <c r="W334" s="1002"/>
      <c r="X334" s="1002">
        <f>SUM(X326:X333)</f>
        <v>106.50282948314604</v>
      </c>
      <c r="AA334" s="1002">
        <f>SUM(AA326:AA333)</f>
        <v>5741</v>
      </c>
    </row>
    <row r="335" spans="1:29" ht="15" customHeight="1" thickTop="1" x14ac:dyDescent="0.3">
      <c r="B335" s="805"/>
      <c r="C335" s="805"/>
      <c r="D335" s="832"/>
      <c r="E335" s="732"/>
      <c r="F335" s="833"/>
      <c r="G335" s="1005">
        <f>SUM(G326:G334)/D320</f>
        <v>1943.7617895131086</v>
      </c>
      <c r="H335" s="835" t="s">
        <v>454</v>
      </c>
      <c r="I335" s="805"/>
      <c r="K335" s="821"/>
      <c r="L335" s="819"/>
    </row>
    <row r="336" spans="1:29" ht="15" customHeight="1" x14ac:dyDescent="0.3">
      <c r="B336" s="1007" t="s">
        <v>409</v>
      </c>
      <c r="C336" s="1008"/>
      <c r="D336" s="1009">
        <f>+'Gtos Varios'!I14</f>
        <v>3672.93</v>
      </c>
      <c r="E336" s="1008"/>
      <c r="F336" s="1010">
        <f t="shared" ref="F336" si="144">+E336+D336</f>
        <v>3672.93</v>
      </c>
      <c r="G336" s="1011">
        <f>F336</f>
        <v>3672.93</v>
      </c>
      <c r="H336" s="1008" t="str">
        <f>B336</f>
        <v xml:space="preserve">GASTOS VARIOS </v>
      </c>
      <c r="I336" s="1008"/>
      <c r="K336" s="821"/>
      <c r="L336" s="819"/>
    </row>
    <row r="337" spans="2:12" ht="15" customHeight="1" thickBot="1" x14ac:dyDescent="0.35">
      <c r="B337" s="805"/>
      <c r="C337" s="805"/>
      <c r="D337" s="832"/>
      <c r="E337" s="732"/>
      <c r="F337" s="833"/>
      <c r="G337" s="837"/>
      <c r="H337" s="805"/>
      <c r="I337" s="805"/>
      <c r="L337" s="841">
        <f>SUM(L326:L336)</f>
        <v>1943.7617895131086</v>
      </c>
    </row>
    <row r="338" spans="2:12" ht="15" customHeight="1" thickTop="1" x14ac:dyDescent="0.3">
      <c r="B338" s="805"/>
      <c r="C338" s="805"/>
      <c r="D338" s="832"/>
      <c r="E338" s="732"/>
      <c r="F338" s="833"/>
      <c r="G338" s="837"/>
      <c r="H338" s="805"/>
      <c r="I338" s="805"/>
    </row>
    <row r="339" spans="2:12" ht="15" customHeight="1" thickBot="1" x14ac:dyDescent="0.35">
      <c r="F339" s="838">
        <f>SUM(F326:F334)</f>
        <v>281241.07</v>
      </c>
      <c r="G339" s="839">
        <f>SUM(G335:G336)</f>
        <v>5616.6917895131082</v>
      </c>
      <c r="H339" s="712" t="s">
        <v>412</v>
      </c>
    </row>
    <row r="340" spans="2:12" ht="15" customHeight="1" thickTop="1" x14ac:dyDescent="0.3">
      <c r="G340" s="833">
        <f>G339*100%</f>
        <v>5616.6917895131082</v>
      </c>
      <c r="H340" s="844">
        <v>1</v>
      </c>
      <c r="I340" s="712" t="s">
        <v>539</v>
      </c>
    </row>
    <row r="341" spans="2:12" ht="15" customHeight="1" thickBot="1" x14ac:dyDescent="0.35">
      <c r="G341" s="841">
        <f>G339+G340</f>
        <v>11233.383579026216</v>
      </c>
      <c r="H341" s="712" t="s">
        <v>414</v>
      </c>
    </row>
    <row r="342" spans="2:12" ht="15" customHeight="1" thickTop="1" x14ac:dyDescent="0.3"/>
    <row r="346" spans="2:12" ht="15" customHeight="1" x14ac:dyDescent="0.3">
      <c r="B346" s="802" t="s">
        <v>61</v>
      </c>
      <c r="C346" s="802"/>
      <c r="D346" s="801" t="s">
        <v>591</v>
      </c>
    </row>
    <row r="347" spans="2:12" ht="15" customHeight="1" x14ac:dyDescent="0.3">
      <c r="B347" s="802" t="s">
        <v>62</v>
      </c>
      <c r="C347" s="802"/>
      <c r="D347" s="801" t="str">
        <f>VLOOKUP(D346,LISTPROD[],2,FALSE)</f>
        <v>BERELIN 240ml</v>
      </c>
    </row>
    <row r="348" spans="2:12" ht="15" customHeight="1" x14ac:dyDescent="0.3">
      <c r="B348" s="802" t="s">
        <v>234</v>
      </c>
      <c r="C348" s="802"/>
      <c r="D348" s="801" t="str">
        <f>VLOOKUP(D346,LISTPROD[],6,FALSE)</f>
        <v>01</v>
      </c>
    </row>
    <row r="349" spans="2:12" ht="15" customHeight="1" x14ac:dyDescent="0.3">
      <c r="B349" s="802" t="s">
        <v>239</v>
      </c>
      <c r="C349" s="802"/>
      <c r="D349" s="804">
        <v>400</v>
      </c>
      <c r="E349" s="800"/>
    </row>
    <row r="350" spans="2:12" ht="15" customHeight="1" x14ac:dyDescent="0.3">
      <c r="B350" s="802" t="s">
        <v>240</v>
      </c>
      <c r="C350" s="802"/>
      <c r="D350" s="801"/>
    </row>
    <row r="351" spans="2:12" ht="15" customHeight="1" x14ac:dyDescent="0.3">
      <c r="B351" s="802" t="s">
        <v>238</v>
      </c>
      <c r="C351" s="802"/>
      <c r="D351" s="712" t="s">
        <v>56</v>
      </c>
      <c r="E351" s="800" t="s">
        <v>449</v>
      </c>
    </row>
    <row r="352" spans="2:12" ht="15" customHeight="1" x14ac:dyDescent="0.3">
      <c r="B352" s="806" t="s">
        <v>410</v>
      </c>
      <c r="C352" s="806"/>
      <c r="D352" s="807">
        <v>240</v>
      </c>
      <c r="E352" s="808"/>
    </row>
    <row r="353" spans="1:12" ht="15" customHeight="1" x14ac:dyDescent="0.3">
      <c r="B353" s="1498" t="s">
        <v>404</v>
      </c>
      <c r="C353" s="1498"/>
      <c r="D353" s="1498"/>
      <c r="E353" s="1498"/>
      <c r="F353" s="1498"/>
      <c r="G353" s="714"/>
      <c r="H353" s="1499" t="s">
        <v>416</v>
      </c>
      <c r="I353" s="1500"/>
      <c r="K353" s="1524" t="s">
        <v>454</v>
      </c>
      <c r="L353" s="1524"/>
    </row>
    <row r="354" spans="1:12" ht="15" customHeight="1" x14ac:dyDescent="0.3">
      <c r="B354" s="810" t="s">
        <v>398</v>
      </c>
      <c r="C354" s="811" t="s">
        <v>441</v>
      </c>
      <c r="D354" s="812" t="s">
        <v>399</v>
      </c>
      <c r="E354" s="813" t="s">
        <v>402</v>
      </c>
      <c r="F354" s="812" t="s">
        <v>399</v>
      </c>
      <c r="G354" s="812" t="s">
        <v>411</v>
      </c>
      <c r="H354" s="814" t="s">
        <v>408</v>
      </c>
      <c r="I354" s="815" t="s">
        <v>415</v>
      </c>
      <c r="K354" s="816" t="s">
        <v>603</v>
      </c>
      <c r="L354" s="816" t="s">
        <v>604</v>
      </c>
    </row>
    <row r="355" spans="1:12" ht="15" customHeight="1" x14ac:dyDescent="0.3">
      <c r="B355" s="714" t="s">
        <v>252</v>
      </c>
      <c r="C355" s="714">
        <v>1000</v>
      </c>
      <c r="D355" s="818">
        <f>'Preci Comp Prod'!$E$11</f>
        <v>7900</v>
      </c>
      <c r="E355" s="819">
        <f>D355*19%</f>
        <v>1501</v>
      </c>
      <c r="F355" s="820">
        <f>+E355+D355</f>
        <v>9401</v>
      </c>
      <c r="G355" s="819">
        <f>F355/C355*H355</f>
        <v>5070.2022471910113</v>
      </c>
      <c r="H355" s="821">
        <v>539.32584269662925</v>
      </c>
      <c r="I355" s="714" t="s">
        <v>450</v>
      </c>
      <c r="K355" s="821">
        <f>H355/$D$349</f>
        <v>1.3483146067415732</v>
      </c>
      <c r="L355" s="819">
        <f>F355/C355*K355</f>
        <v>12.67550561797753</v>
      </c>
    </row>
    <row r="356" spans="1:12" ht="15" customHeight="1" x14ac:dyDescent="0.3">
      <c r="B356" s="714" t="s">
        <v>268</v>
      </c>
      <c r="C356" s="714">
        <v>1000</v>
      </c>
      <c r="D356" s="818">
        <f>'Preci Comp Prod'!$E$60</f>
        <v>20000</v>
      </c>
      <c r="E356" s="819">
        <v>0</v>
      </c>
      <c r="F356" s="820">
        <f t="shared" ref="F356:F361" si="145">+E356+D356</f>
        <v>20000</v>
      </c>
      <c r="G356" s="819">
        <f t="shared" ref="G356:G360" si="146">F356/C356*H356</f>
        <v>10786.516853932586</v>
      </c>
      <c r="H356" s="821">
        <v>539.32584269662925</v>
      </c>
      <c r="I356" s="714" t="s">
        <v>450</v>
      </c>
      <c r="K356" s="821">
        <f t="shared" ref="K356:K363" si="147">H356/$D$349</f>
        <v>1.3483146067415732</v>
      </c>
      <c r="L356" s="819">
        <f t="shared" ref="L356:L363" si="148">F356/C356*K356</f>
        <v>26.966292134831463</v>
      </c>
    </row>
    <row r="357" spans="1:12" ht="15" customHeight="1" x14ac:dyDescent="0.3">
      <c r="B357" s="714" t="s">
        <v>261</v>
      </c>
      <c r="C357" s="714">
        <v>1000</v>
      </c>
      <c r="D357" s="819">
        <f>'Preci Comp Prod'!$E$13</f>
        <v>4700</v>
      </c>
      <c r="E357" s="819">
        <f t="shared" ref="E357:E360" si="149">D357*19%</f>
        <v>893</v>
      </c>
      <c r="F357" s="820">
        <f t="shared" si="145"/>
        <v>5593</v>
      </c>
      <c r="G357" s="819">
        <f t="shared" si="146"/>
        <v>1206.5797752808992</v>
      </c>
      <c r="H357" s="821">
        <v>215.73033707865173</v>
      </c>
      <c r="I357" s="714" t="s">
        <v>450</v>
      </c>
      <c r="K357" s="821">
        <f t="shared" si="147"/>
        <v>0.53932584269662931</v>
      </c>
      <c r="L357" s="819">
        <f t="shared" si="148"/>
        <v>3.0164494382022475</v>
      </c>
    </row>
    <row r="358" spans="1:12" ht="15" customHeight="1" x14ac:dyDescent="0.3">
      <c r="B358" s="714" t="s">
        <v>562</v>
      </c>
      <c r="C358" s="714">
        <v>1000</v>
      </c>
      <c r="D358" s="843">
        <f>'Preci Comp Prod'!$E$57</f>
        <v>69826</v>
      </c>
      <c r="E358" s="819">
        <f t="shared" si="149"/>
        <v>13266.94</v>
      </c>
      <c r="F358" s="820">
        <f t="shared" si="145"/>
        <v>83092.94</v>
      </c>
      <c r="G358" s="819">
        <f t="shared" si="146"/>
        <v>2688.8501932584268</v>
      </c>
      <c r="H358" s="821">
        <v>32.359550561797754</v>
      </c>
      <c r="I358" s="714" t="s">
        <v>450</v>
      </c>
      <c r="K358" s="821">
        <f t="shared" si="147"/>
        <v>8.0898876404494391E-2</v>
      </c>
      <c r="L358" s="819">
        <f t="shared" si="148"/>
        <v>6.7221254831460682</v>
      </c>
    </row>
    <row r="359" spans="1:12" ht="15" customHeight="1" x14ac:dyDescent="0.3">
      <c r="B359" s="714" t="s">
        <v>596</v>
      </c>
      <c r="C359" s="714">
        <v>1000</v>
      </c>
      <c r="D359" s="843">
        <f>'Preci Comp Prod'!$E$54</f>
        <v>64485</v>
      </c>
      <c r="E359" s="819">
        <f t="shared" si="149"/>
        <v>12252.15</v>
      </c>
      <c r="F359" s="820">
        <f t="shared" si="145"/>
        <v>76737.149999999994</v>
      </c>
      <c r="G359" s="819">
        <f t="shared" si="146"/>
        <v>8277.2656179775295</v>
      </c>
      <c r="H359" s="821">
        <v>107.86516853932586</v>
      </c>
      <c r="I359" s="714" t="s">
        <v>450</v>
      </c>
      <c r="K359" s="821">
        <f t="shared" si="147"/>
        <v>0.26966292134831465</v>
      </c>
      <c r="L359" s="819">
        <f t="shared" si="148"/>
        <v>20.693164044943824</v>
      </c>
    </row>
    <row r="360" spans="1:12" ht="21.75" customHeight="1" x14ac:dyDescent="0.3">
      <c r="B360" s="830" t="s">
        <v>248</v>
      </c>
      <c r="C360" s="714">
        <v>1000</v>
      </c>
      <c r="D360" s="822">
        <f>'Preci Comp Prod'!$E$35</f>
        <v>18900</v>
      </c>
      <c r="E360" s="967">
        <f t="shared" si="149"/>
        <v>3591</v>
      </c>
      <c r="F360" s="999">
        <f t="shared" si="145"/>
        <v>22491</v>
      </c>
      <c r="G360" s="819">
        <f t="shared" si="146"/>
        <v>14151.640449438202</v>
      </c>
      <c r="H360" s="823">
        <v>629.21348314606746</v>
      </c>
      <c r="I360" s="714" t="s">
        <v>450</v>
      </c>
      <c r="K360" s="821">
        <f t="shared" si="147"/>
        <v>1.5730337078651686</v>
      </c>
      <c r="L360" s="819">
        <f t="shared" si="148"/>
        <v>35.379101123595504</v>
      </c>
    </row>
    <row r="361" spans="1:12" ht="23.25" customHeight="1" x14ac:dyDescent="0.3">
      <c r="B361" s="716" t="s">
        <v>247</v>
      </c>
      <c r="C361" s="714">
        <v>1000</v>
      </c>
      <c r="D361" s="822">
        <v>50000</v>
      </c>
      <c r="E361" s="819">
        <v>0</v>
      </c>
      <c r="F361" s="820">
        <f t="shared" si="145"/>
        <v>50000</v>
      </c>
      <c r="G361" s="819">
        <f>F361/C361*H361</f>
        <v>17.977528089887642</v>
      </c>
      <c r="H361" s="823">
        <v>0.3595505617977528</v>
      </c>
      <c r="I361" s="823" t="s">
        <v>453</v>
      </c>
      <c r="K361" s="821">
        <f t="shared" si="147"/>
        <v>8.9887640449438195E-4</v>
      </c>
      <c r="L361" s="819">
        <f t="shared" si="148"/>
        <v>4.49438202247191E-2</v>
      </c>
    </row>
    <row r="362" spans="1:12" ht="30.75" customHeight="1" x14ac:dyDescent="0.3">
      <c r="B362" s="830" t="s">
        <v>621</v>
      </c>
      <c r="C362" s="823">
        <v>1</v>
      </c>
      <c r="D362" s="822">
        <f>'Preci Comp Prod'!$N$28</f>
        <v>350</v>
      </c>
      <c r="E362" s="967">
        <v>0</v>
      </c>
      <c r="F362" s="999">
        <f t="shared" ref="F362:F363" si="150">+E362+D362</f>
        <v>350</v>
      </c>
      <c r="G362" s="819">
        <f>F362/C362*H362</f>
        <v>140000</v>
      </c>
      <c r="H362" s="823">
        <f>D349</f>
        <v>400</v>
      </c>
      <c r="I362" s="823" t="s">
        <v>453</v>
      </c>
      <c r="K362" s="821">
        <f t="shared" si="147"/>
        <v>1</v>
      </c>
      <c r="L362" s="819">
        <f t="shared" si="148"/>
        <v>350</v>
      </c>
    </row>
    <row r="363" spans="1:12" ht="30.75" customHeight="1" x14ac:dyDescent="0.3">
      <c r="B363" s="830" t="s">
        <v>626</v>
      </c>
      <c r="C363" s="823">
        <v>1</v>
      </c>
      <c r="D363" s="822">
        <f>'Preci Comp Prod'!N27</f>
        <v>70</v>
      </c>
      <c r="E363" s="967"/>
      <c r="F363" s="999">
        <f t="shared" si="150"/>
        <v>70</v>
      </c>
      <c r="G363" s="819">
        <f t="shared" ref="G363" si="151">F363/C363*H363</f>
        <v>28000</v>
      </c>
      <c r="H363" s="823">
        <f>D349</f>
        <v>400</v>
      </c>
      <c r="I363" s="823" t="s">
        <v>453</v>
      </c>
      <c r="K363" s="821">
        <f t="shared" si="147"/>
        <v>1</v>
      </c>
      <c r="L363" s="819">
        <f t="shared" si="148"/>
        <v>70</v>
      </c>
    </row>
    <row r="364" spans="1:12" ht="30.75" customHeight="1" x14ac:dyDescent="0.3">
      <c r="A364" s="876"/>
      <c r="B364" s="1000" t="s">
        <v>613</v>
      </c>
      <c r="C364" s="845"/>
      <c r="D364" s="846"/>
      <c r="E364" s="819"/>
      <c r="F364" s="820"/>
      <c r="G364" s="829"/>
      <c r="H364" s="823"/>
      <c r="I364" s="823"/>
      <c r="K364" s="821"/>
      <c r="L364" s="819"/>
    </row>
    <row r="365" spans="1:12" ht="22.5" customHeight="1" x14ac:dyDescent="0.3">
      <c r="B365" s="1006"/>
      <c r="C365" s="823"/>
      <c r="D365" s="822"/>
      <c r="E365" s="819"/>
      <c r="F365" s="820"/>
      <c r="G365" s="829"/>
      <c r="H365" s="823"/>
      <c r="I365" s="823"/>
      <c r="K365" s="821"/>
      <c r="L365" s="819"/>
    </row>
    <row r="366" spans="1:12" ht="15" customHeight="1" x14ac:dyDescent="0.3">
      <c r="B366" s="805"/>
      <c r="C366" s="805"/>
      <c r="D366" s="832"/>
      <c r="E366" s="732"/>
      <c r="F366" s="833"/>
      <c r="G366" s="1431">
        <f>SUM(G355:G365)/D349</f>
        <v>525.49758166292133</v>
      </c>
      <c r="H366" s="835" t="s">
        <v>454</v>
      </c>
      <c r="I366" s="805"/>
      <c r="K366" s="821"/>
      <c r="L366" s="819"/>
    </row>
    <row r="367" spans="1:12" ht="15" customHeight="1" x14ac:dyDescent="0.3">
      <c r="B367" s="1007" t="s">
        <v>409</v>
      </c>
      <c r="C367" s="1008"/>
      <c r="D367" s="1009">
        <f>+'Gtos Varios'!I14</f>
        <v>3672.93</v>
      </c>
      <c r="E367" s="1008"/>
      <c r="F367" s="1010">
        <f t="shared" ref="F367" si="152">+E367+D367</f>
        <v>3672.93</v>
      </c>
      <c r="G367" s="1011">
        <f>F367</f>
        <v>3672.93</v>
      </c>
      <c r="H367" s="1008" t="str">
        <f>B367</f>
        <v xml:space="preserve">GASTOS VARIOS </v>
      </c>
      <c r="I367" s="1008"/>
      <c r="K367" s="821"/>
      <c r="L367" s="819"/>
    </row>
    <row r="368" spans="1:12" ht="15" customHeight="1" thickBot="1" x14ac:dyDescent="0.35">
      <c r="B368" s="805"/>
      <c r="C368" s="805"/>
      <c r="D368" s="832"/>
      <c r="E368" s="732"/>
      <c r="F368" s="833"/>
      <c r="G368" s="837"/>
      <c r="H368" s="805"/>
      <c r="I368" s="805"/>
      <c r="L368" s="841">
        <f>SUM(L355:L367)</f>
        <v>525.49758166292133</v>
      </c>
    </row>
    <row r="369" spans="2:9" ht="15" customHeight="1" thickTop="1" x14ac:dyDescent="0.3">
      <c r="B369" s="805"/>
      <c r="C369" s="805"/>
      <c r="D369" s="832"/>
      <c r="E369" s="732"/>
      <c r="F369" s="833"/>
      <c r="G369" s="837"/>
      <c r="H369" s="805"/>
      <c r="I369" s="805"/>
    </row>
    <row r="370" spans="2:9" ht="15" customHeight="1" thickBot="1" x14ac:dyDescent="0.35">
      <c r="F370" s="838">
        <f>SUM(F355:F365)</f>
        <v>267735.08999999997</v>
      </c>
      <c r="G370" s="839">
        <f>SUM(G366:G367)</f>
        <v>4198.4275816629215</v>
      </c>
      <c r="H370" s="712" t="s">
        <v>412</v>
      </c>
    </row>
    <row r="371" spans="2:9" ht="15" customHeight="1" thickTop="1" x14ac:dyDescent="0.3">
      <c r="G371" s="833">
        <f>G370*12%</f>
        <v>503.81130979955054</v>
      </c>
      <c r="H371" s="844">
        <v>0.12</v>
      </c>
      <c r="I371" s="712" t="s">
        <v>539</v>
      </c>
    </row>
    <row r="372" spans="2:9" ht="15" customHeight="1" thickBot="1" x14ac:dyDescent="0.35">
      <c r="G372" s="841">
        <f>G370+G371</f>
        <v>4702.2388914624717</v>
      </c>
      <c r="H372" s="712" t="s">
        <v>414</v>
      </c>
    </row>
    <row r="373" spans="2:9" ht="15" customHeight="1" thickTop="1" x14ac:dyDescent="0.3"/>
    <row r="376" spans="2:9" ht="15" customHeight="1" x14ac:dyDescent="0.3">
      <c r="B376" s="801" t="s">
        <v>1183</v>
      </c>
      <c r="C376" s="1015">
        <v>93</v>
      </c>
      <c r="D376" s="1012"/>
      <c r="E376" s="1012"/>
      <c r="F376" s="1012"/>
    </row>
    <row r="377" spans="2:9" s="733" customFormat="1" ht="12" customHeight="1" x14ac:dyDescent="0.25">
      <c r="B377" s="1219" t="s">
        <v>62</v>
      </c>
      <c r="C377" s="1422" t="s">
        <v>1235</v>
      </c>
      <c r="D377" s="1423"/>
      <c r="E377" s="1423"/>
      <c r="F377" s="1423"/>
    </row>
    <row r="378" spans="2:9" ht="19.5" customHeight="1" thickBot="1" x14ac:dyDescent="0.35">
      <c r="B378" s="801" t="s">
        <v>463</v>
      </c>
      <c r="C378" s="1015" t="s">
        <v>1236</v>
      </c>
      <c r="D378" s="1012"/>
      <c r="E378" s="1012"/>
      <c r="F378" s="1012"/>
    </row>
    <row r="379" spans="2:9" ht="15" customHeight="1" thickBot="1" x14ac:dyDescent="0.35">
      <c r="B379" s="1036" t="s">
        <v>1186</v>
      </c>
      <c r="C379" s="1037" t="s">
        <v>54</v>
      </c>
      <c r="D379" s="1038" t="s">
        <v>1187</v>
      </c>
      <c r="E379" s="1038" t="s">
        <v>1188</v>
      </c>
      <c r="F379" s="1039" t="s">
        <v>1189</v>
      </c>
    </row>
    <row r="380" spans="2:9" ht="15" customHeight="1" x14ac:dyDescent="0.3">
      <c r="B380" s="1032" t="s">
        <v>247</v>
      </c>
      <c r="C380" s="1033">
        <v>1000</v>
      </c>
      <c r="D380" s="1034">
        <f>+'Prec Materia Prima y Empaq'!J7</f>
        <v>50000</v>
      </c>
      <c r="E380" s="1035">
        <f>+D380/1000*0.640449438</f>
        <v>32.022471899999999</v>
      </c>
      <c r="F380" s="1501">
        <f>+E392*C376</f>
        <v>573011.23007189995</v>
      </c>
    </row>
    <row r="381" spans="2:9" ht="15" customHeight="1" x14ac:dyDescent="0.3">
      <c r="B381" s="1028" t="s">
        <v>1193</v>
      </c>
      <c r="C381" s="1016">
        <v>900</v>
      </c>
      <c r="D381" s="1017">
        <f>+'Prec Materia Prima y Empaq'!J11</f>
        <v>9520</v>
      </c>
      <c r="E381" s="1018">
        <f t="shared" ref="E381:E386" si="153">+C381*D381/1000</f>
        <v>8568</v>
      </c>
      <c r="F381" s="1501"/>
    </row>
    <row r="382" spans="2:9" ht="15" customHeight="1" x14ac:dyDescent="0.3">
      <c r="B382" s="1028" t="s">
        <v>253</v>
      </c>
      <c r="C382" s="1016">
        <v>800</v>
      </c>
      <c r="D382" s="1017">
        <f>+'Prec Materia Prima y Empaq'!J9</f>
        <v>6426</v>
      </c>
      <c r="E382" s="1018">
        <f t="shared" si="153"/>
        <v>5140.8</v>
      </c>
      <c r="F382" s="1501"/>
    </row>
    <row r="383" spans="2:9" ht="15" customHeight="1" x14ac:dyDescent="0.3">
      <c r="B383" s="1028" t="s">
        <v>248</v>
      </c>
      <c r="C383" s="1016">
        <v>350</v>
      </c>
      <c r="D383" s="1017">
        <f>+'Prec Materia Prima y Empaq'!J21</f>
        <v>18326</v>
      </c>
      <c r="E383" s="1018">
        <f t="shared" si="153"/>
        <v>6414.1</v>
      </c>
      <c r="F383" s="1501"/>
    </row>
    <row r="384" spans="2:9" ht="15" customHeight="1" x14ac:dyDescent="0.3">
      <c r="B384" s="1028" t="s">
        <v>261</v>
      </c>
      <c r="C384" s="1016">
        <v>300</v>
      </c>
      <c r="D384" s="1017">
        <f>+'Prec Materia Prima y Empaq'!J12</f>
        <v>5593</v>
      </c>
      <c r="E384" s="1018">
        <f t="shared" si="153"/>
        <v>1677.9</v>
      </c>
      <c r="F384" s="1501"/>
    </row>
    <row r="385" spans="2:6" ht="15" customHeight="1" x14ac:dyDescent="0.3">
      <c r="B385" s="1028" t="s">
        <v>1237</v>
      </c>
      <c r="C385" s="1016">
        <v>30</v>
      </c>
      <c r="D385" s="1017">
        <f>+'Prec Materia Prima y Empaq'!J41</f>
        <v>95518.92</v>
      </c>
      <c r="E385" s="1018">
        <f t="shared" si="153"/>
        <v>2865.5676000000003</v>
      </c>
      <c r="F385" s="1501"/>
    </row>
    <row r="386" spans="2:6" ht="15" customHeight="1" x14ac:dyDescent="0.3">
      <c r="B386" s="1028" t="s">
        <v>284</v>
      </c>
      <c r="C386" s="1016">
        <v>200</v>
      </c>
      <c r="D386" s="1017">
        <f>+'Prec Materia Prima y Empaq'!J44</f>
        <v>62266.75</v>
      </c>
      <c r="E386" s="1018">
        <f t="shared" si="153"/>
        <v>12453.35</v>
      </c>
      <c r="F386" s="1501"/>
    </row>
    <row r="387" spans="2:6" s="1429" customFormat="1" ht="53.25" customHeight="1" x14ac:dyDescent="0.25">
      <c r="B387" s="1426" t="s">
        <v>1238</v>
      </c>
      <c r="C387" s="1425">
        <v>1</v>
      </c>
      <c r="D387" s="1427">
        <f>+'Prec Materia Prima y Empaq'!J141</f>
        <v>1500</v>
      </c>
      <c r="E387" s="1428">
        <f>+D387*C376</f>
        <v>139500</v>
      </c>
      <c r="F387" s="1501"/>
    </row>
    <row r="388" spans="2:6" ht="31.5" customHeight="1" thickBot="1" x14ac:dyDescent="0.35">
      <c r="B388" s="1424" t="s">
        <v>1239</v>
      </c>
      <c r="C388" s="1030">
        <v>1</v>
      </c>
      <c r="D388" s="1430">
        <f>+'Prec Materia Prima y Empaq'!J177</f>
        <v>589</v>
      </c>
      <c r="E388" s="1432">
        <f>+D388*C376</f>
        <v>54777</v>
      </c>
      <c r="F388" s="1502"/>
    </row>
    <row r="389" spans="2:6" ht="15" customHeight="1" x14ac:dyDescent="0.3">
      <c r="B389" s="1012"/>
      <c r="C389" s="1015"/>
      <c r="D389" s="1023"/>
      <c r="E389" s="1023"/>
      <c r="F389" s="1024"/>
    </row>
    <row r="390" spans="2:6" ht="15" customHeight="1" x14ac:dyDescent="0.3">
      <c r="B390" s="1012"/>
      <c r="C390" s="1027">
        <f>SUM(C380:C389)</f>
        <v>3582</v>
      </c>
      <c r="D390" s="1025">
        <f>SUM(D380:D388)</f>
        <v>249739.66999999998</v>
      </c>
      <c r="E390" s="1025">
        <f>SUM(E380:E388)/C376</f>
        <v>2488.4810760419355</v>
      </c>
      <c r="F390" s="1025" t="s">
        <v>1197</v>
      </c>
    </row>
    <row r="391" spans="2:6" ht="15" customHeight="1" x14ac:dyDescent="0.3">
      <c r="B391" s="1012"/>
      <c r="C391" s="1015"/>
      <c r="D391" s="1014"/>
      <c r="E391" s="1022">
        <f>+'Gtos Varios'!I14</f>
        <v>3672.93</v>
      </c>
      <c r="F391" s="1022" t="s">
        <v>1180</v>
      </c>
    </row>
    <row r="392" spans="2:6" ht="15" customHeight="1" x14ac:dyDescent="0.3">
      <c r="B392" s="1012"/>
      <c r="C392" s="1015"/>
      <c r="D392" s="1014"/>
      <c r="E392" s="1014">
        <f>SUM(E390:E391)</f>
        <v>6161.4110760419353</v>
      </c>
      <c r="F392" s="1014" t="s">
        <v>412</v>
      </c>
    </row>
    <row r="393" spans="2:6" ht="15" customHeight="1" x14ac:dyDescent="0.3">
      <c r="B393" s="1012"/>
      <c r="C393" s="1012"/>
      <c r="D393" s="1012"/>
      <c r="E393" s="1019">
        <f>+E394-E391</f>
        <v>5827.07</v>
      </c>
      <c r="F393" s="1020" t="s">
        <v>1199</v>
      </c>
    </row>
    <row r="394" spans="2:6" ht="15" customHeight="1" x14ac:dyDescent="0.3">
      <c r="B394" s="1012"/>
      <c r="C394" s="1012"/>
      <c r="D394" s="1012"/>
      <c r="E394" s="1026">
        <v>9500</v>
      </c>
      <c r="F394" s="1021" t="s">
        <v>1198</v>
      </c>
    </row>
    <row r="395" spans="2:6" ht="15" customHeight="1" x14ac:dyDescent="0.3">
      <c r="E395" s="1435">
        <v>9000</v>
      </c>
      <c r="F395" s="801" t="s">
        <v>1244</v>
      </c>
    </row>
  </sheetData>
  <mergeCells count="28">
    <mergeCell ref="N325:P325"/>
    <mergeCell ref="B353:F353"/>
    <mergeCell ref="H353:I353"/>
    <mergeCell ref="K353:L353"/>
    <mergeCell ref="K255:L255"/>
    <mergeCell ref="B289:F289"/>
    <mergeCell ref="H289:I289"/>
    <mergeCell ref="K289:L289"/>
    <mergeCell ref="K324:L324"/>
    <mergeCell ref="B324:F324"/>
    <mergeCell ref="H324:I324"/>
    <mergeCell ref="B11:F11"/>
    <mergeCell ref="H11:I11"/>
    <mergeCell ref="B47:F47"/>
    <mergeCell ref="H47:I47"/>
    <mergeCell ref="B85:F85"/>
    <mergeCell ref="H85:I85"/>
    <mergeCell ref="F380:F388"/>
    <mergeCell ref="B120:F120"/>
    <mergeCell ref="H120:I120"/>
    <mergeCell ref="B255:F255"/>
    <mergeCell ref="H255:I255"/>
    <mergeCell ref="B153:F153"/>
    <mergeCell ref="H153:I153"/>
    <mergeCell ref="B187:F187"/>
    <mergeCell ref="H187:I187"/>
    <mergeCell ref="B221:F221"/>
    <mergeCell ref="H221:I221"/>
  </mergeCells>
  <pageMargins left="0.7" right="0.7" top="0.75" bottom="0.75" header="0.3" footer="0.3"/>
  <pageSetup orientation="landscape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9009-A7CD-4A96-A95D-BADFD4752B1D}">
  <dimension ref="A1"/>
  <sheetViews>
    <sheetView tabSelected="1" workbookViewId="0">
      <selection activeCell="L10" sqref="L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6</vt:i4>
      </vt:variant>
    </vt:vector>
  </HeadingPairs>
  <TitlesOfParts>
    <vt:vector size="23" baseType="lpstr">
      <vt:lpstr>DETALLE PRODUCTOSxPrecio (2)</vt:lpstr>
      <vt:lpstr>Recetas x Prod</vt:lpstr>
      <vt:lpstr>RECETAS</vt:lpstr>
      <vt:lpstr>PRECIO COMPR</vt:lpstr>
      <vt:lpstr>Preci Comp Prod</vt:lpstr>
      <vt:lpstr>GRUPOS SAI OPEN</vt:lpstr>
      <vt:lpstr>DETALLE PRODUCTOSxPrecio</vt:lpstr>
      <vt:lpstr>Prec Materia Prima y Empaq</vt:lpstr>
      <vt:lpstr>Gtos Varios</vt:lpstr>
      <vt:lpstr>RECETAS UNGUENTOS</vt:lpstr>
      <vt:lpstr>RECETAS JARABES</vt:lpstr>
      <vt:lpstr>RECETAS PASTILLAS</vt:lpstr>
      <vt:lpstr>RECETA FIBRA </vt:lpstr>
      <vt:lpstr>RECETAS GOTAS</vt:lpstr>
      <vt:lpstr>RECETAS CAPS</vt:lpstr>
      <vt:lpstr>RECETAS JARAB NUEVOS</vt:lpstr>
      <vt:lpstr>Hoja1</vt:lpstr>
      <vt:lpstr>'DETALLE PRODUCTOSxPrecio'!Área_de_impresión</vt:lpstr>
      <vt:lpstr>'DETALLE PRODUCTOSxPrecio (2)'!Área_de_impresión</vt:lpstr>
      <vt:lpstr>'DETALLE PRODUCTOSxPrecio'!codigos</vt:lpstr>
      <vt:lpstr>'DETALLE PRODUCTOSxPrecio (2)'!codigos</vt:lpstr>
      <vt:lpstr>'DETALLE PRODUCTOSxPrecio'!datos</vt:lpstr>
      <vt:lpstr>'DETALLE PRODUCTOSxPrecio (2)'!datos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palacio</dc:creator>
  <cp:lastModifiedBy>user</cp:lastModifiedBy>
  <cp:lastPrinted>2026-04-29T16:26:30Z</cp:lastPrinted>
  <dcterms:created xsi:type="dcterms:W3CDTF">2025-02-21T02:06:24Z</dcterms:created>
  <dcterms:modified xsi:type="dcterms:W3CDTF">2026-04-30T16:14:59Z</dcterms:modified>
</cp:coreProperties>
</file>