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wat-my.sharepoint.com/personal/kamil_witmanowicz_student_wat_edu_pl/Documents/"/>
    </mc:Choice>
  </mc:AlternateContent>
  <xr:revisionPtr revIDLastSave="153" documentId="8_{7C071D1C-FDB5-4F32-9177-8C131A10316F}" xr6:coauthVersionLast="47" xr6:coauthVersionMax="47" xr10:uidLastSave="{02B7AC41-A4EF-4DBC-92BA-ED356832FD35}"/>
  <bookViews>
    <workbookView xWindow="-18120" yWindow="-5520" windowWidth="18240" windowHeight="28320" xr2:uid="{1F748952-9F18-45F1-B28F-EC1534F4FEAE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8" i="1" l="1"/>
  <c r="AC58" i="1"/>
  <c r="AB59" i="1" s="1"/>
  <c r="AF123" i="1"/>
  <c r="AB144" i="1"/>
  <c r="AB96" i="1"/>
  <c r="AB109" i="1"/>
  <c r="AE153" i="1"/>
  <c r="AB152" i="1"/>
  <c r="AE144" i="1"/>
  <c r="AB145" i="1"/>
  <c r="AB146" i="1"/>
  <c r="AB116" i="1"/>
  <c r="AB102" i="1"/>
  <c r="Y13" i="1"/>
  <c r="Y12" i="1"/>
  <c r="Y10" i="1"/>
  <c r="AB95" i="1"/>
  <c r="AB94" i="1"/>
  <c r="AE15" i="1"/>
  <c r="AG83" i="1"/>
  <c r="AG70" i="1"/>
  <c r="AC65" i="1"/>
  <c r="AB51" i="1"/>
  <c r="AE12" i="1"/>
  <c r="AE13" i="1"/>
  <c r="AE14" i="1"/>
  <c r="AE11" i="1"/>
  <c r="AC38" i="1"/>
  <c r="AI32" i="1"/>
  <c r="AF27" i="1"/>
  <c r="AB44" i="1"/>
  <c r="V12" i="1"/>
  <c r="V11" i="1"/>
  <c r="AD25" i="1"/>
  <c r="AC26" i="1"/>
  <c r="AF26" i="1"/>
  <c r="V19" i="1"/>
  <c r="V25" i="1"/>
  <c r="V15" i="1"/>
  <c r="AC7" i="1"/>
  <c r="AF70" i="1" l="1"/>
  <c r="AF71" i="1" s="1"/>
  <c r="AB61" i="1"/>
  <c r="AF61" i="1" s="1"/>
  <c r="AC70" i="1" s="1"/>
  <c r="AF85" i="1" s="1"/>
  <c r="AB133" i="1" l="1"/>
  <c r="AB135" i="1" s="1"/>
  <c r="AE135" i="1" s="1"/>
  <c r="AB138" i="1" s="1"/>
  <c r="AF124" i="1"/>
  <c r="AB125" i="1"/>
</calcChain>
</file>

<file path=xl/sharedStrings.xml><?xml version="1.0" encoding="utf-8"?>
<sst xmlns="http://schemas.openxmlformats.org/spreadsheetml/2006/main" count="120" uniqueCount="94">
  <si>
    <t>Q</t>
  </si>
  <si>
    <t>H</t>
  </si>
  <si>
    <t>mm</t>
  </si>
  <si>
    <t>Śruba</t>
  </si>
  <si>
    <t>Nakrętka</t>
  </si>
  <si>
    <t>Materiał</t>
  </si>
  <si>
    <t>Stal St5</t>
  </si>
  <si>
    <t>Żeliwo EN-GJL-200</t>
  </si>
  <si>
    <t>kr</t>
  </si>
  <si>
    <t>ks</t>
  </si>
  <si>
    <t>kg</t>
  </si>
  <si>
    <t>Rm</t>
  </si>
  <si>
    <t>Is = s*l</t>
  </si>
  <si>
    <t>s=</t>
  </si>
  <si>
    <t>s wynika ze zdjęcia na dole</t>
  </si>
  <si>
    <t>l=h*1.2</t>
  </si>
  <si>
    <t>l=</t>
  </si>
  <si>
    <t xml:space="preserve">Is = </t>
  </si>
  <si>
    <t>smukłość = ls/imin</t>
  </si>
  <si>
    <t>d przy założeniu na wzór Eulera</t>
  </si>
  <si>
    <t>E</t>
  </si>
  <si>
    <t>N</t>
  </si>
  <si>
    <t>współczynnik bezpieczeństwa</t>
  </si>
  <si>
    <t>x=</t>
  </si>
  <si>
    <t>samochamowność:</t>
  </si>
  <si>
    <t>P=</t>
  </si>
  <si>
    <t>d2</t>
  </si>
  <si>
    <t>D2=d2</t>
  </si>
  <si>
    <t>d3</t>
  </si>
  <si>
    <t>D1</t>
  </si>
  <si>
    <t>D4</t>
  </si>
  <si>
    <t>Tr 50x8</t>
  </si>
  <si>
    <t>4*ls/d3</t>
  </si>
  <si>
    <t>kc</t>
  </si>
  <si>
    <t>ko</t>
  </si>
  <si>
    <t xml:space="preserve">Średnica części współpracującej z koroną </t>
  </si>
  <si>
    <t xml:space="preserve">d= </t>
  </si>
  <si>
    <t>Moment Tarcia Gwintu</t>
  </si>
  <si>
    <t>Mt1</t>
  </si>
  <si>
    <t>deg</t>
  </si>
  <si>
    <t>rad</t>
  </si>
  <si>
    <t>m</t>
  </si>
  <si>
    <t>Moment Tarcia między śruba a koroną</t>
  </si>
  <si>
    <t>Mt2</t>
  </si>
  <si>
    <t>Nm</t>
  </si>
  <si>
    <t>rśr</t>
  </si>
  <si>
    <t>http://monolitkielce.pl/images/dokumenty/TBHP1.pdf</t>
  </si>
  <si>
    <t>wsp tarcia</t>
  </si>
  <si>
    <t>Sprawdzenie napręzeń zastępczych</t>
  </si>
  <si>
    <t>Wo=(pi*d^3)/16</t>
  </si>
  <si>
    <t>wo=0.2*d^3</t>
  </si>
  <si>
    <t>Hipoteza wytrzymałości Hubera</t>
  </si>
  <si>
    <t>alfa</t>
  </si>
  <si>
    <t>Obliczanie wysokości Nakrętki</t>
  </si>
  <si>
    <t>d</t>
  </si>
  <si>
    <t>Średnica zewnętrzna nakrętki</t>
  </si>
  <si>
    <t>krj</t>
  </si>
  <si>
    <t xml:space="preserve">kr </t>
  </si>
  <si>
    <t>ktj</t>
  </si>
  <si>
    <t>ksj</t>
  </si>
  <si>
    <t>Hn</t>
  </si>
  <si>
    <t>Dz</t>
  </si>
  <si>
    <t>Średnica Kołnierza</t>
  </si>
  <si>
    <t>Dkol</t>
  </si>
  <si>
    <t>Wysokość kołnierza</t>
  </si>
  <si>
    <t>hz</t>
  </si>
  <si>
    <t>h</t>
  </si>
  <si>
    <t>Długość boku pręta</t>
  </si>
  <si>
    <t>Wx=pierwiastek(2)*b^3/12</t>
  </si>
  <si>
    <t>Ms=</t>
  </si>
  <si>
    <t>b</t>
  </si>
  <si>
    <t>Nmm</t>
  </si>
  <si>
    <t>Długość pręta</t>
  </si>
  <si>
    <t>P ręki</t>
  </si>
  <si>
    <t>Ms</t>
  </si>
  <si>
    <t>Dr</t>
  </si>
  <si>
    <t>l</t>
  </si>
  <si>
    <t>Lc</t>
  </si>
  <si>
    <t>Wyokość rury</t>
  </si>
  <si>
    <t>Lr</t>
  </si>
  <si>
    <t>Is=</t>
  </si>
  <si>
    <t>smukłość</t>
  </si>
  <si>
    <t>Dwr</t>
  </si>
  <si>
    <t>Dzr</t>
  </si>
  <si>
    <t>Doraźna wytzymałość rury</t>
  </si>
  <si>
    <t>Fiw</t>
  </si>
  <si>
    <t>lc</t>
  </si>
  <si>
    <t>Rw=</t>
  </si>
  <si>
    <t>Kw=</t>
  </si>
  <si>
    <t xml:space="preserve">sprawdzić czy zadziala </t>
  </si>
  <si>
    <t>dśruby=</t>
  </si>
  <si>
    <t>dczw</t>
  </si>
  <si>
    <t>Wx</t>
  </si>
  <si>
    <t>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</si>
</sst>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1" xfId="2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3"/>
    <xf numFmtId="0" fontId="0" fillId="0" borderId="0" xfId="0" applyAlignment="1">
      <alignment horizontal="center"/>
    </xf>
  </cellXfs>
  <cellStyles count="4">
    <cellStyle name="Dane wejściowe" xfId="2" builtinId="20"/>
    <cellStyle name="Dobry" xfId="1" builtinId="26"/>
    <cellStyle name="Hyperlink" xfId="3" xr:uid="{00000000-000B-0000-0000-000008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9526</xdr:rowOff>
    </xdr:from>
    <xdr:to>
      <xdr:col>11</xdr:col>
      <xdr:colOff>409578</xdr:colOff>
      <xdr:row>13</xdr:row>
      <xdr:rowOff>124517</xdr:rowOff>
    </xdr:to>
    <xdr:pic>
      <xdr:nvPicPr>
        <xdr:cNvPr id="3" name="Obraz 2" descr="Brak opisu.">
          <a:extLst>
            <a:ext uri="{FF2B5EF4-FFF2-40B4-BE49-F238E27FC236}">
              <a16:creationId xmlns:a16="http://schemas.microsoft.com/office/drawing/2014/main" id="{25151D73-6FE6-90B8-7C17-B22DA8830F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19" t="5753" r="45515" b="21208"/>
        <a:stretch/>
      </xdr:blipFill>
      <xdr:spPr bwMode="auto">
        <a:xfrm rot="5400000">
          <a:off x="2261844" y="-2252317"/>
          <a:ext cx="2591491" cy="7115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133351</xdr:rowOff>
    </xdr:from>
    <xdr:to>
      <xdr:col>6</xdr:col>
      <xdr:colOff>24846</xdr:colOff>
      <xdr:row>25</xdr:row>
      <xdr:rowOff>19050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8DA3923D-A639-6F7B-F6FC-2E2D5940E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09851"/>
          <a:ext cx="3682446" cy="2171699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361951</xdr:colOff>
      <xdr:row>13</xdr:row>
      <xdr:rowOff>142876</xdr:rowOff>
    </xdr:from>
    <xdr:to>
      <xdr:col>11</xdr:col>
      <xdr:colOff>371475</xdr:colOff>
      <xdr:row>24</xdr:row>
      <xdr:rowOff>139216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BF78DD8A-F053-9C01-9421-A7F31D3FE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9951" y="2619376"/>
          <a:ext cx="3667124" cy="2091840"/>
        </a:xfrm>
        <a:prstGeom prst="rect">
          <a:avLst/>
        </a:prstGeom>
      </xdr:spPr>
    </xdr:pic>
    <xdr:clientData/>
  </xdr:twoCellAnchor>
  <xdr:twoCellAnchor editAs="oneCell">
    <xdr:from>
      <xdr:col>11</xdr:col>
      <xdr:colOff>438150</xdr:colOff>
      <xdr:row>0</xdr:row>
      <xdr:rowOff>0</xdr:rowOff>
    </xdr:from>
    <xdr:to>
      <xdr:col>18</xdr:col>
      <xdr:colOff>379814</xdr:colOff>
      <xdr:row>13</xdr:row>
      <xdr:rowOff>76200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F3293DA4-221F-23C4-1523-A39AAE7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0" y="0"/>
          <a:ext cx="4208864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390526</xdr:colOff>
      <xdr:row>13</xdr:row>
      <xdr:rowOff>114301</xdr:rowOff>
    </xdr:from>
    <xdr:to>
      <xdr:col>18</xdr:col>
      <xdr:colOff>333376</xdr:colOff>
      <xdr:row>27</xdr:row>
      <xdr:rowOff>50757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9224E7F8-35ED-8A5D-8581-581E0CBB3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96126" y="2590801"/>
          <a:ext cx="4210050" cy="26034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66675</xdr:rowOff>
    </xdr:from>
    <xdr:to>
      <xdr:col>6</xdr:col>
      <xdr:colOff>77853</xdr:colOff>
      <xdr:row>37</xdr:row>
      <xdr:rowOff>57150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7D0A1E7E-EB8A-F0B6-5138-AC1FC8C4C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829175"/>
          <a:ext cx="3735453" cy="227647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25</xdr:row>
      <xdr:rowOff>28576</xdr:rowOff>
    </xdr:from>
    <xdr:to>
      <xdr:col>13</xdr:col>
      <xdr:colOff>57394</xdr:colOff>
      <xdr:row>38</xdr:row>
      <xdr:rowOff>38100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FCE2FC54-31B5-A5FD-A574-23B11F658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62376" y="4791076"/>
          <a:ext cx="4219818" cy="2486024"/>
        </a:xfrm>
        <a:prstGeom prst="rect">
          <a:avLst/>
        </a:prstGeom>
      </xdr:spPr>
    </xdr:pic>
    <xdr:clientData/>
  </xdr:twoCellAnchor>
  <xdr:twoCellAnchor editAs="oneCell">
    <xdr:from>
      <xdr:col>13</xdr:col>
      <xdr:colOff>134279</xdr:colOff>
      <xdr:row>27</xdr:row>
      <xdr:rowOff>123825</xdr:rowOff>
    </xdr:from>
    <xdr:to>
      <xdr:col>21</xdr:col>
      <xdr:colOff>764135</xdr:colOff>
      <xdr:row>44</xdr:row>
      <xdr:rowOff>58349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1954F428-D976-2DEA-623B-82A2E413A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59079" y="5267325"/>
          <a:ext cx="5649531" cy="3173024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38101</xdr:colOff>
      <xdr:row>23</xdr:row>
      <xdr:rowOff>133351</xdr:rowOff>
    </xdr:from>
    <xdr:to>
      <xdr:col>27</xdr:col>
      <xdr:colOff>467459</xdr:colOff>
      <xdr:row>28</xdr:row>
      <xdr:rowOff>38101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AA5D3FD5-9FEF-AAC9-DEBC-474FA7B8A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92451" y="4514851"/>
          <a:ext cx="1648558" cy="857250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29</xdr:row>
      <xdr:rowOff>38100</xdr:rowOff>
    </xdr:from>
    <xdr:to>
      <xdr:col>32</xdr:col>
      <xdr:colOff>209550</xdr:colOff>
      <xdr:row>34</xdr:row>
      <xdr:rowOff>118058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A520AB25-183C-6DEE-9A4F-09C386021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11325" y="5562600"/>
          <a:ext cx="5981700" cy="10324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114300</xdr:rowOff>
    </xdr:from>
    <xdr:to>
      <xdr:col>6</xdr:col>
      <xdr:colOff>3166</xdr:colOff>
      <xdr:row>52</xdr:row>
      <xdr:rowOff>19050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C1269FE8-4F68-896B-9C67-16120DCE5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162800"/>
          <a:ext cx="3660766" cy="2762250"/>
        </a:xfrm>
        <a:prstGeom prst="rect">
          <a:avLst/>
        </a:prstGeom>
      </xdr:spPr>
    </xdr:pic>
    <xdr:clientData/>
  </xdr:twoCellAnchor>
  <xdr:twoCellAnchor editAs="oneCell">
    <xdr:from>
      <xdr:col>6</xdr:col>
      <xdr:colOff>40287</xdr:colOff>
      <xdr:row>37</xdr:row>
      <xdr:rowOff>142875</xdr:rowOff>
    </xdr:from>
    <xdr:to>
      <xdr:col>12</xdr:col>
      <xdr:colOff>363145</xdr:colOff>
      <xdr:row>53</xdr:row>
      <xdr:rowOff>105678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381E2FAE-7BA6-0043-DC96-5FDEE625B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97887" y="7191375"/>
          <a:ext cx="3980458" cy="3010803"/>
        </a:xfrm>
        <a:prstGeom prst="rect">
          <a:avLst/>
        </a:prstGeom>
      </xdr:spPr>
    </xdr:pic>
    <xdr:clientData/>
  </xdr:twoCellAnchor>
  <xdr:twoCellAnchor editAs="oneCell">
    <xdr:from>
      <xdr:col>25</xdr:col>
      <xdr:colOff>28575</xdr:colOff>
      <xdr:row>35</xdr:row>
      <xdr:rowOff>171450</xdr:rowOff>
    </xdr:from>
    <xdr:to>
      <xdr:col>27</xdr:col>
      <xdr:colOff>514588</xdr:colOff>
      <xdr:row>39</xdr:row>
      <xdr:rowOff>76293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87DC0DE6-3C42-A080-9F4C-97A9F5E9B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782925" y="6838950"/>
          <a:ext cx="1705213" cy="66684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52</xdr:row>
      <xdr:rowOff>29762</xdr:rowOff>
    </xdr:from>
    <xdr:to>
      <xdr:col>7</xdr:col>
      <xdr:colOff>243035</xdr:colOff>
      <xdr:row>65</xdr:row>
      <xdr:rowOff>28576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DA0A7929-B16C-3CC4-8776-731D5DB8C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9935762"/>
          <a:ext cx="4510234" cy="2475314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43</xdr:row>
      <xdr:rowOff>184942</xdr:rowOff>
    </xdr:from>
    <xdr:to>
      <xdr:col>21</xdr:col>
      <xdr:colOff>563068</xdr:colOff>
      <xdr:row>62</xdr:row>
      <xdr:rowOff>97118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FB42CA84-1471-7E3A-BA46-8FF60E9DA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848600" y="8376442"/>
          <a:ext cx="5658943" cy="3531676"/>
        </a:xfrm>
        <a:prstGeom prst="rect">
          <a:avLst/>
        </a:prstGeom>
      </xdr:spPr>
    </xdr:pic>
    <xdr:clientData/>
  </xdr:twoCellAnchor>
  <xdr:twoCellAnchor editAs="oneCell">
    <xdr:from>
      <xdr:col>0</xdr:col>
      <xdr:colOff>246530</xdr:colOff>
      <xdr:row>74</xdr:row>
      <xdr:rowOff>129429</xdr:rowOff>
    </xdr:from>
    <xdr:to>
      <xdr:col>8</xdr:col>
      <xdr:colOff>155763</xdr:colOff>
      <xdr:row>78</xdr:row>
      <xdr:rowOff>81601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84B25CC8-D129-A60F-758A-2094DCA28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6530" y="14226429"/>
          <a:ext cx="4750174" cy="714172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61</xdr:row>
      <xdr:rowOff>76200</xdr:rowOff>
    </xdr:from>
    <xdr:to>
      <xdr:col>13</xdr:col>
      <xdr:colOff>443</xdr:colOff>
      <xdr:row>73</xdr:row>
      <xdr:rowOff>133350</xdr:rowOff>
    </xdr:to>
    <xdr:pic>
      <xdr:nvPicPr>
        <xdr:cNvPr id="26" name="Obraz 25">
          <a:extLst>
            <a:ext uri="{FF2B5EF4-FFF2-40B4-BE49-F238E27FC236}">
              <a16:creationId xmlns:a16="http://schemas.microsoft.com/office/drawing/2014/main" id="{254FE4D7-A235-3CE8-349D-1E368FF89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71925" y="11696700"/>
          <a:ext cx="3948835" cy="2343150"/>
        </a:xfrm>
        <a:prstGeom prst="rect">
          <a:avLst/>
        </a:prstGeom>
      </xdr:spPr>
    </xdr:pic>
    <xdr:clientData/>
  </xdr:twoCellAnchor>
  <xdr:twoCellAnchor editAs="oneCell">
    <xdr:from>
      <xdr:col>25</xdr:col>
      <xdr:colOff>333375</xdr:colOff>
      <xdr:row>63</xdr:row>
      <xdr:rowOff>142875</xdr:rowOff>
    </xdr:from>
    <xdr:to>
      <xdr:col>27</xdr:col>
      <xdr:colOff>379108</xdr:colOff>
      <xdr:row>67</xdr:row>
      <xdr:rowOff>38100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6C827D7E-9322-A189-E3F2-80FCB16D5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087725" y="12144375"/>
          <a:ext cx="1264933" cy="657225"/>
        </a:xfrm>
        <a:prstGeom prst="rect">
          <a:avLst/>
        </a:prstGeom>
      </xdr:spPr>
    </xdr:pic>
    <xdr:clientData/>
  </xdr:twoCellAnchor>
  <xdr:twoCellAnchor editAs="oneCell">
    <xdr:from>
      <xdr:col>25</xdr:col>
      <xdr:colOff>161925</xdr:colOff>
      <xdr:row>68</xdr:row>
      <xdr:rowOff>76200</xdr:rowOff>
    </xdr:from>
    <xdr:to>
      <xdr:col>27</xdr:col>
      <xdr:colOff>546375</xdr:colOff>
      <xdr:row>73</xdr:row>
      <xdr:rowOff>9525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90227FE0-1D62-5478-78DC-7857BF52B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916275" y="13030200"/>
          <a:ext cx="1603650" cy="88582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104776</xdr:colOff>
      <xdr:row>79</xdr:row>
      <xdr:rowOff>47626</xdr:rowOff>
    </xdr:from>
    <xdr:to>
      <xdr:col>30</xdr:col>
      <xdr:colOff>428626</xdr:colOff>
      <xdr:row>87</xdr:row>
      <xdr:rowOff>2214</xdr:rowOff>
    </xdr:to>
    <xdr:pic>
      <xdr:nvPicPr>
        <xdr:cNvPr id="29" name="Obraz 28">
          <a:extLst>
            <a:ext uri="{FF2B5EF4-FFF2-40B4-BE49-F238E27FC236}">
              <a16:creationId xmlns:a16="http://schemas.microsoft.com/office/drawing/2014/main" id="{D9042641-9598-D6D4-ADFB-0336BF33F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859126" y="15097126"/>
          <a:ext cx="3371850" cy="1478588"/>
        </a:xfrm>
        <a:prstGeom prst="rect">
          <a:avLst/>
        </a:prstGeom>
      </xdr:spPr>
    </xdr:pic>
    <xdr:clientData/>
  </xdr:twoCellAnchor>
  <xdr:twoCellAnchor editAs="oneCell">
    <xdr:from>
      <xdr:col>12</xdr:col>
      <xdr:colOff>447676</xdr:colOff>
      <xdr:row>62</xdr:row>
      <xdr:rowOff>0</xdr:rowOff>
    </xdr:from>
    <xdr:to>
      <xdr:col>19</xdr:col>
      <xdr:colOff>284166</xdr:colOff>
      <xdr:row>77</xdr:row>
      <xdr:rowOff>57150</xdr:rowOff>
    </xdr:to>
    <xdr:pic>
      <xdr:nvPicPr>
        <xdr:cNvPr id="30" name="Obraz 29">
          <a:extLst>
            <a:ext uri="{FF2B5EF4-FFF2-40B4-BE49-F238E27FC236}">
              <a16:creationId xmlns:a16="http://schemas.microsoft.com/office/drawing/2014/main" id="{B4531BD9-F23F-D83D-DE98-19AAF67C1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762876" y="11811000"/>
          <a:ext cx="4103690" cy="2914650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238125</xdr:colOff>
      <xdr:row>78</xdr:row>
      <xdr:rowOff>1</xdr:rowOff>
    </xdr:from>
    <xdr:to>
      <xdr:col>18</xdr:col>
      <xdr:colOff>400050</xdr:colOff>
      <xdr:row>92</xdr:row>
      <xdr:rowOff>61960</xdr:rowOff>
    </xdr:to>
    <xdr:pic>
      <xdr:nvPicPr>
        <xdr:cNvPr id="31" name="Obraz 30">
          <a:extLst>
            <a:ext uri="{FF2B5EF4-FFF2-40B4-BE49-F238E27FC236}">
              <a16:creationId xmlns:a16="http://schemas.microsoft.com/office/drawing/2014/main" id="{41222D88-9864-8519-7ACD-06130A704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943725" y="14859001"/>
          <a:ext cx="4429125" cy="272895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92</xdr:row>
      <xdr:rowOff>95251</xdr:rowOff>
    </xdr:from>
    <xdr:to>
      <xdr:col>18</xdr:col>
      <xdr:colOff>285750</xdr:colOff>
      <xdr:row>104</xdr:row>
      <xdr:rowOff>142865</xdr:rowOff>
    </xdr:to>
    <xdr:pic>
      <xdr:nvPicPr>
        <xdr:cNvPr id="32" name="Obraz 31">
          <a:extLst>
            <a:ext uri="{FF2B5EF4-FFF2-40B4-BE49-F238E27FC236}">
              <a16:creationId xmlns:a16="http://schemas.microsoft.com/office/drawing/2014/main" id="{8663209E-8E67-0340-3455-0774304E9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086601" y="17621251"/>
          <a:ext cx="4171949" cy="2333614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352426</xdr:colOff>
      <xdr:row>104</xdr:row>
      <xdr:rowOff>76201</xdr:rowOff>
    </xdr:from>
    <xdr:to>
      <xdr:col>17</xdr:col>
      <xdr:colOff>590550</xdr:colOff>
      <xdr:row>115</xdr:row>
      <xdr:rowOff>177505</xdr:rowOff>
    </xdr:to>
    <xdr:pic>
      <xdr:nvPicPr>
        <xdr:cNvPr id="33" name="Obraz 32">
          <a:extLst>
            <a:ext uri="{FF2B5EF4-FFF2-40B4-BE49-F238E27FC236}">
              <a16:creationId xmlns:a16="http://schemas.microsoft.com/office/drawing/2014/main" id="{F7D3AD62-3B2F-0B18-FC8F-19E42C9E4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58026" y="19888201"/>
          <a:ext cx="3895724" cy="2196804"/>
        </a:xfrm>
        <a:prstGeom prst="rect">
          <a:avLst/>
        </a:prstGeom>
      </xdr:spPr>
    </xdr:pic>
    <xdr:clientData/>
  </xdr:twoCellAnchor>
  <xdr:twoCellAnchor editAs="oneCell">
    <xdr:from>
      <xdr:col>11</xdr:col>
      <xdr:colOff>438151</xdr:colOff>
      <xdr:row>115</xdr:row>
      <xdr:rowOff>142875</xdr:rowOff>
    </xdr:from>
    <xdr:to>
      <xdr:col>17</xdr:col>
      <xdr:colOff>457200</xdr:colOff>
      <xdr:row>127</xdr:row>
      <xdr:rowOff>99836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A5821E3-00E3-9B95-876A-509714551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143751" y="22050375"/>
          <a:ext cx="3676649" cy="2242961"/>
        </a:xfrm>
        <a:prstGeom prst="rect">
          <a:avLst/>
        </a:prstGeom>
      </xdr:spPr>
    </xdr:pic>
    <xdr:clientData/>
  </xdr:twoCellAnchor>
  <xdr:twoCellAnchor editAs="oneCell">
    <xdr:from>
      <xdr:col>11</xdr:col>
      <xdr:colOff>438151</xdr:colOff>
      <xdr:row>127</xdr:row>
      <xdr:rowOff>1</xdr:rowOff>
    </xdr:from>
    <xdr:to>
      <xdr:col>17</xdr:col>
      <xdr:colOff>514351</xdr:colOff>
      <xdr:row>141</xdr:row>
      <xdr:rowOff>79207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093E827-814B-498A-0AAF-0BF5B8A0B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143751" y="24193501"/>
          <a:ext cx="3733800" cy="2746206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141</xdr:row>
      <xdr:rowOff>95251</xdr:rowOff>
    </xdr:from>
    <xdr:to>
      <xdr:col>17</xdr:col>
      <xdr:colOff>426306</xdr:colOff>
      <xdr:row>155</xdr:row>
      <xdr:rowOff>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4EFB7F68-7AC9-5B39-0896-661E8D5D7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248525" y="26955751"/>
          <a:ext cx="3540981" cy="2571749"/>
        </a:xfrm>
        <a:prstGeom prst="rect">
          <a:avLst/>
        </a:prstGeom>
      </xdr:spPr>
    </xdr:pic>
    <xdr:clientData/>
  </xdr:twoCellAnchor>
  <xdr:twoCellAnchor editAs="oneCell">
    <xdr:from>
      <xdr:col>10</xdr:col>
      <xdr:colOff>609199</xdr:colOff>
      <xdr:row>155</xdr:row>
      <xdr:rowOff>180975</xdr:rowOff>
    </xdr:from>
    <xdr:to>
      <xdr:col>18</xdr:col>
      <xdr:colOff>277867</xdr:colOff>
      <xdr:row>172</xdr:row>
      <xdr:rowOff>29397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A5ABD542-4295-DCE0-5E80-7B23A8E25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705199" y="29708475"/>
          <a:ext cx="4545468" cy="30869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88607</xdr:rowOff>
    </xdr:from>
    <xdr:to>
      <xdr:col>11</xdr:col>
      <xdr:colOff>28158</xdr:colOff>
      <xdr:row>98</xdr:row>
      <xdr:rowOff>174902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B965C605-0B76-5B51-EEA6-12A0F5A2C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4757107"/>
          <a:ext cx="6763694" cy="408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102213</xdr:rowOff>
    </xdr:from>
    <xdr:to>
      <xdr:col>10</xdr:col>
      <xdr:colOff>340179</xdr:colOff>
      <xdr:row>100</xdr:row>
      <xdr:rowOff>126936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6F22A57E-915B-476D-A207-72020C692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8961713"/>
          <a:ext cx="6463393" cy="2152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onolitkielce.pl/images/dokumenty/TBHP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C544-6F5F-4DDF-8B58-2FF584F20508}">
  <dimension ref="I1:AI1048576"/>
  <sheetViews>
    <sheetView tabSelected="1" topLeftCell="P1" zoomScale="70" zoomScaleNormal="70" workbookViewId="0">
      <selection activeCell="AB59" sqref="AB59"/>
    </sheetView>
  </sheetViews>
  <sheetFormatPr defaultRowHeight="15" x14ac:dyDescent="0.25"/>
  <cols>
    <col min="21" max="21" width="11.28515625" customWidth="1"/>
    <col min="22" max="22" width="14.7109375" customWidth="1"/>
    <col min="32" max="32" width="11.5703125" bestFit="1" customWidth="1"/>
  </cols>
  <sheetData>
    <row r="1" spans="21:31" x14ac:dyDescent="0.25">
      <c r="U1" s="1" t="s">
        <v>0</v>
      </c>
      <c r="V1" s="2">
        <v>30000</v>
      </c>
      <c r="W1" s="2" t="s">
        <v>21</v>
      </c>
    </row>
    <row r="2" spans="21:31" x14ac:dyDescent="0.25">
      <c r="U2" s="1" t="s">
        <v>1</v>
      </c>
      <c r="V2" s="2">
        <v>542</v>
      </c>
      <c r="W2" s="2" t="s">
        <v>2</v>
      </c>
    </row>
    <row r="5" spans="21:31" x14ac:dyDescent="0.25">
      <c r="U5" s="8" t="s">
        <v>3</v>
      </c>
      <c r="V5" s="8"/>
      <c r="W5" s="8"/>
      <c r="X5" s="8" t="s">
        <v>4</v>
      </c>
      <c r="Y5" s="8"/>
      <c r="Z5" s="8"/>
      <c r="AC5" t="s">
        <v>19</v>
      </c>
    </row>
    <row r="6" spans="21:31" x14ac:dyDescent="0.25">
      <c r="U6" t="s">
        <v>5</v>
      </c>
      <c r="V6" s="8" t="s">
        <v>6</v>
      </c>
      <c r="W6" s="8"/>
      <c r="X6" t="s">
        <v>5</v>
      </c>
      <c r="Y6" s="8" t="s">
        <v>7</v>
      </c>
      <c r="Z6" s="8"/>
    </row>
    <row r="7" spans="21:31" x14ac:dyDescent="0.25">
      <c r="U7" t="s">
        <v>8</v>
      </c>
      <c r="V7" s="8">
        <v>145</v>
      </c>
      <c r="W7" s="8"/>
      <c r="X7" t="s">
        <v>11</v>
      </c>
      <c r="Y7" s="8">
        <v>200</v>
      </c>
      <c r="Z7" s="8"/>
      <c r="AC7">
        <f>SQRT(SQRT((64*V1*(V19^2)*Z16)/((PI()^3)*V10)))</f>
        <v>39.934096473137117</v>
      </c>
      <c r="AD7" t="s">
        <v>2</v>
      </c>
    </row>
    <row r="8" spans="21:31" x14ac:dyDescent="0.25">
      <c r="U8" t="s">
        <v>9</v>
      </c>
      <c r="V8" s="8">
        <v>90</v>
      </c>
      <c r="W8" s="8"/>
      <c r="X8" t="s">
        <v>56</v>
      </c>
      <c r="Y8" s="8">
        <v>30</v>
      </c>
      <c r="Z8" s="8"/>
    </row>
    <row r="9" spans="21:31" x14ac:dyDescent="0.25">
      <c r="U9" t="s">
        <v>10</v>
      </c>
      <c r="V9" s="8">
        <v>170</v>
      </c>
      <c r="W9" s="8"/>
      <c r="X9" t="s">
        <v>57</v>
      </c>
      <c r="Y9" s="8">
        <v>50</v>
      </c>
      <c r="Z9" s="8"/>
    </row>
    <row r="10" spans="21:31" x14ac:dyDescent="0.25">
      <c r="U10" t="s">
        <v>20</v>
      </c>
      <c r="V10" s="8">
        <v>206000</v>
      </c>
      <c r="W10" s="8"/>
      <c r="X10" t="s">
        <v>33</v>
      </c>
      <c r="Y10" s="8">
        <f>Y9</f>
        <v>50</v>
      </c>
      <c r="Z10" s="8"/>
      <c r="AC10" t="s">
        <v>31</v>
      </c>
      <c r="AD10" t="s">
        <v>2</v>
      </c>
      <c r="AE10" t="s">
        <v>41</v>
      </c>
    </row>
    <row r="11" spans="21:31" x14ac:dyDescent="0.25">
      <c r="U11" t="s">
        <v>33</v>
      </c>
      <c r="V11" s="8">
        <f>V7</f>
        <v>145</v>
      </c>
      <c r="W11" s="8"/>
      <c r="X11" t="s">
        <v>59</v>
      </c>
      <c r="Y11" s="8">
        <v>30</v>
      </c>
      <c r="Z11" s="8"/>
      <c r="AC11" t="s">
        <v>27</v>
      </c>
      <c r="AD11">
        <v>46</v>
      </c>
      <c r="AE11">
        <f>AD11/1000</f>
        <v>4.5999999999999999E-2</v>
      </c>
    </row>
    <row r="12" spans="21:31" x14ac:dyDescent="0.25">
      <c r="U12" t="s">
        <v>34</v>
      </c>
      <c r="V12" s="8">
        <f>0.15*V11</f>
        <v>21.75</v>
      </c>
      <c r="W12" s="8"/>
      <c r="X12" t="s">
        <v>34</v>
      </c>
      <c r="Y12" s="8">
        <f>0.8*Y10</f>
        <v>40</v>
      </c>
      <c r="Z12" s="8"/>
      <c r="AC12" t="s">
        <v>28</v>
      </c>
      <c r="AD12">
        <v>42</v>
      </c>
      <c r="AE12">
        <f t="shared" ref="AE12:AE15" si="0">AD12/1000</f>
        <v>4.2000000000000003E-2</v>
      </c>
    </row>
    <row r="13" spans="21:31" x14ac:dyDescent="0.25">
      <c r="X13" t="s">
        <v>58</v>
      </c>
      <c r="Y13" s="8">
        <f>Y11</f>
        <v>30</v>
      </c>
      <c r="Z13" s="8"/>
      <c r="AC13" t="s">
        <v>29</v>
      </c>
      <c r="AD13">
        <v>43</v>
      </c>
      <c r="AE13">
        <f t="shared" si="0"/>
        <v>4.2999999999999997E-2</v>
      </c>
    </row>
    <row r="14" spans="21:31" x14ac:dyDescent="0.25">
      <c r="U14" t="s">
        <v>15</v>
      </c>
      <c r="AC14" t="s">
        <v>30</v>
      </c>
      <c r="AD14">
        <v>51</v>
      </c>
      <c r="AE14">
        <f t="shared" si="0"/>
        <v>5.0999999999999997E-2</v>
      </c>
    </row>
    <row r="15" spans="21:31" x14ac:dyDescent="0.25">
      <c r="U15" t="s">
        <v>16</v>
      </c>
      <c r="V15">
        <f>V2*1.2</f>
        <v>650.4</v>
      </c>
      <c r="Y15" s="8" t="s">
        <v>22</v>
      </c>
      <c r="Z15" s="8"/>
      <c r="AA15" s="8"/>
      <c r="AC15" t="s">
        <v>54</v>
      </c>
      <c r="AD15">
        <v>50</v>
      </c>
      <c r="AE15">
        <f t="shared" si="0"/>
        <v>0.05</v>
      </c>
    </row>
    <row r="16" spans="21:31" x14ac:dyDescent="0.25">
      <c r="Y16" t="s">
        <v>23</v>
      </c>
      <c r="Z16">
        <v>5</v>
      </c>
    </row>
    <row r="17" spans="21:35" x14ac:dyDescent="0.25">
      <c r="U17" t="s">
        <v>12</v>
      </c>
    </row>
    <row r="18" spans="21:35" x14ac:dyDescent="0.25">
      <c r="U18" t="s">
        <v>13</v>
      </c>
      <c r="V18">
        <v>2</v>
      </c>
    </row>
    <row r="19" spans="21:35" x14ac:dyDescent="0.25">
      <c r="U19" t="s">
        <v>17</v>
      </c>
      <c r="V19">
        <f>V15*V18</f>
        <v>1300.8</v>
      </c>
    </row>
    <row r="20" spans="21:35" x14ac:dyDescent="0.25">
      <c r="U20" t="s">
        <v>14</v>
      </c>
    </row>
    <row r="22" spans="21:35" x14ac:dyDescent="0.25">
      <c r="Z22" s="8" t="s">
        <v>24</v>
      </c>
      <c r="AA22" s="8"/>
      <c r="AB22" s="8"/>
      <c r="AC22" s="8"/>
    </row>
    <row r="23" spans="21:35" x14ac:dyDescent="0.25">
      <c r="U23" t="s">
        <v>18</v>
      </c>
    </row>
    <row r="24" spans="21:35" x14ac:dyDescent="0.25">
      <c r="AC24" t="s">
        <v>25</v>
      </c>
      <c r="AD24">
        <v>8</v>
      </c>
    </row>
    <row r="25" spans="21:35" x14ac:dyDescent="0.25">
      <c r="U25" t="s">
        <v>32</v>
      </c>
      <c r="V25" s="1">
        <f>4*V19/AD12</f>
        <v>123.88571428571429</v>
      </c>
      <c r="AC25" t="s">
        <v>26</v>
      </c>
      <c r="AD25">
        <f>AD11</f>
        <v>46</v>
      </c>
    </row>
    <row r="26" spans="21:35" x14ac:dyDescent="0.25">
      <c r="AC26" s="8">
        <f>AD24/(PI()*AD25)</f>
        <v>5.5358241075441864E-2</v>
      </c>
      <c r="AD26" s="8"/>
      <c r="AE26" t="s">
        <v>39</v>
      </c>
      <c r="AF26" s="4">
        <f>ATAN(AC26)*180/PI()</f>
        <v>3.1685594953930836</v>
      </c>
    </row>
    <row r="27" spans="21:35" x14ac:dyDescent="0.25">
      <c r="AC27" s="8"/>
      <c r="AD27" s="8"/>
      <c r="AE27" t="s">
        <v>40</v>
      </c>
      <c r="AF27">
        <f>ATAN(AC26)</f>
        <v>5.5301795739939409E-2</v>
      </c>
    </row>
    <row r="31" spans="21:35" x14ac:dyDescent="0.25">
      <c r="AH31" t="s">
        <v>39</v>
      </c>
      <c r="AI31">
        <v>5.91</v>
      </c>
    </row>
    <row r="32" spans="21:35" x14ac:dyDescent="0.25">
      <c r="AH32" t="s">
        <v>40</v>
      </c>
      <c r="AI32">
        <f>AI31*PI()/180</f>
        <v>0.10314895879286487</v>
      </c>
    </row>
    <row r="38" spans="27:32" x14ac:dyDescent="0.25">
      <c r="AC38">
        <f>TAN(AF27+AI32)</f>
        <v>0.15979026381037179</v>
      </c>
    </row>
    <row r="41" spans="27:32" x14ac:dyDescent="0.25">
      <c r="AB41" s="8" t="s">
        <v>35</v>
      </c>
      <c r="AC41" s="8"/>
      <c r="AD41" s="8"/>
      <c r="AE41" s="8"/>
      <c r="AF41" s="8"/>
    </row>
    <row r="42" spans="27:32" x14ac:dyDescent="0.25">
      <c r="AB42" s="8"/>
      <c r="AC42" s="8"/>
      <c r="AD42" s="8"/>
      <c r="AE42" s="8"/>
      <c r="AF42" s="8"/>
    </row>
    <row r="44" spans="27:32" x14ac:dyDescent="0.25">
      <c r="AA44" t="s">
        <v>36</v>
      </c>
      <c r="AB44">
        <f>SQRT((4*V1)/(PI()*V12))</f>
        <v>41.906950205148263</v>
      </c>
      <c r="AC44" t="s">
        <v>2</v>
      </c>
      <c r="AE44" t="s">
        <v>91</v>
      </c>
      <c r="AF44">
        <v>45</v>
      </c>
    </row>
    <row r="45" spans="27:32" x14ac:dyDescent="0.25">
      <c r="AA45" t="s">
        <v>90</v>
      </c>
      <c r="AB45">
        <v>50</v>
      </c>
      <c r="AC45" t="s">
        <v>2</v>
      </c>
    </row>
    <row r="48" spans="27:32" x14ac:dyDescent="0.25">
      <c r="AB48" s="8" t="s">
        <v>37</v>
      </c>
      <c r="AC48" s="8"/>
      <c r="AD48" s="8"/>
      <c r="AE48" s="8"/>
      <c r="AF48" s="8"/>
    </row>
    <row r="49" spans="9:33" x14ac:dyDescent="0.25">
      <c r="AB49" s="8"/>
      <c r="AC49" s="8"/>
      <c r="AD49" s="8"/>
      <c r="AE49" s="8"/>
      <c r="AF49" s="8"/>
    </row>
    <row r="51" spans="9:33" x14ac:dyDescent="0.25">
      <c r="AA51" t="s">
        <v>38</v>
      </c>
      <c r="AB51" s="4">
        <f>0.5*V1*AE11*AC38</f>
        <v>110.25528202915653</v>
      </c>
      <c r="AC51" t="s">
        <v>44</v>
      </c>
    </row>
    <row r="55" spans="9:33" x14ac:dyDescent="0.25">
      <c r="AB55" s="8" t="s">
        <v>42</v>
      </c>
      <c r="AC55" s="8"/>
      <c r="AD55" s="8"/>
      <c r="AE55" s="8"/>
      <c r="AF55" s="8"/>
    </row>
    <row r="56" spans="9:33" x14ac:dyDescent="0.25">
      <c r="AB56" s="8"/>
      <c r="AC56" s="8"/>
      <c r="AD56" s="8"/>
      <c r="AE56" s="8"/>
      <c r="AF56" s="8"/>
    </row>
    <row r="57" spans="9:33" x14ac:dyDescent="0.25">
      <c r="AB57" t="s">
        <v>2</v>
      </c>
      <c r="AC57" t="s">
        <v>41</v>
      </c>
    </row>
    <row r="58" spans="9:33" x14ac:dyDescent="0.25">
      <c r="AA58" t="s">
        <v>45</v>
      </c>
      <c r="AB58" s="4">
        <f>2*46/4</f>
        <v>23</v>
      </c>
      <c r="AC58" s="3">
        <f>AB58/1000</f>
        <v>2.3E-2</v>
      </c>
      <c r="AE58" t="s">
        <v>47</v>
      </c>
      <c r="AF58">
        <v>0.15</v>
      </c>
    </row>
    <row r="59" spans="9:33" x14ac:dyDescent="0.25">
      <c r="AA59" t="s">
        <v>43</v>
      </c>
      <c r="AB59">
        <f>V1*AC58*AF58</f>
        <v>103.5</v>
      </c>
      <c r="AC59" t="s">
        <v>44</v>
      </c>
    </row>
    <row r="60" spans="9:33" x14ac:dyDescent="0.25">
      <c r="I60" s="7" t="s">
        <v>46</v>
      </c>
      <c r="W60" t="s">
        <v>49</v>
      </c>
    </row>
    <row r="61" spans="9:33" x14ac:dyDescent="0.25">
      <c r="I61">
        <v>105</v>
      </c>
      <c r="W61" t="s">
        <v>50</v>
      </c>
      <c r="AA61" t="s">
        <v>69</v>
      </c>
      <c r="AB61" s="4">
        <f>AB59+AB51</f>
        <v>213.75528202915655</v>
      </c>
      <c r="AC61" t="s">
        <v>44</v>
      </c>
      <c r="AE61" t="s">
        <v>69</v>
      </c>
      <c r="AF61">
        <f>AB61*1000</f>
        <v>213755.28202915654</v>
      </c>
      <c r="AG61" t="s">
        <v>71</v>
      </c>
    </row>
    <row r="62" spans="9:33" x14ac:dyDescent="0.25">
      <c r="AB62" s="8" t="s">
        <v>48</v>
      </c>
      <c r="AC62" s="8"/>
      <c r="AD62" s="8"/>
      <c r="AE62" s="8"/>
      <c r="AF62" s="8"/>
    </row>
    <row r="63" spans="9:33" x14ac:dyDescent="0.25">
      <c r="AB63" s="8"/>
      <c r="AC63" s="8"/>
      <c r="AD63" s="8"/>
      <c r="AE63" s="8"/>
      <c r="AF63" s="8"/>
    </row>
    <row r="65" spans="28:33" x14ac:dyDescent="0.25">
      <c r="AC65" s="4">
        <f>(4*V1)/(PI()*AD12^2)</f>
        <v>21.653733753999369</v>
      </c>
    </row>
    <row r="70" spans="28:33" x14ac:dyDescent="0.25">
      <c r="AC70" s="4">
        <f>(AF61)/(0.2*AD12^3)</f>
        <v>14.425769492303512</v>
      </c>
      <c r="AF70">
        <f>AB59+AB51</f>
        <v>213.75528202915655</v>
      </c>
      <c r="AG70">
        <f>42^3</f>
        <v>74088</v>
      </c>
    </row>
    <row r="71" spans="28:33" x14ac:dyDescent="0.25">
      <c r="AF71">
        <f>AF70/0.2</f>
        <v>1068.7764101457826</v>
      </c>
    </row>
    <row r="77" spans="28:33" x14ac:dyDescent="0.25">
      <c r="AB77" s="8" t="s">
        <v>51</v>
      </c>
      <c r="AC77" s="8"/>
      <c r="AD77" s="8"/>
      <c r="AE77" s="8"/>
      <c r="AF77" s="8"/>
    </row>
    <row r="78" spans="28:33" x14ac:dyDescent="0.25">
      <c r="AB78" s="8"/>
      <c r="AC78" s="8"/>
      <c r="AD78" s="8"/>
      <c r="AE78" s="8"/>
      <c r="AF78" s="8"/>
    </row>
    <row r="83" spans="27:33" x14ac:dyDescent="0.25">
      <c r="AF83" t="s">
        <v>52</v>
      </c>
      <c r="AG83" s="5">
        <f>V7/V8</f>
        <v>1.6111111111111112</v>
      </c>
    </row>
    <row r="85" spans="27:33" x14ac:dyDescent="0.25">
      <c r="AF85" s="5">
        <f>SQRT(AC65^2+(AG83*AC70)^2)</f>
        <v>31.765583922017054</v>
      </c>
    </row>
    <row r="91" spans="27:33" x14ac:dyDescent="0.25">
      <c r="AB91" s="8" t="s">
        <v>53</v>
      </c>
      <c r="AC91" s="8"/>
      <c r="AD91" s="8"/>
      <c r="AE91" s="8"/>
      <c r="AF91" s="8"/>
    </row>
    <row r="92" spans="27:33" x14ac:dyDescent="0.25">
      <c r="AB92" s="8"/>
      <c r="AC92" s="8"/>
      <c r="AD92" s="8"/>
      <c r="AE92" s="8"/>
      <c r="AF92" s="8"/>
    </row>
    <row r="94" spans="27:33" x14ac:dyDescent="0.25">
      <c r="AA94" t="s">
        <v>60</v>
      </c>
      <c r="AB94">
        <f>4*V1*AD24/(PI()*(AD15^2-AD13^2)*V12)</f>
        <v>21.581474353262998</v>
      </c>
      <c r="AC94" t="s">
        <v>2</v>
      </c>
    </row>
    <row r="95" spans="27:33" x14ac:dyDescent="0.25">
      <c r="AA95" t="s">
        <v>60</v>
      </c>
      <c r="AB95">
        <f>1.5*AD15</f>
        <v>75</v>
      </c>
      <c r="AC95" t="s">
        <v>2</v>
      </c>
    </row>
    <row r="96" spans="27:33" x14ac:dyDescent="0.25">
      <c r="AA96" t="s">
        <v>86</v>
      </c>
      <c r="AB96">
        <f>AB95+V2+23</f>
        <v>640</v>
      </c>
    </row>
    <row r="99" spans="27:32" x14ac:dyDescent="0.25">
      <c r="AB99" s="8" t="s">
        <v>55</v>
      </c>
      <c r="AC99" s="8"/>
      <c r="AD99" s="8"/>
      <c r="AE99" s="8"/>
      <c r="AF99" s="8"/>
    </row>
    <row r="100" spans="27:32" x14ac:dyDescent="0.25">
      <c r="AB100" s="8"/>
      <c r="AC100" s="8"/>
      <c r="AD100" s="8"/>
      <c r="AE100" s="8"/>
      <c r="AF100" s="8"/>
    </row>
    <row r="102" spans="27:32" x14ac:dyDescent="0.25">
      <c r="AA102" t="s">
        <v>61</v>
      </c>
      <c r="AB102" s="4">
        <f>SQRT(4*V1/(PI()*Y9)+AD14^2)</f>
        <v>58.008135005713619</v>
      </c>
    </row>
    <row r="103" spans="27:32" x14ac:dyDescent="0.25">
      <c r="AA103" t="s">
        <v>61</v>
      </c>
      <c r="AB103">
        <v>60</v>
      </c>
    </row>
    <row r="106" spans="27:32" x14ac:dyDescent="0.25">
      <c r="AB106" s="8" t="s">
        <v>62</v>
      </c>
      <c r="AC106" s="8"/>
      <c r="AD106" s="8"/>
      <c r="AE106" s="8"/>
      <c r="AF106" s="8"/>
    </row>
    <row r="107" spans="27:32" x14ac:dyDescent="0.25">
      <c r="AB107" s="8"/>
      <c r="AC107" s="8"/>
      <c r="AD107" s="8"/>
      <c r="AE107" s="8"/>
      <c r="AF107" s="8"/>
    </row>
    <row r="109" spans="27:32" x14ac:dyDescent="0.25">
      <c r="AA109" t="s">
        <v>63</v>
      </c>
      <c r="AB109" s="5">
        <f>SQRT(4*V1/(PI()*Y12)+AB103^2)</f>
        <v>67.490218984319284</v>
      </c>
    </row>
    <row r="110" spans="27:32" x14ac:dyDescent="0.25">
      <c r="AA110" t="s">
        <v>63</v>
      </c>
      <c r="AB110">
        <v>70</v>
      </c>
    </row>
    <row r="113" spans="27:32" x14ac:dyDescent="0.25">
      <c r="AB113" s="8" t="s">
        <v>64</v>
      </c>
      <c r="AC113" s="8"/>
      <c r="AD113" s="8"/>
      <c r="AE113" s="8"/>
      <c r="AF113" s="8"/>
    </row>
    <row r="114" spans="27:32" x14ac:dyDescent="0.25">
      <c r="AB114" s="8"/>
      <c r="AC114" s="8"/>
      <c r="AD114" s="8"/>
      <c r="AE114" s="8"/>
      <c r="AF114" s="8"/>
    </row>
    <row r="116" spans="27:32" x14ac:dyDescent="0.25">
      <c r="AA116" t="s">
        <v>66</v>
      </c>
      <c r="AB116">
        <f>V1/(PI()*Y13*AB103)</f>
        <v>5.3051647697298447</v>
      </c>
    </row>
    <row r="117" spans="27:32" x14ac:dyDescent="0.25">
      <c r="AA117" t="s">
        <v>65</v>
      </c>
      <c r="AB117">
        <v>7</v>
      </c>
    </row>
    <row r="120" spans="27:32" x14ac:dyDescent="0.25">
      <c r="AB120" s="8" t="s">
        <v>67</v>
      </c>
      <c r="AC120" s="8"/>
      <c r="AD120" s="8"/>
      <c r="AE120" s="8"/>
      <c r="AF120" s="8"/>
    </row>
    <row r="121" spans="27:32" x14ac:dyDescent="0.25">
      <c r="AB121" s="8"/>
      <c r="AC121" s="8"/>
      <c r="AD121" s="8"/>
      <c r="AE121" s="8"/>
      <c r="AF121" s="8"/>
    </row>
    <row r="123" spans="27:32" x14ac:dyDescent="0.25">
      <c r="AA123" t="s">
        <v>68</v>
      </c>
      <c r="AE123" t="s">
        <v>92</v>
      </c>
      <c r="AF123">
        <f>(2*(AB126^3))/12</f>
        <v>1543.5</v>
      </c>
    </row>
    <row r="124" spans="27:32" x14ac:dyDescent="0.25">
      <c r="AE124" t="s">
        <v>93</v>
      </c>
      <c r="AF124">
        <f>AB61/AF123*1000</f>
        <v>138.48738712611373</v>
      </c>
    </row>
    <row r="125" spans="27:32" x14ac:dyDescent="0.25">
      <c r="AA125" t="s">
        <v>70</v>
      </c>
      <c r="AB125">
        <f>POWER((12*AF61)/(SQRT(2)*V9),(1/3))</f>
        <v>22.014630170008644</v>
      </c>
    </row>
    <row r="126" spans="27:32" x14ac:dyDescent="0.25">
      <c r="AA126" t="s">
        <v>70</v>
      </c>
      <c r="AB126">
        <v>21</v>
      </c>
    </row>
    <row r="128" spans="27:32" x14ac:dyDescent="0.25">
      <c r="AB128" t="s">
        <v>89</v>
      </c>
    </row>
    <row r="130" spans="27:32" x14ac:dyDescent="0.25">
      <c r="AB130" s="8" t="s">
        <v>72</v>
      </c>
      <c r="AC130" s="8"/>
      <c r="AD130" s="8"/>
      <c r="AE130" s="8"/>
      <c r="AF130" s="8"/>
    </row>
    <row r="131" spans="27:32" x14ac:dyDescent="0.25">
      <c r="AB131" s="8"/>
      <c r="AC131" s="8"/>
      <c r="AD131" s="8"/>
      <c r="AE131" s="8"/>
      <c r="AF131" s="8"/>
    </row>
    <row r="133" spans="27:32" x14ac:dyDescent="0.25">
      <c r="AA133" t="s">
        <v>74</v>
      </c>
      <c r="AB133" s="4">
        <f>AB61</f>
        <v>213.75528202915655</v>
      </c>
      <c r="AC133" t="s">
        <v>44</v>
      </c>
    </row>
    <row r="134" spans="27:32" x14ac:dyDescent="0.25">
      <c r="AA134" t="s">
        <v>73</v>
      </c>
      <c r="AB134">
        <v>250</v>
      </c>
      <c r="AC134" t="s">
        <v>21</v>
      </c>
    </row>
    <row r="135" spans="27:32" x14ac:dyDescent="0.25">
      <c r="AA135" t="s">
        <v>16</v>
      </c>
      <c r="AB135" s="3">
        <f>AB133/AB134</f>
        <v>0.85502112811662623</v>
      </c>
      <c r="AC135" t="s">
        <v>41</v>
      </c>
      <c r="AD135" t="s">
        <v>76</v>
      </c>
      <c r="AE135" s="6">
        <f>AB135*1000</f>
        <v>855.02112811662619</v>
      </c>
      <c r="AF135" t="s">
        <v>2</v>
      </c>
    </row>
    <row r="136" spans="27:32" x14ac:dyDescent="0.25">
      <c r="AA136" t="s">
        <v>75</v>
      </c>
      <c r="AB136">
        <v>90</v>
      </c>
    </row>
    <row r="138" spans="27:32" x14ac:dyDescent="0.25">
      <c r="AA138" t="s">
        <v>77</v>
      </c>
      <c r="AB138" s="6">
        <f>AE135+AB136+AD15+2*15</f>
        <v>1025.0211281166262</v>
      </c>
      <c r="AC138" t="s">
        <v>2</v>
      </c>
    </row>
    <row r="141" spans="27:32" x14ac:dyDescent="0.25">
      <c r="AB141" s="8" t="s">
        <v>78</v>
      </c>
      <c r="AC141" s="8"/>
      <c r="AD141" s="8"/>
      <c r="AE141" s="8"/>
      <c r="AF141" s="8"/>
    </row>
    <row r="142" spans="27:32" x14ac:dyDescent="0.25">
      <c r="AB142" s="8"/>
      <c r="AC142" s="8"/>
      <c r="AD142" s="8"/>
      <c r="AE142" s="8"/>
      <c r="AF142" s="8"/>
    </row>
    <row r="144" spans="27:32" x14ac:dyDescent="0.25">
      <c r="AA144" t="s">
        <v>79</v>
      </c>
      <c r="AB144">
        <f>AB95+V2+23</f>
        <v>640</v>
      </c>
      <c r="AD144" t="s">
        <v>82</v>
      </c>
      <c r="AE144">
        <f>AB103</f>
        <v>60</v>
      </c>
    </row>
    <row r="145" spans="27:32" x14ac:dyDescent="0.25">
      <c r="AA145" t="s">
        <v>80</v>
      </c>
      <c r="AB145">
        <f>AB144*2</f>
        <v>1280</v>
      </c>
      <c r="AD145" t="s">
        <v>83</v>
      </c>
      <c r="AE145">
        <v>70</v>
      </c>
    </row>
    <row r="146" spans="27:32" x14ac:dyDescent="0.25">
      <c r="AA146" t="s">
        <v>81</v>
      </c>
      <c r="AB146">
        <f>4*AB145/(SQRT(AE144^2+(AE145)^2))</f>
        <v>55.534197201575978</v>
      </c>
    </row>
    <row r="149" spans="27:32" x14ac:dyDescent="0.25">
      <c r="AB149" s="8" t="s">
        <v>84</v>
      </c>
      <c r="AC149" s="8"/>
      <c r="AD149" s="8"/>
      <c r="AE149" s="8"/>
      <c r="AF149" s="8"/>
    </row>
    <row r="150" spans="27:32" x14ac:dyDescent="0.25">
      <c r="AB150" s="8"/>
      <c r="AC150" s="8"/>
      <c r="AD150" s="8"/>
      <c r="AE150" s="8"/>
      <c r="AF150" s="8"/>
    </row>
    <row r="152" spans="27:32" x14ac:dyDescent="0.25">
      <c r="AA152" t="s">
        <v>85</v>
      </c>
      <c r="AB152">
        <f>4*V1/(PI()*((AE145^2)-(AE144^2)))</f>
        <v>29.382451032349909</v>
      </c>
      <c r="AD152" t="s">
        <v>87</v>
      </c>
      <c r="AE152">
        <v>280</v>
      </c>
    </row>
    <row r="153" spans="27:32" x14ac:dyDescent="0.25">
      <c r="AD153" t="s">
        <v>88</v>
      </c>
      <c r="AE153">
        <f>AE152/Z16</f>
        <v>56</v>
      </c>
    </row>
    <row r="1048576" spans="23:24" x14ac:dyDescent="0.25">
      <c r="W1048576" s="8"/>
      <c r="X1048576" s="8"/>
    </row>
  </sheetData>
  <mergeCells count="34">
    <mergeCell ref="U5:W5"/>
    <mergeCell ref="X5:Z5"/>
    <mergeCell ref="V6:W6"/>
    <mergeCell ref="V7:W7"/>
    <mergeCell ref="V8:W8"/>
    <mergeCell ref="Y6:Z6"/>
    <mergeCell ref="Y7:Z7"/>
    <mergeCell ref="W1048576:X1048576"/>
    <mergeCell ref="Y8:Z8"/>
    <mergeCell ref="Y9:Z9"/>
    <mergeCell ref="V10:W10"/>
    <mergeCell ref="Z22:AC22"/>
    <mergeCell ref="AC26:AD27"/>
    <mergeCell ref="V11:W11"/>
    <mergeCell ref="V12:W12"/>
    <mergeCell ref="AB41:AF42"/>
    <mergeCell ref="V9:W9"/>
    <mergeCell ref="AB120:AF121"/>
    <mergeCell ref="AB130:AF131"/>
    <mergeCell ref="AB141:AF142"/>
    <mergeCell ref="AB149:AF150"/>
    <mergeCell ref="AB113:AF114"/>
    <mergeCell ref="Y15:AA15"/>
    <mergeCell ref="Y10:Z10"/>
    <mergeCell ref="Y11:Z11"/>
    <mergeCell ref="Y12:Z12"/>
    <mergeCell ref="Y13:Z13"/>
    <mergeCell ref="AB106:AF107"/>
    <mergeCell ref="AB48:AF49"/>
    <mergeCell ref="AB55:AF56"/>
    <mergeCell ref="AB62:AF63"/>
    <mergeCell ref="AB77:AF78"/>
    <mergeCell ref="AB91:AF92"/>
    <mergeCell ref="AB99:AF100"/>
  </mergeCells>
  <hyperlinks>
    <hyperlink ref="I60" r:id="rId1" xr:uid="{367D2E51-8EF6-4504-B92F-82160CA8907B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2AB3B9D08C977478C88C845525827D3" ma:contentTypeVersion="11" ma:contentTypeDescription="Utwórz nowy dokument." ma:contentTypeScope="" ma:versionID="cbc62c4b14ca1848674b4e3c2fdec789">
  <xsd:schema xmlns:xsd="http://www.w3.org/2001/XMLSchema" xmlns:xs="http://www.w3.org/2001/XMLSchema" xmlns:p="http://schemas.microsoft.com/office/2006/metadata/properties" xmlns:ns3="e95f568c-4898-40bb-940e-7f608164ee8c" xmlns:ns4="86dca379-76b0-44e7-bc1b-865f0c3b0745" targetNamespace="http://schemas.microsoft.com/office/2006/metadata/properties" ma:root="true" ma:fieldsID="dd744a3d003cff767a8a69d2fff29e3a" ns3:_="" ns4:_="">
    <xsd:import namespace="e95f568c-4898-40bb-940e-7f608164ee8c"/>
    <xsd:import namespace="86dca379-76b0-44e7-bc1b-865f0c3b07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f568c-4898-40bb-940e-7f608164ee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ca379-76b0-44e7-bc1b-865f0c3b0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5f568c-4898-40bb-940e-7f608164ee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58EB05-64C8-40E9-A12A-5ADA01528D2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95f568c-4898-40bb-940e-7f608164ee8c"/>
    <ds:schemaRef ds:uri="86dca379-76b0-44e7-bc1b-865f0c3b074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7E6B9-79AB-4F82-AF8E-F0A7E88A45CF}">
  <ds:schemaRefs>
    <ds:schemaRef ds:uri="http://purl.org/dc/dcmitype/"/>
    <ds:schemaRef ds:uri="http://purl.org/dc/elements/1.1/"/>
    <ds:schemaRef ds:uri="http://purl.org/dc/terms/"/>
    <ds:schemaRef ds:uri="e95f568c-4898-40bb-940e-7f608164ee8c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86dca379-76b0-44e7-bc1b-865f0c3b074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2130B43-FB49-4981-A289-3831313F32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Witmanowicz Kamil</dc:creator>
  <cp:lastModifiedBy>Witmanowicz Kamil</cp:lastModifiedBy>
  <dcterms:created xsi:type="dcterms:W3CDTF">2023-11-16T19:30:32Z</dcterms:created>
  <dcterms:modified xsi:type="dcterms:W3CDTF">2023-11-30T22:06:47Z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0x010100E2AB3B9D08C977478C88C845525827D3</vt:lpwstr>
  </property>
</Properties>
</file>