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2"/>
  <workbookPr defaultThemeVersion="166925"/>
  <mc:AlternateContent xmlns:mc="http://schemas.openxmlformats.org/markup-compatibility/2006">
    <mc:Choice Requires="x15">
      <x15ac:absPath xmlns:x15ac="http://schemas.microsoft.com/office/spreadsheetml/2010/11/ac" url="https://correo2urledu.sharepoint.com/sites/Financiera350pm2021/Documentos compartidos/Grupo 8 Carlos Eduardo Arocha/"/>
    </mc:Choice>
  </mc:AlternateContent>
  <xr:revisionPtr revIDLastSave="0" documentId="8_{6440C3A3-B972-4414-A4AD-4D9852A6CF94}" xr6:coauthVersionLast="47" xr6:coauthVersionMax="47" xr10:uidLastSave="{00000000-0000-0000-0000-000000000000}"/>
  <bookViews>
    <workbookView xWindow="0" yWindow="0" windowWidth="9510" windowHeight="6900" xr2:uid="{00000000-000D-0000-FFFF-FFFF00000000}"/>
  </bookViews>
  <sheets>
    <sheet name="Floresta, S.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7" i="1" l="1"/>
  <c r="B71" i="1"/>
  <c r="B63" i="1"/>
  <c r="H54" i="1"/>
  <c r="D63" i="1"/>
  <c r="B56" i="1"/>
  <c r="I15" i="1"/>
  <c r="D33" i="1"/>
  <c r="H51" i="1"/>
  <c r="H53" i="1" s="1"/>
  <c r="B52" i="1"/>
  <c r="B41" i="1"/>
  <c r="D34" i="1"/>
  <c r="F34" i="1"/>
  <c r="F33" i="1"/>
  <c r="D25" i="1"/>
  <c r="F25" i="1" s="1"/>
  <c r="D24" i="1"/>
  <c r="D15" i="1"/>
  <c r="F15" i="1" s="1"/>
  <c r="D13" i="1"/>
  <c r="D14" i="1"/>
  <c r="F14" i="1" s="1"/>
  <c r="D29" i="1"/>
  <c r="F29" i="1" s="1"/>
  <c r="D28" i="1"/>
  <c r="D18" i="1"/>
  <c r="B36" i="1"/>
  <c r="M39" i="1" s="1"/>
  <c r="B51" i="1"/>
  <c r="B30" i="1"/>
  <c r="B26" i="1"/>
  <c r="I14" i="1" s="1"/>
  <c r="B20" i="1"/>
  <c r="B16" i="1"/>
  <c r="B53" i="1" l="1"/>
  <c r="M25" i="1"/>
  <c r="M15" i="1"/>
  <c r="M12" i="1"/>
  <c r="D19" i="1"/>
  <c r="F18" i="1"/>
  <c r="F52" i="1"/>
  <c r="F28" i="1"/>
  <c r="D16" i="1"/>
  <c r="F13" i="1"/>
  <c r="D26" i="1"/>
  <c r="F24" i="1"/>
  <c r="C54" i="1"/>
  <c r="D51" i="1"/>
  <c r="L25" i="1" s="1"/>
  <c r="C51" i="1"/>
  <c r="C52" i="1"/>
  <c r="B55" i="1"/>
  <c r="B37" i="1"/>
  <c r="B21" i="1"/>
  <c r="M18" i="1" s="1"/>
  <c r="C16" i="1"/>
  <c r="C20" i="1"/>
  <c r="M29" i="1" l="1"/>
  <c r="B58" i="1"/>
  <c r="B59" i="1" s="1"/>
  <c r="M21" i="1"/>
  <c r="D30" i="1"/>
  <c r="H14" i="1"/>
  <c r="C55" i="1"/>
  <c r="L29" i="1" s="1"/>
  <c r="B57" i="1"/>
  <c r="M36" i="1"/>
  <c r="M34" i="1"/>
  <c r="F51" i="1"/>
  <c r="F16" i="1"/>
  <c r="L15" i="1"/>
  <c r="L12" i="1"/>
  <c r="C53" i="1"/>
  <c r="C13" i="1"/>
  <c r="C14" i="1"/>
  <c r="F26" i="1"/>
  <c r="F19" i="1"/>
  <c r="D53" i="1"/>
  <c r="E51" i="1"/>
  <c r="E52" i="1"/>
  <c r="D20" i="1"/>
  <c r="F54" i="1"/>
  <c r="C37" i="1"/>
  <c r="C35" i="1"/>
  <c r="C34" i="1"/>
  <c r="C33" i="1"/>
  <c r="C29" i="1"/>
  <c r="C28" i="1"/>
  <c r="C25" i="1"/>
  <c r="C24" i="1"/>
  <c r="C26" i="1"/>
  <c r="C30" i="1"/>
  <c r="C36" i="1"/>
  <c r="C15" i="1"/>
  <c r="C18" i="1"/>
  <c r="C19" i="1"/>
  <c r="C21" i="1"/>
  <c r="H55" i="1" l="1"/>
  <c r="C58" i="1"/>
  <c r="M31" i="1"/>
  <c r="F20" i="1"/>
  <c r="D21" i="1"/>
  <c r="E53" i="1"/>
  <c r="F53" i="1"/>
  <c r="F30" i="1"/>
  <c r="L21" i="1"/>
  <c r="E54" i="1"/>
  <c r="F21" i="1"/>
  <c r="L36" i="1" l="1"/>
  <c r="L18" i="1"/>
  <c r="L34" i="1"/>
  <c r="F55" i="1"/>
  <c r="D57" i="1"/>
  <c r="D58" i="1" s="1"/>
  <c r="D59" i="1"/>
  <c r="E55" i="1"/>
  <c r="C59" i="1"/>
  <c r="E13" i="1"/>
  <c r="E21" i="1"/>
  <c r="E18" i="1"/>
  <c r="E14" i="1"/>
  <c r="E15" i="1"/>
  <c r="E16" i="1"/>
  <c r="E19" i="1"/>
  <c r="E20" i="1"/>
  <c r="F58" i="1" l="1"/>
  <c r="L31" i="1"/>
  <c r="F59" i="1"/>
  <c r="E58" i="1"/>
  <c r="E59" i="1" l="1"/>
  <c r="H15" i="1" l="1"/>
  <c r="D36" i="1"/>
  <c r="L39" i="1" s="1"/>
  <c r="D37" i="1" l="1"/>
  <c r="B39" i="1" s="1"/>
  <c r="F35" i="1"/>
  <c r="F36" i="1" l="1"/>
  <c r="E36" i="1"/>
  <c r="F37" i="1" l="1"/>
  <c r="E34" i="1"/>
  <c r="E37" i="1"/>
  <c r="E33" i="1"/>
  <c r="E29" i="1"/>
  <c r="E28" i="1"/>
  <c r="E25" i="1"/>
  <c r="E24" i="1"/>
  <c r="E26" i="1"/>
  <c r="E30" i="1"/>
  <c r="E35" i="1"/>
</calcChain>
</file>

<file path=xl/sharedStrings.xml><?xml version="1.0" encoding="utf-8"?>
<sst xmlns="http://schemas.openxmlformats.org/spreadsheetml/2006/main" count="141" uniqueCount="112">
  <si>
    <t>Balance General</t>
  </si>
  <si>
    <t>Floresta, S.A</t>
  </si>
  <si>
    <t>Al 31 de diciembre de 2020</t>
  </si>
  <si>
    <t>Expresado en miles de quetzales</t>
  </si>
  <si>
    <t>Analisis vertical</t>
  </si>
  <si>
    <t>Analisis Horizontal</t>
  </si>
  <si>
    <t>RAZONES DE LIQUIDEZ</t>
  </si>
  <si>
    <t> </t>
  </si>
  <si>
    <t>ACTIVOS</t>
  </si>
  <si>
    <t>%</t>
  </si>
  <si>
    <t>Cambio %</t>
  </si>
  <si>
    <t>Razón Circulante</t>
  </si>
  <si>
    <t>Activo Corriente</t>
  </si>
  <si>
    <t>Por cada dólar que tiene que pagar a corto plazo posee 20,45 para cubrirlo.</t>
  </si>
  <si>
    <t>Efectivo</t>
  </si>
  <si>
    <t>Mezcla de Capital Propio-Ajeno</t>
  </si>
  <si>
    <t>(Liquidez Corriente)</t>
  </si>
  <si>
    <t>Pasivo Corriente</t>
  </si>
  <si>
    <t xml:space="preserve">Cuentas por Cobrar </t>
  </si>
  <si>
    <t>Capital Ajeno</t>
  </si>
  <si>
    <t>Por cada dólar que la empresa debe en el CP, en el 2021 tiene 11,82 centavos para cubrirla si su inventario no fuera utilizado. Se mantuvo la capacidad del 2019 al 2020.</t>
  </si>
  <si>
    <t>Inventario</t>
  </si>
  <si>
    <t>Capital Propio</t>
  </si>
  <si>
    <t>Razón Rápida</t>
  </si>
  <si>
    <t>Activo Corriente - Inventarios</t>
  </si>
  <si>
    <t>Activos Corrientes</t>
  </si>
  <si>
    <t>(Prueba Ácida)</t>
  </si>
  <si>
    <t>ADMINISTRACIÓN DE DEUDAS</t>
  </si>
  <si>
    <t>Esta empresa posee un nivel de endeudamiento bastante alto, ya que debe más de la mitad de lo que posee.  En el 2021, un 58,40% de sus activos han sido financiado por fuentes externas de la empresa. La probabilidad de no poder pagar sus deudas disminuyò del 2021 al 2020.</t>
  </si>
  <si>
    <t>Planta y Equipo</t>
  </si>
  <si>
    <t>Deuda Total</t>
  </si>
  <si>
    <t>Pasivo Total</t>
  </si>
  <si>
    <t>Deprecición Acumulada</t>
  </si>
  <si>
    <t>(Nivel de Endeudamiento)</t>
  </si>
  <si>
    <t>Activos Totales</t>
  </si>
  <si>
    <t>Activos No Corrientes</t>
  </si>
  <si>
    <t>TOTAL DE ACTIVOS</t>
  </si>
  <si>
    <t>Rotación de Intereses</t>
  </si>
  <si>
    <t>EBIT (en español: UAII)</t>
  </si>
  <si>
    <t xml:space="preserve">La capacidad de pago de los intereses por deuda obtuvo un leve aumento del 2020 al 2021.  </t>
  </si>
  <si>
    <t>(Razón de Cobertura de Interés Fijo)</t>
  </si>
  <si>
    <t>Cargo por Intereses</t>
  </si>
  <si>
    <t>PASIVOS</t>
  </si>
  <si>
    <t>Cuentas por Pagar</t>
  </si>
  <si>
    <t>RENTABILIDAD</t>
  </si>
  <si>
    <t>Gastos Devengados</t>
  </si>
  <si>
    <t>Margen de Utilidad bruta</t>
  </si>
  <si>
    <t>Ventas - Costo de Ventas</t>
  </si>
  <si>
    <t xml:space="preserve">De las ventas que se generaron el el 2021, un 22% se utilizó para cubrir el costo de ventas, por lo que le ha quedado mas del 78% para cubrir el resto de gastos.  </t>
  </si>
  <si>
    <t>Pasivos Corrientes</t>
  </si>
  <si>
    <t>Ventas</t>
  </si>
  <si>
    <t>Documentos por Pagar</t>
  </si>
  <si>
    <t>Margen de Utilidad Operativa</t>
  </si>
  <si>
    <t>Utilidad Operativa</t>
  </si>
  <si>
    <t xml:space="preserve">Por cada dólar que generó en ventas tiene alrededor de 78 centavos para cubrir, gastos de operación, intereses, impuestos y posibles dividendos.  Una vez pagados sus gastos de operación le quedan 26 centavos por cada dólar de ventas para cubrir intereses, impuestos y dividendos. </t>
  </si>
  <si>
    <t>Bonos a Largo Plazo</t>
  </si>
  <si>
    <t xml:space="preserve">Total de Pasivo </t>
  </si>
  <si>
    <t>Margen de Utilidad Neta</t>
  </si>
  <si>
    <t>Utilidad Disponible para accionista común</t>
  </si>
  <si>
    <t>El pocentaje que la empresa logró obtener de ganancia neta sobre sus ventas fue de 3.9% luego que ya cubrió todos sus gastos y obligaciones.  Este es el % que le ha quedado a los accionistas como ganancia del período.  En el 2019, era ligeramente superior pues tenía casi 4.3 centavos disponibles por cada dólar vendido.</t>
  </si>
  <si>
    <t xml:space="preserve">CAPITAL </t>
  </si>
  <si>
    <t>Capital preferente</t>
  </si>
  <si>
    <t>Capital Común</t>
  </si>
  <si>
    <t>Generación Básica de Utilidades</t>
  </si>
  <si>
    <t>EBIT</t>
  </si>
  <si>
    <t>La capacidad de la empresa para generar utilidades operativas a partir de sus activos se ve disminuido del 2020 al 2021, ya que baja del 73 al 67%.</t>
  </si>
  <si>
    <t>Utilidad Retenida</t>
  </si>
  <si>
    <t>Total Capital</t>
  </si>
  <si>
    <t>Rendimiento sobre Activos (ROA)</t>
  </si>
  <si>
    <t xml:space="preserve">En el 2020 se tenía 4.73 centavos de ganancia por cada dólar invertido en activos, en el 2021 disminuyó a menos de 3.80 centavos.  Por lo que la efectividad de la empresa disminuyó para aprovechar los activos.  </t>
  </si>
  <si>
    <t>TOTAL PASIVO MAS CAPITAL CONTABLE</t>
  </si>
  <si>
    <t>De manera similar, la empresa disminuyó el aprovechamiento de la inversión del accionista común pues pasó de generar 14 centavos por cada dólar invertido (en capital) a 12 centavos.</t>
  </si>
  <si>
    <t>FAN</t>
  </si>
  <si>
    <t>Rendimiento sobre Capital Contable</t>
  </si>
  <si>
    <t>(ROE)</t>
  </si>
  <si>
    <t>Capital Contable Común</t>
  </si>
  <si>
    <t>% de depreciacion Lineal</t>
  </si>
  <si>
    <t xml:space="preserve">Ventas </t>
  </si>
  <si>
    <t>Ganancias por Acción</t>
  </si>
  <si>
    <t>NA</t>
  </si>
  <si>
    <t>NO APLICA, NO SE CUENTA CON EL NUMERO DE ACCIONES COMUNES</t>
  </si>
  <si>
    <t>Precio por unidad</t>
  </si>
  <si>
    <t>Número de Acciones Comunes</t>
  </si>
  <si>
    <t xml:space="preserve">Tasa Impositiva </t>
  </si>
  <si>
    <t>Floresta SA</t>
  </si>
  <si>
    <t xml:space="preserve">Estado de Resultados </t>
  </si>
  <si>
    <t>Estado de Utilidades Retenidas</t>
  </si>
  <si>
    <t>Conclusiones: se redujo la deuda, la empresa va mejorando, aumento el margen de utilidada. La empresa mejorò considerablemente, aumento la rotacion del inventario, disminuyo la deuda total.</t>
  </si>
  <si>
    <t>Del 01 de enero al 31 de diciembre de 2020</t>
  </si>
  <si>
    <t>Expresado en Miles de Quetzales</t>
  </si>
  <si>
    <t>Del 01 de enero al 31 de diciembre del 2021</t>
  </si>
  <si>
    <t>Ingresos por ventas</t>
  </si>
  <si>
    <t>Saldo al inicio del Período</t>
  </si>
  <si>
    <t>(-) Costo de ventas</t>
  </si>
  <si>
    <t>(+) Utilidad del Período</t>
  </si>
  <si>
    <t>Utilidad Bruta</t>
  </si>
  <si>
    <t>Utilidad disponible para los accionistas comunes y preferentes</t>
  </si>
  <si>
    <t>(-) Gastos operativos</t>
  </si>
  <si>
    <t>(-) Pago de dividendos preferentes</t>
  </si>
  <si>
    <t>Utilidad neta antes de impuestos e intereses</t>
  </si>
  <si>
    <t>Utilidad disponible para los accionistas comunes</t>
  </si>
  <si>
    <t>(-) intereses</t>
  </si>
  <si>
    <t>(-) Pago de dividendos comunes</t>
  </si>
  <si>
    <t>Uitilidad antes de impuestos</t>
  </si>
  <si>
    <t>Saldo al final del Período</t>
  </si>
  <si>
    <t>(-) Impuestos (tasa 25%)</t>
  </si>
  <si>
    <t>Utilidad neta</t>
  </si>
  <si>
    <t>Informacion extra</t>
  </si>
  <si>
    <t>Dividendos preferetes</t>
  </si>
  <si>
    <t>Utilidad Dispónible para comunes</t>
  </si>
  <si>
    <t>Dividendos acciones comunes</t>
  </si>
  <si>
    <t>Utilidades Retenidas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</si>
</sst>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164" formatCode="&quot;Q&quot;#,##0.00"/>
    <numFmt numFmtId="165" formatCode="0.00_);[Red]\(0.00\)"/>
    <numFmt numFmtId="166" formatCode="_-&quot;Q&quot;* #,##0.00_-;\-&quot;Q&quot;* #,##0.00_-;_-&quot;Q&quot;* &quot;-&quot;??_-;_-@_-"/>
    <numFmt numFmtId="167" formatCode="&quot;Q&quot;#,##0.000"/>
    <numFmt numFmtId="168" formatCode="#,##0.000"/>
    <numFmt numFmtId="169" formatCode="_(* #,##0.00_);_(* \(#,##0.00\);_(* &quot;-&quot;??_);_(@_)"/>
  </numFmts>
  <fonts count="23">
    <font>
      <sz val="11"/>
      <color theme="1"/>
      <name val="Calibri"/>
      <family val="2"/>
      <scheme val="minor"/>
    </font>
    <font>
      <b/>
      <sz val="11"/>
      <color theme="1"/>
      <name val="Calibri"/>
      <family val="2"/>
      <scheme val="minor"/>
    </font>
    <font>
      <sz val="11"/>
      <color theme="1"/>
      <name val="Calibri"/>
      <family val="2"/>
      <scheme val="minor"/>
    </font>
    <font>
      <sz val="10"/>
      <name val="Calibri Light"/>
    </font>
    <font>
      <sz val="10"/>
      <color rgb="FF000000"/>
      <name val="Calibri Light"/>
    </font>
    <font>
      <sz val="10"/>
      <color rgb="FFFF0000"/>
      <name val="Calibri Light"/>
    </font>
    <font>
      <b/>
      <sz val="9"/>
      <color rgb="FF000000"/>
      <name val="Century Gothic"/>
    </font>
    <font>
      <sz val="10"/>
      <color rgb="FF000000"/>
      <name val="Calibri"/>
      <family val="2"/>
      <scheme val="minor"/>
    </font>
    <font>
      <sz val="11"/>
      <color rgb="FF000000"/>
      <name val="Calibri"/>
      <family val="2"/>
      <scheme val="minor"/>
    </font>
    <font>
      <sz val="9"/>
      <color rgb="FF000000"/>
      <name val="Century Gothic"/>
    </font>
    <font>
      <b/>
      <sz val="11"/>
      <color rgb="FF000000"/>
      <name val="Calibri"/>
      <family val="2"/>
      <scheme val="minor"/>
    </font>
    <font>
      <b/>
      <sz val="11"/>
      <color rgb="FF0070C0"/>
      <name val="Calibri"/>
      <family val="2"/>
      <scheme val="minor"/>
    </font>
    <font>
      <sz val="11"/>
      <color rgb="FF0070C0"/>
      <name val="Calibri"/>
      <family val="2"/>
      <scheme val="minor"/>
    </font>
    <font>
      <u/>
      <sz val="11"/>
      <color rgb="FF000000"/>
      <name val="Calibri"/>
      <family val="2"/>
      <scheme val="minor"/>
    </font>
    <font>
      <i/>
      <sz val="11"/>
      <color rgb="FF000000"/>
      <name val="Calibri"/>
      <family val="2"/>
      <scheme val="minor"/>
    </font>
    <font>
      <b/>
      <sz val="11"/>
      <color rgb="FFED7D31"/>
      <name val="Calibri"/>
      <family val="2"/>
      <scheme val="minor"/>
    </font>
    <font>
      <sz val="11"/>
      <color rgb="FFED7D31"/>
      <name val="Calibri"/>
      <family val="2"/>
      <scheme val="minor"/>
    </font>
    <font>
      <sz val="9"/>
      <color rgb="FF5B9BD5"/>
      <name val="Century Gothic"/>
    </font>
    <font>
      <b/>
      <sz val="11"/>
      <color rgb="FF5B9BD5"/>
      <name val="Calibri"/>
      <family val="2"/>
      <scheme val="minor"/>
    </font>
    <font>
      <b/>
      <sz val="11"/>
      <color rgb="FF000000"/>
      <name val="Calibri"/>
      <family val="2"/>
    </font>
    <font>
      <sz val="11"/>
      <color rgb="FF000000"/>
      <name val="Calibri"/>
      <family val="2"/>
    </font>
    <font>
      <sz val="11"/>
      <name val="Calibri Light"/>
    </font>
    <font>
      <sz val="11"/>
      <color rgb="FF000000"/>
      <name val="Calibri Light"/>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92D050"/>
        <bgColor rgb="FF000000"/>
      </patternFill>
    </fill>
    <fill>
      <patternFill patternType="solid">
        <fgColor rgb="FFFFFFFF"/>
        <bgColor rgb="FF000000"/>
      </patternFill>
    </fill>
    <fill>
      <patternFill patternType="solid">
        <fgColor theme="0"/>
        <bgColor rgb="FF000000"/>
      </patternFill>
    </fill>
  </fills>
  <borders count="8">
    <border>
      <left/>
      <right/>
      <top/>
      <bottom/>
      <diagonal/>
    </border>
    <border>
      <left/>
      <right/>
      <top/>
      <bottom style="thin">
        <color indexed="64"/>
      </bottom>
      <diagonal/>
    </border>
    <border>
      <left/>
      <right/>
      <top/>
      <bottom style="thin">
        <color rgb="FF000000"/>
      </bottom>
      <diagonal/>
    </border>
    <border>
      <left/>
      <right/>
      <top/>
      <bottom style="double">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000000"/>
      </top>
      <bottom style="double">
        <color rgb="FF000000"/>
      </bottom>
      <diagonal/>
    </border>
  </borders>
  <cellStyleXfs count="2">
    <xf numFmtId="0" fontId="0" fillId="0" borderId="0"/>
    <xf numFmtId="44" fontId="2" fillId="0" borderId="0" applyFont="0" applyFill="0" applyBorder="0" applyAlignment="0" applyProtection="0"/>
  </cellStyleXfs>
  <cellXfs count="9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164" fontId="0" fillId="0" borderId="0" xfId="0" applyNumberFormat="1" applyAlignment="1">
      <alignment horizontal="center" vertical="center"/>
    </xf>
    <xf numFmtId="164" fontId="0" fillId="0" borderId="1" xfId="0" applyNumberFormat="1" applyBorder="1" applyAlignment="1">
      <alignment horizontal="center" vertical="center"/>
    </xf>
    <xf numFmtId="164" fontId="0" fillId="0" borderId="2" xfId="0" applyNumberFormat="1" applyBorder="1" applyAlignment="1">
      <alignment horizontal="center" vertical="center"/>
    </xf>
    <xf numFmtId="10" fontId="0" fillId="0" borderId="0" xfId="0" applyNumberFormat="1" applyAlignment="1">
      <alignment horizontal="center"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applyAlignment="1">
      <alignment vertical="center"/>
    </xf>
    <xf numFmtId="0" fontId="1" fillId="0" borderId="0" xfId="0" applyFont="1" applyAlignment="1">
      <alignment horizontal="center" vertical="center"/>
    </xf>
    <xf numFmtId="0" fontId="8" fillId="0" borderId="0" xfId="0" applyFont="1" applyAlignment="1">
      <alignment wrapText="1"/>
    </xf>
    <xf numFmtId="164" fontId="9" fillId="0" borderId="0" xfId="0" applyNumberFormat="1" applyFont="1" applyAlignment="1">
      <alignment vertical="center"/>
    </xf>
    <xf numFmtId="164" fontId="9" fillId="0" borderId="1" xfId="0" applyNumberFormat="1" applyFont="1" applyBorder="1" applyAlignment="1">
      <alignment vertical="center"/>
    </xf>
    <xf numFmtId="164" fontId="9" fillId="0" borderId="2" xfId="0" applyNumberFormat="1" applyFont="1" applyBorder="1" applyAlignment="1">
      <alignment vertical="center"/>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left" vertical="top" wrapText="1" indent="1"/>
    </xf>
    <xf numFmtId="2" fontId="4" fillId="0" borderId="0" xfId="0" applyNumberFormat="1" applyFont="1" applyAlignment="1">
      <alignment horizontal="left" vertical="top" indent="2" shrinkToFit="1"/>
    </xf>
    <xf numFmtId="0" fontId="3" fillId="0" borderId="0" xfId="0" applyFont="1" applyAlignment="1">
      <alignment horizontal="right" vertical="top" wrapText="1"/>
    </xf>
    <xf numFmtId="4" fontId="4" fillId="0" borderId="0" xfId="0" applyNumberFormat="1" applyFont="1" applyAlignment="1">
      <alignment horizontal="left" vertical="top" shrinkToFit="1"/>
    </xf>
    <xf numFmtId="0" fontId="0" fillId="0" borderId="0" xfId="0" applyAlignment="1">
      <alignment horizontal="left" wrapText="1"/>
    </xf>
    <xf numFmtId="0" fontId="10" fillId="0" borderId="0" xfId="0" applyFont="1"/>
    <xf numFmtId="3" fontId="8" fillId="0" borderId="0" xfId="0" applyNumberFormat="1" applyFont="1"/>
    <xf numFmtId="4" fontId="0" fillId="0" borderId="0" xfId="0" applyNumberFormat="1" applyAlignment="1">
      <alignment horizontal="center" vertical="center"/>
    </xf>
    <xf numFmtId="0" fontId="11" fillId="0" borderId="0" xfId="0" applyFont="1" applyAlignment="1">
      <alignment horizontal="center" vertical="center"/>
    </xf>
    <xf numFmtId="9" fontId="12" fillId="0" borderId="0" xfId="0" applyNumberFormat="1" applyFont="1" applyAlignment="1">
      <alignment horizontal="center" vertical="center"/>
    </xf>
    <xf numFmtId="9" fontId="12" fillId="0" borderId="2" xfId="0" applyNumberFormat="1" applyFont="1" applyBorder="1" applyAlignment="1">
      <alignment horizontal="center" vertical="center"/>
    </xf>
    <xf numFmtId="164" fontId="12" fillId="0" borderId="0" xfId="0" applyNumberFormat="1" applyFont="1" applyAlignment="1">
      <alignment horizontal="center" vertical="center"/>
    </xf>
    <xf numFmtId="10" fontId="12" fillId="0" borderId="0" xfId="0" applyNumberFormat="1" applyFont="1" applyAlignment="1">
      <alignment horizontal="center" vertical="center"/>
    </xf>
    <xf numFmtId="0" fontId="13" fillId="0" borderId="0" xfId="0" applyFont="1"/>
    <xf numFmtId="0" fontId="14" fillId="0" borderId="0" xfId="0" applyFont="1"/>
    <xf numFmtId="164" fontId="8" fillId="0" borderId="0" xfId="1" applyNumberFormat="1" applyFont="1"/>
    <xf numFmtId="0" fontId="15" fillId="0" borderId="0" xfId="0" applyFont="1" applyAlignment="1">
      <alignment horizontal="center" vertical="center"/>
    </xf>
    <xf numFmtId="2" fontId="0" fillId="0" borderId="0" xfId="0" applyNumberFormat="1" applyAlignment="1">
      <alignment horizontal="center" vertical="center"/>
    </xf>
    <xf numFmtId="10" fontId="17" fillId="0" borderId="0" xfId="0" applyNumberFormat="1" applyFont="1" applyAlignment="1">
      <alignment vertical="center"/>
    </xf>
    <xf numFmtId="167" fontId="0" fillId="0" borderId="0" xfId="0" applyNumberFormat="1" applyAlignment="1">
      <alignment horizontal="center" vertical="center"/>
    </xf>
    <xf numFmtId="10" fontId="16" fillId="0" borderId="0" xfId="0" applyNumberFormat="1" applyFont="1" applyAlignment="1">
      <alignment horizontal="center" vertical="center"/>
    </xf>
    <xf numFmtId="10" fontId="16" fillId="0" borderId="2" xfId="0" applyNumberFormat="1" applyFont="1" applyBorder="1" applyAlignment="1">
      <alignment horizontal="center" vertical="center"/>
    </xf>
    <xf numFmtId="166" fontId="8" fillId="2" borderId="0" xfId="1" applyNumberFormat="1" applyFont="1" applyFill="1"/>
    <xf numFmtId="164" fontId="0" fillId="2" borderId="2" xfId="0" applyNumberFormat="1" applyFill="1" applyBorder="1" applyAlignment="1">
      <alignment horizontal="center" vertical="center"/>
    </xf>
    <xf numFmtId="0" fontId="18" fillId="0" borderId="0" xfId="0" applyFont="1" applyAlignment="1">
      <alignment horizontal="center" vertical="center"/>
    </xf>
    <xf numFmtId="0" fontId="19" fillId="4" borderId="0" xfId="0" applyFont="1" applyFill="1"/>
    <xf numFmtId="0" fontId="20" fillId="4" borderId="0" xfId="0" applyFont="1" applyFill="1"/>
    <xf numFmtId="0" fontId="20" fillId="0" borderId="0" xfId="0" applyFont="1"/>
    <xf numFmtId="0" fontId="20" fillId="5" borderId="0" xfId="0" applyFont="1" applyFill="1"/>
    <xf numFmtId="0" fontId="20" fillId="5" borderId="1" xfId="0" applyFont="1" applyFill="1" applyBorder="1"/>
    <xf numFmtId="164" fontId="1" fillId="3" borderId="3" xfId="0" applyNumberFormat="1" applyFont="1" applyFill="1" applyBorder="1" applyAlignment="1">
      <alignment horizontal="center" vertical="center"/>
    </xf>
    <xf numFmtId="167" fontId="1" fillId="3" borderId="3" xfId="0" applyNumberFormat="1" applyFont="1" applyFill="1" applyBorder="1" applyAlignment="1">
      <alignment horizontal="center" vertical="center"/>
    </xf>
    <xf numFmtId="0" fontId="1" fillId="2" borderId="4" xfId="0" applyFont="1" applyFill="1" applyBorder="1" applyAlignment="1">
      <alignment horizontal="center" vertical="center"/>
    </xf>
    <xf numFmtId="0" fontId="0" fillId="0" borderId="0" xfId="0" applyAlignment="1">
      <alignment wrapText="1"/>
    </xf>
    <xf numFmtId="4" fontId="0" fillId="0" borderId="7" xfId="0" applyNumberFormat="1" applyBorder="1" applyAlignment="1">
      <alignment horizontal="center" vertical="center"/>
    </xf>
    <xf numFmtId="10" fontId="8" fillId="0" borderId="0" xfId="0" applyNumberFormat="1" applyFont="1" applyAlignment="1">
      <alignment horizontal="center" vertical="center"/>
    </xf>
    <xf numFmtId="164" fontId="0" fillId="0" borderId="7" xfId="0" applyNumberFormat="1" applyBorder="1" applyAlignment="1">
      <alignment horizontal="center" vertical="center"/>
    </xf>
    <xf numFmtId="164" fontId="8" fillId="0" borderId="2" xfId="1" applyNumberFormat="1" applyFont="1" applyBorder="1"/>
    <xf numFmtId="165" fontId="5" fillId="0" borderId="0" xfId="0" applyNumberFormat="1" applyFont="1" applyAlignment="1">
      <alignment vertical="top" indent="4" shrinkToFit="1"/>
    </xf>
    <xf numFmtId="3" fontId="14" fillId="0" borderId="0" xfId="0" applyNumberFormat="1" applyFont="1"/>
    <xf numFmtId="3" fontId="10" fillId="6" borderId="0" xfId="0" applyNumberFormat="1" applyFont="1" applyFill="1"/>
    <xf numFmtId="2" fontId="3" fillId="0" borderId="0" xfId="0" applyNumberFormat="1" applyFont="1" applyAlignment="1">
      <alignment horizontal="center" vertical="top" wrapText="1"/>
    </xf>
    <xf numFmtId="2" fontId="4" fillId="0" borderId="0" xfId="0" applyNumberFormat="1" applyFont="1" applyAlignment="1">
      <alignment horizontal="center" vertical="top" indent="2" shrinkToFit="1"/>
    </xf>
    <xf numFmtId="2" fontId="4" fillId="0" borderId="0" xfId="0" applyNumberFormat="1" applyFont="1" applyAlignment="1">
      <alignment horizontal="center" vertical="top" shrinkToFit="1"/>
    </xf>
    <xf numFmtId="2" fontId="4" fillId="0" borderId="0" xfId="0" applyNumberFormat="1" applyFont="1" applyAlignment="1">
      <alignment horizontal="center" vertical="top" indent="1" shrinkToFit="1"/>
    </xf>
    <xf numFmtId="2" fontId="0" fillId="0" borderId="0" xfId="0" applyNumberFormat="1" applyAlignment="1">
      <alignment horizontal="center" wrapText="1"/>
    </xf>
    <xf numFmtId="10" fontId="1" fillId="0" borderId="0" xfId="0" applyNumberFormat="1" applyFont="1" applyAlignment="1">
      <alignment horizontal="center" vertical="center"/>
    </xf>
    <xf numFmtId="169" fontId="0" fillId="0" borderId="0" xfId="0" applyNumberFormat="1" applyAlignment="1">
      <alignment horizontal="center" vertical="center"/>
    </xf>
    <xf numFmtId="10" fontId="21" fillId="0" borderId="0" xfId="0" applyNumberFormat="1" applyFont="1" applyAlignment="1">
      <alignment horizontal="center" vertical="top" wrapText="1"/>
    </xf>
    <xf numFmtId="0" fontId="8" fillId="0" borderId="0" xfId="0" applyFont="1" applyAlignment="1">
      <alignment vertical="center"/>
    </xf>
    <xf numFmtId="10" fontId="4" fillId="0" borderId="0" xfId="0" applyNumberFormat="1" applyFont="1" applyAlignment="1">
      <alignment horizontal="center" vertical="center" indent="1" shrinkToFit="1"/>
    </xf>
    <xf numFmtId="10" fontId="22" fillId="0" borderId="0" xfId="0" applyNumberFormat="1" applyFont="1" applyAlignment="1">
      <alignment horizontal="center" vertical="top" shrinkToFit="1"/>
    </xf>
    <xf numFmtId="164" fontId="6" fillId="0" borderId="0" xfId="0" applyNumberFormat="1" applyFont="1" applyAlignment="1">
      <alignment vertical="center"/>
    </xf>
    <xf numFmtId="164" fontId="1" fillId="0" borderId="0" xfId="0" applyNumberFormat="1" applyFont="1" applyAlignment="1">
      <alignment horizontal="center" vertical="center"/>
    </xf>
    <xf numFmtId="166" fontId="0" fillId="0" borderId="0" xfId="1" applyNumberFormat="1" applyFont="1" applyAlignment="1">
      <alignment horizontal="left" vertical="center"/>
    </xf>
    <xf numFmtId="166" fontId="0" fillId="0" borderId="0" xfId="1" applyNumberFormat="1" applyFont="1" applyAlignment="1">
      <alignment horizontal="center" vertical="center"/>
    </xf>
    <xf numFmtId="10" fontId="22" fillId="0" borderId="0" xfId="0" applyNumberFormat="1" applyFont="1" applyAlignment="1">
      <alignment horizontal="center" vertical="top" indent="1" shrinkToFit="1"/>
    </xf>
    <xf numFmtId="0" fontId="8" fillId="0" borderId="0" xfId="0" applyFont="1" applyAlignment="1">
      <alignment vertical="center" wrapText="1"/>
    </xf>
    <xf numFmtId="0" fontId="20" fillId="0" borderId="0" xfId="0" applyFont="1" applyAlignment="1">
      <alignment wrapText="1"/>
    </xf>
    <xf numFmtId="0" fontId="10" fillId="2" borderId="0" xfId="0" applyFont="1" applyFill="1" applyAlignment="1">
      <alignment horizontal="center" vertical="center" wrapText="1"/>
    </xf>
    <xf numFmtId="0" fontId="20" fillId="0" borderId="0" xfId="0" applyFont="1" applyAlignment="1">
      <alignment horizontal="center" vertical="top" wrapText="1"/>
    </xf>
    <xf numFmtId="166" fontId="0" fillId="0" borderId="0" xfId="1" applyNumberFormat="1" applyFont="1" applyAlignment="1"/>
    <xf numFmtId="0" fontId="20" fillId="0" borderId="0" xfId="0" applyFont="1" applyAlignment="1">
      <alignment vertical="center" wrapText="1"/>
    </xf>
    <xf numFmtId="0" fontId="20" fillId="0" borderId="0" xfId="0" applyFont="1" applyAlignment="1">
      <alignment horizontal="center" vertical="center" wrapText="1"/>
    </xf>
    <xf numFmtId="0" fontId="20" fillId="0" borderId="0" xfId="0" applyFont="1" applyAlignment="1">
      <alignment horizontal="center" wrapText="1"/>
    </xf>
    <xf numFmtId="0" fontId="0" fillId="0" borderId="0" xfId="0" applyAlignment="1">
      <alignment horizontal="center" vertical="center"/>
    </xf>
    <xf numFmtId="168" fontId="0" fillId="2" borderId="5" xfId="0" applyNumberFormat="1" applyFill="1" applyBorder="1" applyAlignment="1">
      <alignment horizontal="center" vertical="center"/>
    </xf>
    <xf numFmtId="168" fontId="0" fillId="2" borderId="6" xfId="0" applyNumberFormat="1" applyFill="1" applyBorder="1" applyAlignment="1">
      <alignment horizontal="center" vertical="center"/>
    </xf>
    <xf numFmtId="0" fontId="6" fillId="0" borderId="0" xfId="0" applyFont="1" applyAlignment="1">
      <alignment vertical="center"/>
    </xf>
  </cellXfs>
  <cellStyles count="2">
    <cellStyle name="Moneda"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Mezcla de Capital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c:spPr>
            <c:extLst>
              <c:ext xmlns:c16="http://schemas.microsoft.com/office/drawing/2014/chart" uri="{C3380CC4-5D6E-409C-BE32-E72D297353CC}">
                <c16:uniqueId val="{00000001-C8E2-42D8-A7B0-0F755D58409C}"/>
              </c:ext>
            </c:extLst>
          </c:dPt>
          <c:dPt>
            <c:idx val="1"/>
            <c:bubble3D val="0"/>
            <c:spPr>
              <a:solidFill>
                <a:schemeClr val="accent2"/>
              </a:solidFill>
              <a:ln>
                <a:noFill/>
              </a:ln>
              <a:effectLst/>
            </c:spPr>
            <c:extLst>
              <c:ext xmlns:c16="http://schemas.microsoft.com/office/drawing/2014/chart" uri="{C3380CC4-5D6E-409C-BE32-E72D297353CC}">
                <c16:uniqueId val="{00000003-C8E2-42D8-A7B0-0F755D58409C}"/>
              </c:ext>
            </c:extLst>
          </c:dPt>
          <c:cat>
            <c:strRef>
              <c:f>'Floresta, S.A.'!$G$14:$G$15</c:f>
              <c:strCache>
                <c:ptCount val="2"/>
                <c:pt idx="0">
                  <c:v>Capital Ajeno</c:v>
                </c:pt>
                <c:pt idx="1">
                  <c:v>Capital Propio</c:v>
                </c:pt>
              </c:strCache>
            </c:strRef>
          </c:cat>
          <c:val>
            <c:numRef>
              <c:f>'Floresta, S.A.'!$H$14:$H$15</c:f>
              <c:numCache>
                <c:formatCode>#,##0.00</c:formatCode>
                <c:ptCount val="2"/>
                <c:pt idx="0">
                  <c:v>1131.0999999999999</c:v>
                </c:pt>
                <c:pt idx="1">
                  <c:v>1023.65</c:v>
                </c:pt>
              </c:numCache>
            </c:numRef>
          </c:val>
          <c:extLst>
            <c:ext xmlns:c16="http://schemas.microsoft.com/office/drawing/2014/chart" uri="{C3380CC4-5D6E-409C-BE32-E72D297353CC}">
              <c16:uniqueId val="{00000001-D7D0-440A-8089-4B5DD4C2BBF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Mezcla de Capital 2020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B9-463C-8139-00C2F2C025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B9-463C-8139-00C2F2C0253E}"/>
              </c:ext>
            </c:extLst>
          </c:dPt>
          <c:cat>
            <c:strRef>
              <c:f>'Floresta, S.A.'!$G$14:$G$15</c:f>
              <c:strCache>
                <c:ptCount val="2"/>
                <c:pt idx="0">
                  <c:v>Capital Ajeno</c:v>
                </c:pt>
                <c:pt idx="1">
                  <c:v>Capital Propio</c:v>
                </c:pt>
              </c:strCache>
            </c:strRef>
          </c:cat>
          <c:val>
            <c:numRef>
              <c:f>'Floresta, S.A.'!$I$14:$I$15</c:f>
              <c:numCache>
                <c:formatCode>#,##0.00</c:formatCode>
                <c:ptCount val="2"/>
                <c:pt idx="0">
                  <c:v>1745</c:v>
                </c:pt>
                <c:pt idx="1">
                  <c:v>895</c:v>
                </c:pt>
              </c:numCache>
            </c:numRef>
          </c:val>
          <c:extLst>
            <c:ext xmlns:c16="http://schemas.microsoft.com/office/drawing/2014/chart" uri="{C3380CC4-5D6E-409C-BE32-E72D297353CC}">
              <c16:uniqueId val="{00000001-746F-40F3-B2A6-ACF4AEB9C09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152400</xdr:rowOff>
    </xdr:from>
    <xdr:to>
      <xdr:col>7</xdr:col>
      <xdr:colOff>247650</xdr:colOff>
      <xdr:row>5</xdr:row>
      <xdr:rowOff>85725</xdr:rowOff>
    </xdr:to>
    <xdr:sp macro="" textlink="">
      <xdr:nvSpPr>
        <xdr:cNvPr id="3" name="CuadroTexto 1">
          <a:extLst>
            <a:ext uri="{FF2B5EF4-FFF2-40B4-BE49-F238E27FC236}">
              <a16:creationId xmlns:a16="http://schemas.microsoft.com/office/drawing/2014/main" id="{00000000-0008-0000-0000-000002000000}"/>
            </a:ext>
          </a:extLst>
        </xdr:cNvPr>
        <xdr:cNvSpPr txBox="1"/>
      </xdr:nvSpPr>
      <xdr:spPr>
        <a:xfrm>
          <a:off x="47625" y="152400"/>
          <a:ext cx="9577388"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Diego Andres Díaz Peñate - 1315916</a:t>
          </a:r>
        </a:p>
        <a:p>
          <a:r>
            <a:rPr lang="es-GT" sz="1100"/>
            <a:t>Rolan</a:t>
          </a:r>
          <a:r>
            <a:rPr lang="es-GT" sz="1100" baseline="0"/>
            <a:t> Higinio Orellana Rodríguez - 2004516</a:t>
          </a:r>
        </a:p>
        <a:p>
          <a:r>
            <a:rPr lang="es-GT" sz="1100" baseline="0"/>
            <a:t>César Andrés Dávila Contreras - 1324119</a:t>
          </a:r>
        </a:p>
        <a:p>
          <a:r>
            <a:rPr lang="es-GT" sz="1100" baseline="0"/>
            <a:t>Carlos Eduardo Arocha Lee - 1052614</a:t>
          </a:r>
          <a:endParaRPr lang="es-GT" sz="1100"/>
        </a:p>
      </xdr:txBody>
    </xdr:sp>
    <xdr:clientData/>
  </xdr:twoCellAnchor>
  <xdr:twoCellAnchor>
    <xdr:from>
      <xdr:col>6</xdr:col>
      <xdr:colOff>9525</xdr:colOff>
      <xdr:row>15</xdr:row>
      <xdr:rowOff>38100</xdr:rowOff>
    </xdr:from>
    <xdr:to>
      <xdr:col>6</xdr:col>
      <xdr:colOff>3295650</xdr:colOff>
      <xdr:row>26</xdr:row>
      <xdr:rowOff>123825</xdr:rowOff>
    </xdr:to>
    <xdr:graphicFrame macro="">
      <xdr:nvGraphicFramePr>
        <xdr:cNvPr id="44" name="Gráfico 8">
          <a:extLst>
            <a:ext uri="{FF2B5EF4-FFF2-40B4-BE49-F238E27FC236}">
              <a16:creationId xmlns:a16="http://schemas.microsoft.com/office/drawing/2014/main" id="{B8D7B76E-3EDA-4A94-9339-4BE32E713294}"/>
            </a:ext>
            <a:ext uri="{147F2762-F138-4A5C-976F-8EAC2B608ADB}">
              <a16:predDERef xmlns:a16="http://schemas.microsoft.com/office/drawing/2014/main" pre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66675</xdr:colOff>
      <xdr:row>27</xdr:row>
      <xdr:rowOff>142875</xdr:rowOff>
    </xdr:from>
    <xdr:to>
      <xdr:col>6</xdr:col>
      <xdr:colOff>3381375</xdr:colOff>
      <xdr:row>36</xdr:row>
      <xdr:rowOff>161925</xdr:rowOff>
    </xdr:to>
    <xdr:graphicFrame macro="">
      <xdr:nvGraphicFramePr>
        <xdr:cNvPr id="45" name="Gráfico 9">
          <a:extLst>
            <a:ext uri="{FF2B5EF4-FFF2-40B4-BE49-F238E27FC236}">
              <a16:creationId xmlns:a16="http://schemas.microsoft.com/office/drawing/2014/main" id="{972DDD4F-E5CA-4D7C-AF59-B0E767E4A635}"/>
            </a:ext>
            <a:ext uri="{147F2762-F138-4A5C-976F-8EAC2B608ADB}">
              <a16:predDERef xmlns:a16="http://schemas.microsoft.com/office/drawing/2014/main" pred="{B8D7B76E-3EDA-4A94-9339-4BE32E7132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Z78"/>
  <sheetViews>
    <sheetView tabSelected="1" topLeftCell="F28" workbookViewId="0">
      <selection activeCell="M47" sqref="J47:M47"/>
    </sheetView>
  </sheetViews>
  <sheetFormatPr defaultColWidth="9.140625" defaultRowHeight="15"/>
  <cols>
    <col min="1" max="1" width="35.5703125" style="2" customWidth="1"/>
    <col min="2" max="2" width="10.140625" style="2" bestFit="1" customWidth="1"/>
    <col min="3" max="3" width="10.140625" style="2" customWidth="1"/>
    <col min="4" max="4" width="11.28515625" style="2" bestFit="1" customWidth="1"/>
    <col min="5" max="5" width="9.140625" style="2"/>
    <col min="6" max="6" width="16.5703125" style="2" customWidth="1"/>
    <col min="7" max="7" width="57" style="2" bestFit="1" customWidth="1"/>
    <col min="8" max="9" width="9.140625" style="2"/>
    <col min="10" max="10" width="34.42578125" style="2" customWidth="1"/>
    <col min="11" max="11" width="36" style="2" customWidth="1"/>
    <col min="12" max="16383" width="9.140625" style="2"/>
    <col min="16384" max="16384" width="9.140625" style="2" bestFit="1" customWidth="1"/>
  </cols>
  <sheetData>
    <row r="7" spans="1:19">
      <c r="A7" s="4" t="s">
        <v>0</v>
      </c>
    </row>
    <row r="8" spans="1:19">
      <c r="A8" s="4" t="s">
        <v>1</v>
      </c>
    </row>
    <row r="9" spans="1:19">
      <c r="A9" s="4" t="s">
        <v>2</v>
      </c>
    </row>
    <row r="10" spans="1:19">
      <c r="A10" s="4" t="s">
        <v>3</v>
      </c>
    </row>
    <row r="11" spans="1:19" ht="23.25" customHeight="1">
      <c r="A11" s="1"/>
      <c r="C11" s="86" t="s">
        <v>4</v>
      </c>
      <c r="D11" s="86"/>
      <c r="E11" s="86"/>
      <c r="F11" s="2" t="s">
        <v>5</v>
      </c>
      <c r="J11" s="46" t="s">
        <v>6</v>
      </c>
      <c r="K11" s="47" t="s">
        <v>7</v>
      </c>
      <c r="L11" s="2">
        <v>2021</v>
      </c>
      <c r="M11" s="2">
        <v>2020</v>
      </c>
    </row>
    <row r="12" spans="1:19">
      <c r="A12" s="4" t="s">
        <v>8</v>
      </c>
      <c r="B12" s="14">
        <v>2020</v>
      </c>
      <c r="C12" s="29" t="s">
        <v>9</v>
      </c>
      <c r="D12" s="14">
        <v>2021</v>
      </c>
      <c r="E12" s="37" t="s">
        <v>9</v>
      </c>
      <c r="F12" s="2" t="s">
        <v>10</v>
      </c>
      <c r="J12" s="49" t="s">
        <v>11</v>
      </c>
      <c r="K12" s="50" t="s">
        <v>12</v>
      </c>
      <c r="L12" s="38">
        <f>D16/D26</f>
        <v>20.454545454545453</v>
      </c>
      <c r="M12" s="38">
        <f>B16/B26</f>
        <v>20.454545454545453</v>
      </c>
      <c r="N12" s="79" t="s">
        <v>13</v>
      </c>
      <c r="O12" s="79"/>
      <c r="P12" s="79"/>
      <c r="Q12" s="79"/>
      <c r="R12" s="79"/>
      <c r="S12" s="79"/>
    </row>
    <row r="13" spans="1:19">
      <c r="A13" s="3" t="s">
        <v>14</v>
      </c>
      <c r="B13" s="6">
        <v>555</v>
      </c>
      <c r="C13" s="30">
        <f>B13/$B$21</f>
        <v>0.21022727272727273</v>
      </c>
      <c r="D13" s="6">
        <f>B13*0.1+B13</f>
        <v>610.5</v>
      </c>
      <c r="E13" s="41">
        <f>D13/$D$21</f>
        <v>0.18555667001003009</v>
      </c>
      <c r="F13" s="9">
        <f>(D13-B13)/B13</f>
        <v>0.1</v>
      </c>
      <c r="G13" s="48" t="s">
        <v>15</v>
      </c>
      <c r="H13" s="2">
        <v>2021</v>
      </c>
      <c r="I13" s="2">
        <v>2020</v>
      </c>
      <c r="J13" s="49" t="s">
        <v>16</v>
      </c>
      <c r="K13" s="49" t="s">
        <v>17</v>
      </c>
      <c r="L13" s="38"/>
      <c r="M13" s="38"/>
      <c r="N13" s="79"/>
      <c r="O13" s="79"/>
      <c r="P13" s="79"/>
      <c r="Q13" s="79"/>
      <c r="R13" s="79"/>
      <c r="S13" s="79"/>
    </row>
    <row r="14" spans="1:19" ht="20.25" customHeight="1">
      <c r="A14" s="3" t="s">
        <v>18</v>
      </c>
      <c r="B14" s="6">
        <v>745</v>
      </c>
      <c r="C14" s="30">
        <f>B14/$B$21</f>
        <v>0.28219696969696972</v>
      </c>
      <c r="D14" s="6">
        <f>B14*0.1+B14</f>
        <v>819.5</v>
      </c>
      <c r="E14" s="41">
        <f t="shared" ref="E14:E21" si="0">D14/$D$21</f>
        <v>0.24908057505850886</v>
      </c>
      <c r="F14" s="9">
        <f t="shared" ref="F14:F21" si="1">(D14-B14)/B14</f>
        <v>0.1</v>
      </c>
      <c r="G14" s="48" t="s">
        <v>19</v>
      </c>
      <c r="H14" s="28">
        <f>D26+D29</f>
        <v>1131.0999999999999</v>
      </c>
      <c r="I14" s="28">
        <f>B26+B30</f>
        <v>1745</v>
      </c>
      <c r="J14" s="49" t="s">
        <v>7</v>
      </c>
      <c r="K14" s="49" t="s">
        <v>7</v>
      </c>
      <c r="L14" s="38"/>
      <c r="M14" s="38"/>
      <c r="N14" s="79" t="s">
        <v>20</v>
      </c>
      <c r="O14" s="79"/>
      <c r="P14" s="79"/>
      <c r="Q14" s="79"/>
      <c r="R14" s="79"/>
      <c r="S14" s="79"/>
    </row>
    <row r="15" spans="1:19">
      <c r="A15" s="3" t="s">
        <v>21</v>
      </c>
      <c r="B15" s="7">
        <v>950</v>
      </c>
      <c r="C15" s="31">
        <f t="shared" ref="C13:C16" si="2">B15/$B$21</f>
        <v>0.35984848484848486</v>
      </c>
      <c r="D15" s="8">
        <f>B15*0.1+B15</f>
        <v>1045</v>
      </c>
      <c r="E15" s="41">
        <f t="shared" si="0"/>
        <v>0.31761952524239384</v>
      </c>
      <c r="F15" s="9">
        <f t="shared" si="1"/>
        <v>0.1</v>
      </c>
      <c r="G15" s="48" t="s">
        <v>22</v>
      </c>
      <c r="H15" s="28">
        <f>D33+D34+D35</f>
        <v>1023.65</v>
      </c>
      <c r="I15" s="28">
        <f>B33+B34+B35</f>
        <v>895</v>
      </c>
      <c r="J15" s="49" t="s">
        <v>23</v>
      </c>
      <c r="K15" s="50" t="s">
        <v>24</v>
      </c>
      <c r="L15" s="38">
        <f>(D16-D15)/D26</f>
        <v>11.818181818181818</v>
      </c>
      <c r="M15" s="38">
        <f>(B16-B15)/B26</f>
        <v>11.818181818181818</v>
      </c>
      <c r="N15" s="79"/>
      <c r="O15" s="79"/>
      <c r="P15" s="79"/>
      <c r="Q15" s="79"/>
      <c r="R15" s="79"/>
      <c r="S15" s="79"/>
    </row>
    <row r="16" spans="1:19">
      <c r="A16" s="5" t="s">
        <v>25</v>
      </c>
      <c r="B16" s="6">
        <f>SUM(B13:B15)</f>
        <v>2250</v>
      </c>
      <c r="C16" s="30">
        <f t="shared" si="2"/>
        <v>0.85227272727272729</v>
      </c>
      <c r="D16" s="6">
        <f>SUM(D13:D15)</f>
        <v>2475</v>
      </c>
      <c r="E16" s="41">
        <f t="shared" si="0"/>
        <v>0.75225677031093285</v>
      </c>
      <c r="F16" s="9">
        <f t="shared" si="1"/>
        <v>0.1</v>
      </c>
      <c r="J16" s="49" t="s">
        <v>26</v>
      </c>
      <c r="K16" s="49" t="s">
        <v>17</v>
      </c>
      <c r="L16" s="38"/>
      <c r="M16" s="38"/>
      <c r="N16" s="79"/>
      <c r="O16" s="79"/>
      <c r="P16" s="79"/>
      <c r="Q16" s="79"/>
      <c r="R16" s="79"/>
      <c r="S16" s="79"/>
    </row>
    <row r="17" spans="1:26">
      <c r="A17" s="3"/>
      <c r="B17" s="6"/>
      <c r="C17" s="32"/>
      <c r="E17" s="41"/>
      <c r="F17" s="9"/>
      <c r="J17" s="46" t="s">
        <v>27</v>
      </c>
      <c r="K17" s="47" t="s">
        <v>7</v>
      </c>
      <c r="L17" s="38"/>
      <c r="M17" s="38"/>
      <c r="N17" s="84" t="s">
        <v>28</v>
      </c>
      <c r="O17" s="84"/>
      <c r="P17" s="84"/>
      <c r="Q17" s="84"/>
      <c r="R17" s="84"/>
      <c r="S17" s="84"/>
      <c r="T17" s="84"/>
      <c r="U17" s="84"/>
      <c r="V17" s="84"/>
    </row>
    <row r="18" spans="1:26">
      <c r="A18" s="3" t="s">
        <v>29</v>
      </c>
      <c r="B18" s="6">
        <v>650</v>
      </c>
      <c r="C18" s="30">
        <f t="shared" ref="C18:C20" si="3">B18/$B$21</f>
        <v>0.24621212121212122</v>
      </c>
      <c r="D18" s="40">
        <f>B18*0.045+B18</f>
        <v>679.25</v>
      </c>
      <c r="E18" s="41">
        <f t="shared" si="0"/>
        <v>0.20645269140755601</v>
      </c>
      <c r="F18" s="9">
        <f>(D18-B18)/B18</f>
        <v>4.4999999999999998E-2</v>
      </c>
      <c r="J18" s="49" t="s">
        <v>30</v>
      </c>
      <c r="K18" s="50" t="s">
        <v>31</v>
      </c>
      <c r="L18" s="9">
        <f>D30/D21</f>
        <v>0.58397921035834777</v>
      </c>
      <c r="M18" s="9">
        <f>B30/B21</f>
        <v>0.61931818181818177</v>
      </c>
      <c r="N18" s="84"/>
      <c r="O18" s="84"/>
      <c r="P18" s="84"/>
      <c r="Q18" s="84"/>
      <c r="R18" s="84"/>
      <c r="S18" s="84"/>
      <c r="T18" s="84"/>
      <c r="U18" s="84"/>
      <c r="V18" s="84"/>
    </row>
    <row r="19" spans="1:26">
      <c r="A19" s="3" t="s">
        <v>32</v>
      </c>
      <c r="B19" s="6">
        <v>-260</v>
      </c>
      <c r="C19" s="30">
        <f t="shared" si="3"/>
        <v>-9.8484848484848481E-2</v>
      </c>
      <c r="D19" s="6">
        <f>D18*B41</f>
        <v>-271.7</v>
      </c>
      <c r="E19" s="41">
        <f t="shared" si="0"/>
        <v>-8.2581076563022396E-2</v>
      </c>
      <c r="F19" s="9">
        <f t="shared" si="1"/>
        <v>4.4999999999999957E-2</v>
      </c>
      <c r="J19" s="49" t="s">
        <v>33</v>
      </c>
      <c r="K19" s="49" t="s">
        <v>34</v>
      </c>
      <c r="L19" s="38"/>
      <c r="M19" s="38"/>
      <c r="N19" s="84"/>
      <c r="O19" s="84"/>
      <c r="P19" s="84"/>
      <c r="Q19" s="84"/>
      <c r="R19" s="84"/>
      <c r="S19" s="84"/>
      <c r="T19" s="84"/>
      <c r="U19" s="84"/>
      <c r="V19" s="84"/>
    </row>
    <row r="20" spans="1:26">
      <c r="A20" s="5" t="s">
        <v>35</v>
      </c>
      <c r="B20" s="6">
        <f>SUM(B18:B19)</f>
        <v>390</v>
      </c>
      <c r="C20" s="31">
        <f t="shared" si="3"/>
        <v>0.14772727272727273</v>
      </c>
      <c r="D20" s="8">
        <f>D18+D19</f>
        <v>407.55</v>
      </c>
      <c r="E20" s="42">
        <f t="shared" si="0"/>
        <v>0.12387161484453361</v>
      </c>
      <c r="F20" s="9">
        <f t="shared" si="1"/>
        <v>4.5000000000000026E-2</v>
      </c>
      <c r="J20" s="49" t="s">
        <v>7</v>
      </c>
      <c r="K20" s="49" t="s">
        <v>7</v>
      </c>
      <c r="L20" s="38"/>
      <c r="M20" s="38"/>
      <c r="N20" s="84"/>
      <c r="O20" s="84"/>
      <c r="P20" s="84"/>
      <c r="Q20" s="84"/>
      <c r="R20" s="84"/>
      <c r="S20" s="84"/>
      <c r="T20" s="84"/>
      <c r="U20" s="84"/>
      <c r="V20" s="84"/>
    </row>
    <row r="21" spans="1:26">
      <c r="A21" s="5" t="s">
        <v>36</v>
      </c>
      <c r="B21" s="57">
        <f>B16+B20</f>
        <v>2640</v>
      </c>
      <c r="C21" s="30">
        <f>B21/$B$21</f>
        <v>1</v>
      </c>
      <c r="D21" s="52">
        <f>SUM(D18:D20)+D16</f>
        <v>3290.1</v>
      </c>
      <c r="E21" s="41">
        <f t="shared" si="0"/>
        <v>1</v>
      </c>
      <c r="F21" s="67">
        <f t="shared" si="1"/>
        <v>0.24624999999999997</v>
      </c>
      <c r="G21" s="19"/>
      <c r="H21" s="19"/>
      <c r="I21" s="19"/>
      <c r="J21" s="49" t="s">
        <v>37</v>
      </c>
      <c r="K21" s="50" t="s">
        <v>38</v>
      </c>
      <c r="L21" s="38">
        <f>D55/-D56</f>
        <v>5.7665557907469003</v>
      </c>
      <c r="M21" s="38">
        <f>B55/-B56</f>
        <v>4.1200483822195348</v>
      </c>
      <c r="N21" s="48" t="s">
        <v>39</v>
      </c>
    </row>
    <row r="22" spans="1:26">
      <c r="A22" s="3"/>
      <c r="B22" s="6"/>
      <c r="C22" s="32"/>
      <c r="E22" s="41"/>
      <c r="F22" s="9"/>
      <c r="G22" s="19"/>
      <c r="H22" s="19"/>
      <c r="I22" s="19"/>
      <c r="J22" s="49" t="s">
        <v>40</v>
      </c>
      <c r="K22" s="49" t="s">
        <v>41</v>
      </c>
      <c r="L22" s="62"/>
      <c r="M22" s="38"/>
    </row>
    <row r="23" spans="1:26">
      <c r="A23" s="5" t="s">
        <v>42</v>
      </c>
      <c r="B23" s="6"/>
      <c r="C23" s="32"/>
      <c r="E23" s="41"/>
      <c r="F23" s="9"/>
      <c r="G23" s="19"/>
      <c r="H23" s="19"/>
      <c r="I23" s="19"/>
      <c r="J23" s="49" t="s">
        <v>7</v>
      </c>
      <c r="K23" s="49" t="s">
        <v>7</v>
      </c>
      <c r="L23" s="62"/>
      <c r="M23" s="38"/>
    </row>
    <row r="24" spans="1:26">
      <c r="A24" s="3" t="s">
        <v>43</v>
      </c>
      <c r="B24" s="6">
        <v>35</v>
      </c>
      <c r="C24" s="33">
        <f>B24/$B$37</f>
        <v>1.3257575757575758E-2</v>
      </c>
      <c r="D24" s="6">
        <f>B24*0.1+B24</f>
        <v>38.5</v>
      </c>
      <c r="E24" s="41">
        <f>D24/$D$37</f>
        <v>1.3073005093378607E-2</v>
      </c>
      <c r="F24" s="9">
        <f t="shared" ref="F24:F30" si="4">(D24-B24)/B24</f>
        <v>0.1</v>
      </c>
      <c r="G24" s="19"/>
      <c r="H24" s="19"/>
      <c r="I24" s="19"/>
      <c r="J24" s="46" t="s">
        <v>44</v>
      </c>
      <c r="K24" s="46"/>
      <c r="L24" s="62"/>
      <c r="M24" s="38"/>
    </row>
    <row r="25" spans="1:26">
      <c r="A25" s="3" t="s">
        <v>45</v>
      </c>
      <c r="B25" s="7">
        <v>75</v>
      </c>
      <c r="C25" s="33">
        <f>B25/$B$37</f>
        <v>2.8409090909090908E-2</v>
      </c>
      <c r="D25" s="6">
        <f>B25*0.1+B25</f>
        <v>82.5</v>
      </c>
      <c r="E25" s="41">
        <f t="shared" ref="E25:E30" si="5">D25/$D$37</f>
        <v>2.801358234295416E-2</v>
      </c>
      <c r="F25" s="9">
        <f t="shared" si="4"/>
        <v>0.1</v>
      </c>
      <c r="G25" s="19"/>
      <c r="H25" s="19"/>
      <c r="I25" s="19"/>
      <c r="J25" s="49" t="s">
        <v>46</v>
      </c>
      <c r="K25" s="50" t="s">
        <v>47</v>
      </c>
      <c r="L25" s="69">
        <f>(D51+D52)/D51</f>
        <v>0.78</v>
      </c>
      <c r="M25" s="9">
        <f>(B51-B52)/B51</f>
        <v>0.75</v>
      </c>
      <c r="N25" s="79" t="s">
        <v>48</v>
      </c>
      <c r="O25" s="79"/>
      <c r="P25" s="79"/>
      <c r="Q25" s="79"/>
      <c r="R25" s="79"/>
      <c r="S25" s="79"/>
      <c r="T25" s="79"/>
      <c r="U25" s="79"/>
      <c r="V25" s="79"/>
    </row>
    <row r="26" spans="1:26">
      <c r="A26" s="5" t="s">
        <v>49</v>
      </c>
      <c r="B26" s="6">
        <f>SUM(B24:B25)</f>
        <v>110</v>
      </c>
      <c r="C26" s="33">
        <f>B26/$B$37</f>
        <v>4.1666666666666664E-2</v>
      </c>
      <c r="D26" s="6">
        <f>SUM(D24:D25)</f>
        <v>121</v>
      </c>
      <c r="E26" s="41">
        <f t="shared" si="5"/>
        <v>4.1086587436332769E-2</v>
      </c>
      <c r="F26" s="9">
        <f t="shared" si="4"/>
        <v>0.1</v>
      </c>
      <c r="G26" s="20"/>
      <c r="H26" s="21"/>
      <c r="I26" s="22"/>
      <c r="J26" s="49" t="s">
        <v>7</v>
      </c>
      <c r="K26" s="49" t="s">
        <v>50</v>
      </c>
      <c r="L26" s="63"/>
      <c r="M26" s="38"/>
      <c r="N26" s="79"/>
      <c r="O26" s="79"/>
      <c r="P26" s="79"/>
      <c r="Q26" s="79"/>
      <c r="R26" s="79"/>
      <c r="S26" s="79"/>
      <c r="T26" s="79"/>
      <c r="U26" s="79"/>
      <c r="V26" s="79"/>
    </row>
    <row r="27" spans="1:26">
      <c r="A27" s="3"/>
      <c r="B27" s="6"/>
      <c r="C27" s="32"/>
      <c r="E27" s="41"/>
      <c r="F27" s="9"/>
      <c r="G27" s="20"/>
      <c r="H27" s="21"/>
      <c r="I27" s="22"/>
      <c r="J27" s="49"/>
      <c r="K27" s="49"/>
      <c r="L27" s="64"/>
      <c r="M27" s="38"/>
    </row>
    <row r="28" spans="1:26">
      <c r="A28" s="3" t="s">
        <v>51</v>
      </c>
      <c r="B28" s="6">
        <v>725</v>
      </c>
      <c r="C28" s="33">
        <f>B28/$B$37</f>
        <v>0.2746212121212121</v>
      </c>
      <c r="D28" s="6">
        <f>B28*0.09+B28</f>
        <v>790.25</v>
      </c>
      <c r="E28" s="41">
        <f t="shared" si="5"/>
        <v>0.26833616298811547</v>
      </c>
      <c r="F28" s="9">
        <f t="shared" si="4"/>
        <v>0.09</v>
      </c>
      <c r="G28" s="20"/>
      <c r="H28" s="20"/>
      <c r="I28" s="22"/>
      <c r="J28" s="49" t="s">
        <v>52</v>
      </c>
      <c r="K28" s="50" t="s">
        <v>53</v>
      </c>
      <c r="L28" s="65"/>
      <c r="M28" s="38"/>
      <c r="N28" s="85" t="s">
        <v>54</v>
      </c>
      <c r="O28" s="85"/>
      <c r="P28" s="85"/>
      <c r="Q28" s="85"/>
      <c r="R28" s="85"/>
      <c r="S28" s="85"/>
      <c r="T28" s="85"/>
      <c r="U28" s="85"/>
      <c r="V28" s="85"/>
      <c r="W28" s="85"/>
      <c r="X28" s="85"/>
      <c r="Y28" s="85"/>
      <c r="Z28" s="85"/>
    </row>
    <row r="29" spans="1:26">
      <c r="A29" s="3" t="s">
        <v>55</v>
      </c>
      <c r="B29" s="7">
        <v>910</v>
      </c>
      <c r="C29" s="33">
        <f>B29/$B$37</f>
        <v>0.34469696969696972</v>
      </c>
      <c r="D29" s="8">
        <f>B29*0.11+B29</f>
        <v>1010.1</v>
      </c>
      <c r="E29" s="41">
        <f t="shared" si="5"/>
        <v>0.34298811544991514</v>
      </c>
      <c r="F29" s="9">
        <f t="shared" si="4"/>
        <v>0.11000000000000003</v>
      </c>
      <c r="G29" s="20"/>
      <c r="H29" s="21"/>
      <c r="I29" s="24"/>
      <c r="J29" s="49" t="s">
        <v>7</v>
      </c>
      <c r="K29" s="49" t="s">
        <v>50</v>
      </c>
      <c r="L29" s="71">
        <f>C55/C51</f>
        <v>0.2645631067961165</v>
      </c>
      <c r="M29" s="71">
        <f>B55/B51</f>
        <v>0.2645631067961165</v>
      </c>
      <c r="N29" s="85"/>
      <c r="O29" s="85"/>
      <c r="P29" s="85"/>
      <c r="Q29" s="85"/>
      <c r="R29" s="85"/>
      <c r="S29" s="85"/>
      <c r="T29" s="85"/>
      <c r="U29" s="85"/>
      <c r="V29" s="85"/>
      <c r="W29" s="85"/>
      <c r="X29" s="85"/>
      <c r="Y29" s="85"/>
      <c r="Z29" s="85"/>
    </row>
    <row r="30" spans="1:26">
      <c r="A30" s="5" t="s">
        <v>56</v>
      </c>
      <c r="B30" s="6">
        <f>SUM(B28:B29)</f>
        <v>1635</v>
      </c>
      <c r="C30" s="33">
        <f>B30/$B$37</f>
        <v>0.61931818181818177</v>
      </c>
      <c r="D30" s="6">
        <f>SUM(D28:D29)+D26</f>
        <v>1921.35</v>
      </c>
      <c r="E30" s="41">
        <f>D30/$D$37</f>
        <v>0.65241086587436325</v>
      </c>
      <c r="F30" s="67">
        <f t="shared" si="4"/>
        <v>0.17513761467889902</v>
      </c>
      <c r="G30" s="20"/>
      <c r="H30" s="21"/>
      <c r="I30" s="22"/>
      <c r="J30" s="20"/>
      <c r="K30" s="23"/>
      <c r="L30" s="64"/>
      <c r="M30" s="38"/>
      <c r="N30" s="85"/>
      <c r="O30" s="85"/>
      <c r="P30" s="85"/>
      <c r="Q30" s="85"/>
      <c r="R30" s="85"/>
      <c r="S30" s="85"/>
      <c r="T30" s="85"/>
      <c r="U30" s="85"/>
      <c r="V30" s="85"/>
      <c r="W30" s="85"/>
      <c r="X30" s="85"/>
      <c r="Y30" s="85"/>
      <c r="Z30" s="85"/>
    </row>
    <row r="31" spans="1:26" ht="18" customHeight="1">
      <c r="A31" s="3"/>
      <c r="B31" s="6"/>
      <c r="C31" s="32"/>
      <c r="D31" s="6"/>
      <c r="E31" s="9"/>
      <c r="F31" s="9"/>
      <c r="G31" s="20"/>
      <c r="H31" s="59"/>
      <c r="I31" s="59"/>
      <c r="J31" s="49" t="s">
        <v>57</v>
      </c>
      <c r="K31" s="50" t="s">
        <v>58</v>
      </c>
      <c r="L31" s="72">
        <f>(D59/B42)</f>
        <v>0.22955825242718444</v>
      </c>
      <c r="M31" s="9">
        <f>B59/B42</f>
        <v>0.13420873786407767</v>
      </c>
      <c r="N31" s="85" t="s">
        <v>59</v>
      </c>
      <c r="O31" s="85"/>
      <c r="P31" s="85"/>
      <c r="Q31" s="85"/>
      <c r="R31" s="85"/>
      <c r="S31" s="85"/>
      <c r="T31" s="85"/>
      <c r="U31" s="85"/>
      <c r="V31" s="85"/>
      <c r="W31" s="85"/>
      <c r="X31" s="85"/>
      <c r="Y31" s="85"/>
      <c r="Z31" s="85"/>
    </row>
    <row r="32" spans="1:26" ht="17.25" customHeight="1">
      <c r="A32" s="5" t="s">
        <v>60</v>
      </c>
      <c r="B32" s="6"/>
      <c r="C32" s="32"/>
      <c r="E32" s="9"/>
      <c r="F32" s="9"/>
      <c r="G32" s="20"/>
      <c r="H32" s="21"/>
      <c r="I32" s="22"/>
      <c r="J32" s="25"/>
      <c r="K32" s="49" t="s">
        <v>50</v>
      </c>
      <c r="L32" s="66"/>
      <c r="M32" s="38"/>
      <c r="N32" s="85"/>
      <c r="O32" s="85"/>
      <c r="P32" s="85"/>
      <c r="Q32" s="85"/>
      <c r="R32" s="85"/>
      <c r="S32" s="85"/>
      <c r="T32" s="85"/>
      <c r="U32" s="85"/>
      <c r="V32" s="85"/>
      <c r="W32" s="85"/>
      <c r="X32" s="85"/>
      <c r="Y32" s="85"/>
      <c r="Z32" s="85"/>
    </row>
    <row r="33" spans="1:26">
      <c r="A33" s="3" t="s">
        <v>61</v>
      </c>
      <c r="B33" s="6">
        <v>510</v>
      </c>
      <c r="C33" s="33">
        <f>B33/$B$37</f>
        <v>0.19318181818181818</v>
      </c>
      <c r="D33" s="6">
        <f>B33</f>
        <v>510</v>
      </c>
      <c r="E33" s="41">
        <f t="shared" ref="E33:E37" si="6">D33/$D$37</f>
        <v>0.1731748726655348</v>
      </c>
      <c r="F33" s="9">
        <f t="shared" ref="F33:F37" si="7">(D33-B33)/B33</f>
        <v>0</v>
      </c>
      <c r="G33" s="25"/>
      <c r="H33" s="54"/>
      <c r="I33" s="54"/>
      <c r="J33" s="19"/>
      <c r="K33" s="19"/>
      <c r="L33" s="62"/>
      <c r="M33" s="38"/>
      <c r="N33" s="85"/>
      <c r="O33" s="85"/>
      <c r="P33" s="85"/>
      <c r="Q33" s="85"/>
      <c r="R33" s="85"/>
      <c r="S33" s="85"/>
      <c r="T33" s="85"/>
      <c r="U33" s="85"/>
      <c r="V33" s="85"/>
      <c r="W33" s="85"/>
      <c r="X33" s="85"/>
      <c r="Y33" s="85"/>
      <c r="Z33" s="85"/>
    </row>
    <row r="34" spans="1:26" ht="25.5" customHeight="1">
      <c r="A34" s="3" t="s">
        <v>62</v>
      </c>
      <c r="B34" s="6">
        <v>125</v>
      </c>
      <c r="C34" s="33">
        <f>B34/$B$37</f>
        <v>4.7348484848484848E-2</v>
      </c>
      <c r="D34" s="6">
        <f>B34</f>
        <v>125</v>
      </c>
      <c r="E34" s="41">
        <f t="shared" si="6"/>
        <v>4.2444821731748725E-2</v>
      </c>
      <c r="F34" s="9">
        <f t="shared" si="7"/>
        <v>0</v>
      </c>
      <c r="G34" s="25"/>
      <c r="H34" s="54"/>
      <c r="I34" s="54"/>
      <c r="J34" s="49" t="s">
        <v>63</v>
      </c>
      <c r="K34" s="50" t="s">
        <v>64</v>
      </c>
      <c r="L34" s="77">
        <f>D53/D21</f>
        <v>0.6715145436308928</v>
      </c>
      <c r="M34" s="9">
        <f>B53/B21</f>
        <v>0.73153409090909094</v>
      </c>
      <c r="N34" s="81" t="s">
        <v>65</v>
      </c>
      <c r="O34" s="81"/>
      <c r="P34" s="81"/>
      <c r="Q34" s="81"/>
      <c r="R34" s="81"/>
      <c r="S34" s="81"/>
      <c r="T34" s="81"/>
      <c r="U34" s="81"/>
      <c r="V34" s="81"/>
      <c r="W34" s="81"/>
    </row>
    <row r="35" spans="1:26" ht="25.5" customHeight="1">
      <c r="A35" s="3" t="s">
        <v>66</v>
      </c>
      <c r="B35" s="8">
        <v>260</v>
      </c>
      <c r="C35" s="33">
        <f>B35/$B$37</f>
        <v>9.8484848484848481E-2</v>
      </c>
      <c r="D35" s="44">
        <v>388.65</v>
      </c>
      <c r="E35" s="41">
        <f t="shared" si="6"/>
        <v>0.13196943972835312</v>
      </c>
      <c r="F35" s="67">
        <f t="shared" si="7"/>
        <v>0.49480769230769223</v>
      </c>
      <c r="G35" s="25"/>
      <c r="H35" s="54"/>
      <c r="I35" s="54"/>
      <c r="J35" s="49" t="s">
        <v>7</v>
      </c>
      <c r="K35" s="49" t="s">
        <v>34</v>
      </c>
      <c r="L35" s="65"/>
      <c r="M35" s="38"/>
      <c r="N35" s="81"/>
      <c r="O35" s="81"/>
      <c r="P35" s="81"/>
      <c r="Q35" s="81"/>
      <c r="R35" s="81"/>
      <c r="S35" s="81"/>
      <c r="T35" s="81"/>
      <c r="U35" s="81"/>
      <c r="V35" s="81"/>
      <c r="W35" s="81"/>
    </row>
    <row r="36" spans="1:26" ht="25.5" customHeight="1">
      <c r="A36" s="5" t="s">
        <v>67</v>
      </c>
      <c r="B36" s="6">
        <f>SUM(B33:B35)</f>
        <v>895</v>
      </c>
      <c r="C36" s="33">
        <f>B36/$B$37</f>
        <v>0.33901515151515149</v>
      </c>
      <c r="D36" s="8">
        <f>SUM(D33:D35)</f>
        <v>1023.65</v>
      </c>
      <c r="E36" s="41">
        <f t="shared" si="6"/>
        <v>0.34758913412563669</v>
      </c>
      <c r="F36" s="9">
        <f t="shared" si="7"/>
        <v>0.14374301675977652</v>
      </c>
      <c r="G36" s="25"/>
      <c r="H36" s="54"/>
      <c r="I36" s="54"/>
      <c r="J36" s="49" t="s">
        <v>68</v>
      </c>
      <c r="K36" s="50" t="s">
        <v>58</v>
      </c>
      <c r="L36" s="72">
        <f>D34/D21</f>
        <v>3.7992766177319837E-2</v>
      </c>
      <c r="M36" s="9">
        <f>B34/B21</f>
        <v>4.7348484848484848E-2</v>
      </c>
      <c r="N36" s="83" t="s">
        <v>69</v>
      </c>
      <c r="O36" s="83"/>
      <c r="P36" s="83"/>
      <c r="Q36" s="83"/>
      <c r="R36" s="83"/>
      <c r="S36" s="83"/>
      <c r="T36" s="83"/>
      <c r="U36" s="83"/>
      <c r="V36" s="83"/>
      <c r="W36" s="83"/>
    </row>
    <row r="37" spans="1:26" ht="25.5" customHeight="1">
      <c r="A37" s="5" t="s">
        <v>70</v>
      </c>
      <c r="B37" s="55">
        <f>B36+B30+B26</f>
        <v>2640</v>
      </c>
      <c r="C37" s="33">
        <f>B37/$B$37</f>
        <v>1</v>
      </c>
      <c r="D37" s="51">
        <f>D36+D30</f>
        <v>2945</v>
      </c>
      <c r="E37" s="41">
        <f t="shared" si="6"/>
        <v>1</v>
      </c>
      <c r="F37" s="9">
        <f t="shared" si="7"/>
        <v>0.11553030303030302</v>
      </c>
      <c r="G37" s="25"/>
      <c r="H37" s="54"/>
      <c r="I37" s="54"/>
      <c r="J37" s="49" t="s">
        <v>7</v>
      </c>
      <c r="K37" s="49" t="s">
        <v>34</v>
      </c>
      <c r="L37" s="65"/>
      <c r="M37" s="38"/>
      <c r="N37" s="83"/>
      <c r="O37" s="83"/>
      <c r="P37" s="83"/>
      <c r="Q37" s="83"/>
      <c r="R37" s="83"/>
      <c r="S37" s="83"/>
      <c r="T37" s="83"/>
      <c r="U37" s="83"/>
      <c r="V37" s="83"/>
      <c r="W37" s="83"/>
    </row>
    <row r="38" spans="1:26">
      <c r="A38" s="3"/>
      <c r="G38" s="20"/>
      <c r="H38" s="21"/>
      <c r="I38" s="24"/>
      <c r="J38" s="20"/>
      <c r="K38" s="21"/>
      <c r="L38" s="64"/>
      <c r="M38" s="38"/>
      <c r="N38" s="79" t="s">
        <v>71</v>
      </c>
      <c r="O38" s="79"/>
      <c r="P38" s="79"/>
      <c r="Q38" s="79"/>
      <c r="R38" s="79"/>
      <c r="S38" s="79"/>
      <c r="T38" s="79"/>
      <c r="U38" s="79"/>
      <c r="V38" s="79"/>
      <c r="W38" s="79"/>
    </row>
    <row r="39" spans="1:26">
      <c r="A39" s="53" t="s">
        <v>72</v>
      </c>
      <c r="B39" s="87">
        <f>D21-D37</f>
        <v>345.09999999999991</v>
      </c>
      <c r="C39" s="87"/>
      <c r="D39" s="87"/>
      <c r="E39" s="87"/>
      <c r="F39" s="88"/>
      <c r="J39" s="49" t="s">
        <v>73</v>
      </c>
      <c r="K39" s="50" t="s">
        <v>58</v>
      </c>
      <c r="L39" s="9">
        <f>D34/D36</f>
        <v>0.12211205001709569</v>
      </c>
      <c r="M39" s="9">
        <f>B34/B36</f>
        <v>0.13966480446927373</v>
      </c>
      <c r="N39" s="79"/>
      <c r="O39" s="79"/>
      <c r="P39" s="79"/>
      <c r="Q39" s="79"/>
      <c r="R39" s="79"/>
      <c r="S39" s="79"/>
      <c r="T39" s="79"/>
      <c r="U39" s="79"/>
      <c r="V39" s="79"/>
      <c r="W39" s="79"/>
    </row>
    <row r="40" spans="1:26">
      <c r="C40" s="6"/>
      <c r="J40" s="49" t="s">
        <v>74</v>
      </c>
      <c r="K40" s="49" t="s">
        <v>75</v>
      </c>
      <c r="L40" s="38"/>
      <c r="M40" s="38"/>
      <c r="O40" s="48"/>
      <c r="P40" s="48"/>
    </row>
    <row r="41" spans="1:26">
      <c r="A41" s="2" t="s">
        <v>76</v>
      </c>
      <c r="B41" s="56">
        <f>B19/B18</f>
        <v>-0.4</v>
      </c>
      <c r="C41" s="9"/>
      <c r="J41" s="49" t="s">
        <v>7</v>
      </c>
      <c r="K41" s="49" t="s">
        <v>7</v>
      </c>
      <c r="L41" s="38"/>
      <c r="M41" s="38"/>
      <c r="O41" s="48"/>
      <c r="P41" s="48"/>
    </row>
    <row r="42" spans="1:26">
      <c r="A42" s="3" t="s">
        <v>77</v>
      </c>
      <c r="B42" s="6">
        <v>2575</v>
      </c>
      <c r="C42" s="6"/>
      <c r="J42" s="49" t="s">
        <v>78</v>
      </c>
      <c r="K42" s="50" t="s">
        <v>58</v>
      </c>
      <c r="L42" s="38" t="s">
        <v>79</v>
      </c>
      <c r="M42" s="38" t="s">
        <v>79</v>
      </c>
      <c r="N42" s="3" t="s">
        <v>80</v>
      </c>
      <c r="O42" s="48"/>
      <c r="P42" s="48"/>
    </row>
    <row r="43" spans="1:26">
      <c r="A43" s="3" t="s">
        <v>81</v>
      </c>
      <c r="B43" s="6">
        <v>25.75</v>
      </c>
      <c r="C43" s="6"/>
      <c r="J43" s="49" t="s">
        <v>7</v>
      </c>
      <c r="K43" s="49" t="s">
        <v>82</v>
      </c>
      <c r="L43" s="38"/>
      <c r="M43" s="38"/>
      <c r="O43" s="48"/>
      <c r="P43" s="48"/>
    </row>
    <row r="44" spans="1:26">
      <c r="A44" s="3" t="s">
        <v>83</v>
      </c>
      <c r="B44" s="9">
        <v>0.25</v>
      </c>
      <c r="C44" s="6"/>
    </row>
    <row r="45" spans="1:26">
      <c r="A45" s="3"/>
      <c r="B45" s="6"/>
      <c r="C45" s="6"/>
    </row>
    <row r="46" spans="1:26">
      <c r="A46" s="89" t="s">
        <v>1</v>
      </c>
      <c r="B46" s="89"/>
      <c r="C46" s="10"/>
      <c r="D46" s="11"/>
      <c r="G46" s="12" t="s">
        <v>84</v>
      </c>
      <c r="H46" s="12"/>
      <c r="I46" s="12"/>
      <c r="J46" s="12"/>
      <c r="K46" s="12"/>
      <c r="L46" s="12"/>
      <c r="M46" s="12"/>
    </row>
    <row r="47" spans="1:26" ht="90" customHeight="1">
      <c r="A47" s="89" t="s">
        <v>85</v>
      </c>
      <c r="B47" s="89"/>
      <c r="C47" s="10"/>
      <c r="G47" s="26" t="s">
        <v>86</v>
      </c>
      <c r="H47" s="12"/>
      <c r="I47" s="26"/>
      <c r="J47" s="80" t="s">
        <v>87</v>
      </c>
      <c r="K47" s="80"/>
      <c r="L47" s="80"/>
      <c r="M47" s="80"/>
    </row>
    <row r="48" spans="1:26">
      <c r="A48" s="89" t="s">
        <v>88</v>
      </c>
      <c r="B48" s="89"/>
      <c r="C48" s="89"/>
      <c r="D48" s="89"/>
      <c r="G48" s="12" t="s">
        <v>89</v>
      </c>
      <c r="H48" s="12"/>
      <c r="I48" s="12"/>
      <c r="J48" s="78"/>
      <c r="K48" s="78"/>
      <c r="L48" s="15"/>
      <c r="M48" s="15"/>
    </row>
    <row r="49" spans="1:13">
      <c r="A49" s="10" t="s">
        <v>3</v>
      </c>
      <c r="B49" s="10"/>
      <c r="C49" s="10"/>
      <c r="D49" s="10"/>
      <c r="G49" s="12" t="s">
        <v>90</v>
      </c>
      <c r="H49" s="12"/>
      <c r="I49" s="12"/>
      <c r="J49" s="78"/>
      <c r="K49" s="78"/>
      <c r="L49" s="15"/>
      <c r="M49" s="15"/>
    </row>
    <row r="50" spans="1:13">
      <c r="A50" s="3"/>
      <c r="B50" s="2">
        <v>2020</v>
      </c>
      <c r="C50" s="45" t="s">
        <v>9</v>
      </c>
      <c r="D50" s="2">
        <v>2021</v>
      </c>
      <c r="E50" s="37" t="s">
        <v>9</v>
      </c>
      <c r="F50" s="2" t="s">
        <v>10</v>
      </c>
      <c r="G50" s="12"/>
      <c r="H50" s="12"/>
      <c r="I50" s="12"/>
      <c r="J50" s="70"/>
      <c r="K50" s="70"/>
      <c r="L50" s="12"/>
      <c r="M50" s="12"/>
    </row>
    <row r="51" spans="1:13">
      <c r="A51" s="13" t="s">
        <v>91</v>
      </c>
      <c r="B51" s="16">
        <f>B42</f>
        <v>2575</v>
      </c>
      <c r="C51" s="39">
        <f>B51/$B$51</f>
        <v>1</v>
      </c>
      <c r="D51" s="6">
        <f>B51*1.1</f>
        <v>2832.5000000000005</v>
      </c>
      <c r="E51" s="41">
        <f>D51/$D$51</f>
        <v>1</v>
      </c>
      <c r="F51" s="9">
        <f>(D51-B51)/D51</f>
        <v>9.090909090909105E-2</v>
      </c>
      <c r="G51" s="12" t="s">
        <v>92</v>
      </c>
      <c r="H51" s="36">
        <f>B35</f>
        <v>260</v>
      </c>
      <c r="I51" s="34"/>
      <c r="J51" s="70"/>
      <c r="K51" s="70"/>
      <c r="L51" s="12"/>
      <c r="M51" s="12"/>
    </row>
    <row r="52" spans="1:13">
      <c r="A52" s="13" t="s">
        <v>93</v>
      </c>
      <c r="B52" s="17">
        <f>B42*0.25</f>
        <v>643.75</v>
      </c>
      <c r="C52" s="39">
        <f t="shared" ref="C52:C55" si="8">B52/$B$51</f>
        <v>0.25</v>
      </c>
      <c r="D52" s="8">
        <v>-623.15</v>
      </c>
      <c r="E52" s="41">
        <f t="shared" ref="E52:E55" si="9">D52/$D$51</f>
        <v>-0.21999999999999995</v>
      </c>
      <c r="F52" s="9">
        <f>(D52-B52)/D52</f>
        <v>2.0330578512396698</v>
      </c>
      <c r="G52" s="12" t="s">
        <v>94</v>
      </c>
      <c r="H52" s="58">
        <v>591.11</v>
      </c>
      <c r="I52" s="12"/>
      <c r="J52" s="70"/>
      <c r="K52" s="70"/>
      <c r="L52" s="27"/>
      <c r="M52" s="12"/>
    </row>
    <row r="53" spans="1:13">
      <c r="A53" s="13" t="s">
        <v>95</v>
      </c>
      <c r="B53" s="16">
        <f>B51-B52</f>
        <v>1931.25</v>
      </c>
      <c r="C53" s="39">
        <f t="shared" si="8"/>
        <v>0.75</v>
      </c>
      <c r="D53" s="6">
        <f>D51+D52</f>
        <v>2209.3500000000004</v>
      </c>
      <c r="E53" s="41">
        <f t="shared" si="9"/>
        <v>0.78</v>
      </c>
      <c r="F53" s="9">
        <f>(D53-B53)/D53</f>
        <v>0.12587412587412602</v>
      </c>
      <c r="G53" s="12" t="s">
        <v>96</v>
      </c>
      <c r="H53" s="36">
        <f>H51+H52</f>
        <v>851.11</v>
      </c>
      <c r="I53" s="12"/>
      <c r="J53" s="70"/>
      <c r="K53" s="70"/>
      <c r="L53" s="27"/>
      <c r="M53" s="12"/>
    </row>
    <row r="54" spans="1:13">
      <c r="A54" s="13" t="s">
        <v>97</v>
      </c>
      <c r="B54" s="18">
        <v>-1250</v>
      </c>
      <c r="C54" s="39">
        <f t="shared" si="8"/>
        <v>-0.4854368932038835</v>
      </c>
      <c r="D54" s="8">
        <v>-1250</v>
      </c>
      <c r="E54" s="41">
        <f t="shared" si="9"/>
        <v>-0.44130626654898492</v>
      </c>
      <c r="F54" s="9">
        <f>(D54-B54)/D54</f>
        <v>0</v>
      </c>
      <c r="G54" s="12" t="s">
        <v>98</v>
      </c>
      <c r="H54" s="58">
        <f>B33*0.15</f>
        <v>76.5</v>
      </c>
      <c r="I54" s="12"/>
      <c r="J54" s="70"/>
      <c r="K54" s="70"/>
      <c r="L54" s="27"/>
      <c r="M54" s="12"/>
    </row>
    <row r="55" spans="1:13">
      <c r="A55" s="13" t="s">
        <v>99</v>
      </c>
      <c r="B55" s="16">
        <f>B53+B54</f>
        <v>681.25</v>
      </c>
      <c r="C55" s="39">
        <f t="shared" si="8"/>
        <v>0.2645631067961165</v>
      </c>
      <c r="D55" s="6">
        <v>953.5</v>
      </c>
      <c r="E55" s="41">
        <f t="shared" si="9"/>
        <v>0.3366284201235657</v>
      </c>
      <c r="F55" s="9">
        <f>(D55-B55)/D55</f>
        <v>0.28552700576822232</v>
      </c>
      <c r="G55" s="12" t="s">
        <v>100</v>
      </c>
      <c r="H55" s="36">
        <f>H53-H54</f>
        <v>774.61</v>
      </c>
      <c r="I55" s="12"/>
      <c r="J55" s="70"/>
      <c r="K55" s="70"/>
      <c r="L55" s="27"/>
      <c r="M55" s="12"/>
    </row>
    <row r="56" spans="1:13">
      <c r="A56" s="3" t="s">
        <v>101</v>
      </c>
      <c r="B56" s="6">
        <f>-0.09*B28-0.11*B29</f>
        <v>-165.35</v>
      </c>
      <c r="D56" s="6">
        <v>-165.35</v>
      </c>
      <c r="G56" s="12" t="s">
        <v>102</v>
      </c>
      <c r="H56" s="58">
        <v>385.96</v>
      </c>
      <c r="I56" s="12"/>
      <c r="J56" s="70"/>
      <c r="K56" s="70"/>
      <c r="L56" s="27"/>
      <c r="M56" s="12"/>
    </row>
    <row r="57" spans="1:13">
      <c r="A57" s="2" t="s">
        <v>103</v>
      </c>
      <c r="B57" s="28">
        <f>B55+B56</f>
        <v>515.9</v>
      </c>
      <c r="D57" s="28">
        <f>D55+D56</f>
        <v>788.15</v>
      </c>
      <c r="G57" s="12" t="s">
        <v>104</v>
      </c>
      <c r="H57" s="43">
        <f>H55-H56</f>
        <v>388.65000000000003</v>
      </c>
      <c r="I57" s="12"/>
      <c r="J57" s="70"/>
      <c r="K57" s="70"/>
      <c r="L57" s="27"/>
      <c r="M57" s="12"/>
    </row>
    <row r="58" spans="1:13">
      <c r="A58" s="13" t="s">
        <v>105</v>
      </c>
      <c r="B58" s="18">
        <f>-B55*0.25</f>
        <v>-170.3125</v>
      </c>
      <c r="C58" s="39">
        <f>B58/$B$51</f>
        <v>-6.6140776699029125E-2</v>
      </c>
      <c r="D58" s="8">
        <f>-D57*0.25</f>
        <v>-197.03749999999999</v>
      </c>
      <c r="E58" s="41">
        <f>D58/$D$51</f>
        <v>-6.9563106796116492E-2</v>
      </c>
      <c r="F58" s="9">
        <f>(D58-B58)/D58</f>
        <v>0.13563407980714329</v>
      </c>
      <c r="I58" s="35"/>
      <c r="J58" s="35"/>
      <c r="K58" s="35"/>
      <c r="L58" s="35"/>
      <c r="M58" s="60"/>
    </row>
    <row r="59" spans="1:13">
      <c r="A59" s="13" t="s">
        <v>106</v>
      </c>
      <c r="B59" s="16">
        <f>B58+B55+B56</f>
        <v>345.58749999999998</v>
      </c>
      <c r="C59" s="39">
        <f>B59/$B$51</f>
        <v>0.13420873786407767</v>
      </c>
      <c r="D59" s="6">
        <f>D58+D55+D56</f>
        <v>591.11249999999995</v>
      </c>
      <c r="E59" s="41">
        <f>D59/$D$51</f>
        <v>0.20868932038834948</v>
      </c>
      <c r="F59" s="9">
        <f>(D59-B59)/D59</f>
        <v>0.41536086616337836</v>
      </c>
      <c r="I59" s="34"/>
      <c r="J59" s="34"/>
      <c r="K59" s="12"/>
      <c r="L59" s="12"/>
      <c r="M59" s="12"/>
    </row>
    <row r="60" spans="1:13">
      <c r="A60" s="13"/>
      <c r="B60" s="16"/>
      <c r="C60" s="39"/>
      <c r="D60" s="16"/>
      <c r="E60" s="41"/>
      <c r="F60" s="9"/>
      <c r="H60" s="68"/>
      <c r="I60" s="12"/>
      <c r="J60" s="12"/>
      <c r="K60" s="12"/>
      <c r="L60" s="27"/>
      <c r="M60" s="12"/>
    </row>
    <row r="61" spans="1:13">
      <c r="A61" s="10"/>
      <c r="B61" s="73"/>
      <c r="C61" s="39"/>
      <c r="D61" s="74"/>
      <c r="E61" s="41"/>
      <c r="F61" s="9"/>
      <c r="I61" s="35"/>
      <c r="J61" s="35"/>
      <c r="K61" s="12"/>
      <c r="L61" s="12"/>
      <c r="M61" s="27"/>
    </row>
    <row r="62" spans="1:13">
      <c r="A62" s="75" t="s">
        <v>107</v>
      </c>
      <c r="B62" s="76"/>
      <c r="C62" s="76"/>
      <c r="D62" s="76"/>
      <c r="I62" s="34"/>
      <c r="J62" s="34"/>
      <c r="K62" s="12"/>
      <c r="L62" s="12"/>
      <c r="M62" s="12"/>
    </row>
    <row r="63" spans="1:13">
      <c r="A63" s="75" t="s">
        <v>108</v>
      </c>
      <c r="B63" s="82">
        <f>B33*0.15</f>
        <v>76.5</v>
      </c>
      <c r="C63" s="82"/>
      <c r="D63" s="82">
        <f>B63</f>
        <v>76.5</v>
      </c>
      <c r="E63" s="82"/>
      <c r="I63" s="12"/>
      <c r="J63" s="12"/>
      <c r="K63" s="12"/>
      <c r="L63" s="27"/>
      <c r="M63" s="12"/>
    </row>
    <row r="64" spans="1:13">
      <c r="A64" s="75" t="s">
        <v>109</v>
      </c>
      <c r="B64" s="82">
        <v>310.43</v>
      </c>
      <c r="C64" s="82"/>
      <c r="D64" s="82">
        <v>514.1</v>
      </c>
      <c r="E64" s="82"/>
      <c r="F64" s="6"/>
      <c r="I64" s="12"/>
      <c r="J64" s="12"/>
      <c r="K64" s="12"/>
      <c r="L64" s="27"/>
      <c r="M64" s="12"/>
    </row>
    <row r="65" spans="1:13">
      <c r="A65" s="75" t="s">
        <v>110</v>
      </c>
      <c r="B65" s="82">
        <v>232.82</v>
      </c>
      <c r="C65" s="82"/>
      <c r="D65" s="82">
        <v>385.96</v>
      </c>
      <c r="E65" s="82"/>
      <c r="F65" s="68"/>
      <c r="I65" s="12"/>
      <c r="J65" s="12"/>
      <c r="K65" s="12"/>
      <c r="L65" s="27"/>
      <c r="M65" s="12"/>
    </row>
    <row r="66" spans="1:13">
      <c r="A66" s="75" t="s">
        <v>111</v>
      </c>
      <c r="B66" s="82">
        <v>77.61</v>
      </c>
      <c r="C66" s="82"/>
      <c r="D66" s="82">
        <v>128.65</v>
      </c>
      <c r="E66" s="82"/>
      <c r="I66" s="35"/>
      <c r="J66" s="35"/>
      <c r="K66" s="12"/>
      <c r="L66" s="12"/>
      <c r="M66" s="27"/>
    </row>
    <row r="67" spans="1:13">
      <c r="I67" s="12"/>
      <c r="J67" s="12"/>
      <c r="K67" s="12"/>
      <c r="L67" s="12"/>
      <c r="M67" s="27"/>
    </row>
    <row r="68" spans="1:13">
      <c r="I68" s="12"/>
      <c r="J68" s="12"/>
      <c r="K68" s="12"/>
      <c r="L68" s="12"/>
      <c r="M68" s="27"/>
    </row>
    <row r="69" spans="1:13">
      <c r="I69" s="26"/>
      <c r="J69" s="26"/>
      <c r="K69" s="26"/>
      <c r="L69" s="26"/>
      <c r="M69" s="61"/>
    </row>
    <row r="70" spans="1:13">
      <c r="A70" s="3"/>
    </row>
    <row r="71" spans="1:13">
      <c r="A71" s="3"/>
      <c r="B71" s="2">
        <f>B33*0.75</f>
        <v>382.5</v>
      </c>
    </row>
    <row r="72" spans="1:13">
      <c r="A72" s="3"/>
    </row>
    <row r="73" spans="1:13">
      <c r="A73" s="3"/>
    </row>
    <row r="74" spans="1:13">
      <c r="A74" s="3"/>
    </row>
    <row r="75" spans="1:13">
      <c r="A75" s="3"/>
    </row>
    <row r="76" spans="1:13">
      <c r="A76" s="3"/>
    </row>
    <row r="77" spans="1:13">
      <c r="A77" s="3"/>
    </row>
    <row r="78" spans="1:13">
      <c r="A78" s="3"/>
    </row>
  </sheetData>
  <mergeCells count="23">
    <mergeCell ref="N17:V20"/>
    <mergeCell ref="N25:V26"/>
    <mergeCell ref="N28:Z30"/>
    <mergeCell ref="N31:Z33"/>
    <mergeCell ref="C11:E11"/>
    <mergeCell ref="N12:S13"/>
    <mergeCell ref="N14:S16"/>
    <mergeCell ref="B65:C65"/>
    <mergeCell ref="B66:C66"/>
    <mergeCell ref="D63:E63"/>
    <mergeCell ref="D64:E64"/>
    <mergeCell ref="D65:E65"/>
    <mergeCell ref="D66:E66"/>
    <mergeCell ref="N38:W39"/>
    <mergeCell ref="J47:M47"/>
    <mergeCell ref="N34:W35"/>
    <mergeCell ref="B63:C63"/>
    <mergeCell ref="B64:C64"/>
    <mergeCell ref="N36:W37"/>
    <mergeCell ref="B39:F39"/>
    <mergeCell ref="A46:B46"/>
    <mergeCell ref="A47:B47"/>
    <mergeCell ref="A48:D48"/>
  </mergeCells>
  <pageMargins left="0.7" right="0.7" top="0.75" bottom="0.75" header="0.3" footer="0.3"/>
  <pageSetup orientation="portrait" horizontalDpi="4294967293"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C7D440210FBDF4B8AF92FDDA92074DC" ma:contentTypeVersion="6" ma:contentTypeDescription="Crear nuevo documento." ma:contentTypeScope="" ma:versionID="092cf47783a3ec92a045ef649fb58dc2">
  <xsd:schema xmlns:xsd="http://www.w3.org/2001/XMLSchema" xmlns:xs="http://www.w3.org/2001/XMLSchema" xmlns:p="http://schemas.microsoft.com/office/2006/metadata/properties" xmlns:ns2="8b7fa946-b8a2-4fc5-87a7-5d8b17bd94ee" xmlns:ns3="4f9e959f-8cc9-4b95-b013-6b3eed7dad71" targetNamespace="http://schemas.microsoft.com/office/2006/metadata/properties" ma:root="true" ma:fieldsID="8d125eb320cfd2118aaa1c03e27fdc33" ns2:_="" ns3:_="">
    <xsd:import namespace="8b7fa946-b8a2-4fc5-87a7-5d8b17bd94ee"/>
    <xsd:import namespace="4f9e959f-8cc9-4b95-b013-6b3eed7dad7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7fa946-b8a2-4fc5-87a7-5d8b17bd94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9e959f-8cc9-4b95-b013-6b3eed7dad71"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97F1F5-063B-492A-98AE-B40CEAD447FA}"/>
</file>

<file path=customXml/itemProps2.xml><?xml version="1.0" encoding="utf-8"?>
<ds:datastoreItem xmlns:ds="http://schemas.openxmlformats.org/officeDocument/2006/customXml" ds:itemID="{1D0338B3-8799-4DED-9266-8959E4171993}"/>
</file>

<file path=customXml/itemProps3.xml><?xml version="1.0" encoding="utf-8"?>
<ds:datastoreItem xmlns:ds="http://schemas.openxmlformats.org/officeDocument/2006/customXml" ds:itemID="{61234931-EDF2-4C0B-AAE1-68C19EBF763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2021-09-16T21:30:07Z</dcterms:created>
  <dcterms:modified xsi:type="dcterms:W3CDTF">2023-02-20T23:56:03Z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0x0101004C7D440210FBDF4B8AF92FDDA92074DC</vt:lpwstr>
  </property>
</Properties>
</file>